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745F3295-14FC-40CB-9F29-CB77063E2C7C}"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0" i="1" l="1"/>
  <c r="J593" i="1"/>
  <c r="J592" i="1"/>
  <c r="I593" i="1"/>
  <c r="I592" i="1"/>
  <c r="H593" i="1"/>
  <c r="H592" i="1"/>
  <c r="F31" i="13" l="1"/>
  <c r="F5" i="13"/>
  <c r="F15" i="13"/>
  <c r="E9" i="17"/>
  <c r="E38" i="14"/>
  <c r="E6" i="14"/>
  <c r="B12" i="12" l="1"/>
  <c r="G614" i="1" l="1"/>
  <c r="G613" i="1"/>
  <c r="G612" i="1"/>
  <c r="F614" i="1"/>
  <c r="F613" i="1"/>
  <c r="F612" i="1"/>
  <c r="J604" i="1"/>
  <c r="J605" i="1" s="1"/>
  <c r="I604" i="1"/>
  <c r="I605" i="1" s="1"/>
  <c r="H604" i="1"/>
  <c r="H605" i="1" s="1"/>
  <c r="J596" i="1"/>
  <c r="G529" i="1"/>
  <c r="G528" i="1"/>
  <c r="G527" i="1"/>
  <c r="F529" i="1"/>
  <c r="F528" i="1"/>
  <c r="F527" i="1"/>
  <c r="F498" i="1" l="1"/>
  <c r="F499" i="1" s="1"/>
  <c r="H43" i="1"/>
  <c r="H460" i="1"/>
  <c r="F460" i="1"/>
  <c r="H443" i="1"/>
  <c r="F443" i="1"/>
  <c r="H12" i="1" l="1"/>
  <c r="F68"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C21" i="12" l="1"/>
  <c r="C20" i="12"/>
  <c r="C19" i="12"/>
  <c r="B5" i="14"/>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F48" i="2"/>
  <c r="E48" i="2"/>
  <c r="D48" i="2"/>
  <c r="C48" i="2"/>
  <c r="F47" i="2"/>
  <c r="D47" i="2"/>
  <c r="C47" i="2"/>
  <c r="F44" i="2"/>
  <c r="E44" i="2"/>
  <c r="D44" i="2"/>
  <c r="C44" i="2"/>
  <c r="F43" i="2"/>
  <c r="E43" i="2"/>
  <c r="D43" i="2"/>
  <c r="C43" i="2"/>
  <c r="H43" i="2" s="1"/>
  <c r="F42" i="2"/>
  <c r="E42" i="2"/>
  <c r="D42" i="2"/>
  <c r="C42" i="2"/>
  <c r="F38" i="2"/>
  <c r="E38" i="2"/>
  <c r="D38" i="2"/>
  <c r="C38" i="2"/>
  <c r="H38" i="2" s="1"/>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E120" i="2" s="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B27" i="12"/>
  <c r="C27" i="12"/>
  <c r="B31" i="12"/>
  <c r="C31" i="12"/>
  <c r="B9" i="12"/>
  <c r="B13" i="12"/>
  <c r="C9" i="12"/>
  <c r="B18" i="12"/>
  <c r="C18" i="12"/>
  <c r="C22" i="12"/>
  <c r="B1" i="12"/>
  <c r="L388" i="1"/>
  <c r="L389" i="1"/>
  <c r="L390" i="1"/>
  <c r="L391" i="1"/>
  <c r="L392" i="1"/>
  <c r="L393" i="1"/>
  <c r="L396" i="1"/>
  <c r="L397" i="1"/>
  <c r="L398" i="1"/>
  <c r="L399" i="1"/>
  <c r="L400" i="1"/>
  <c r="L401" i="1"/>
  <c r="L404" i="1"/>
  <c r="L405" i="1"/>
  <c r="L406" i="1"/>
  <c r="L407" i="1"/>
  <c r="L267" i="1"/>
  <c r="J60" i="1"/>
  <c r="G56" i="2" s="1"/>
  <c r="G61" i="2"/>
  <c r="F2" i="11"/>
  <c r="L614" i="1"/>
  <c r="H664" i="1" s="1"/>
  <c r="L613" i="1"/>
  <c r="G664" i="1" s="1"/>
  <c r="L612" i="1"/>
  <c r="F664" i="1" s="1"/>
  <c r="C40" i="10"/>
  <c r="F60" i="1"/>
  <c r="G60" i="1"/>
  <c r="D56" i="2" s="1"/>
  <c r="H60" i="1"/>
  <c r="E56" i="2" s="1"/>
  <c r="I60" i="1"/>
  <c r="F56" i="2" s="1"/>
  <c r="F79" i="1"/>
  <c r="C57" i="2" s="1"/>
  <c r="F94" i="1"/>
  <c r="F111" i="1"/>
  <c r="G111" i="1"/>
  <c r="H79" i="1"/>
  <c r="H94" i="1"/>
  <c r="E58" i="2" s="1"/>
  <c r="H111" i="1"/>
  <c r="I111" i="1"/>
  <c r="I112" i="1" s="1"/>
  <c r="F121" i="1"/>
  <c r="F136" i="1"/>
  <c r="G121" i="1"/>
  <c r="G136" i="1"/>
  <c r="H121" i="1"/>
  <c r="H136" i="1"/>
  <c r="I121" i="1"/>
  <c r="I136" i="1"/>
  <c r="J121" i="1"/>
  <c r="J136" i="1"/>
  <c r="J140" i="1" s="1"/>
  <c r="F147" i="1"/>
  <c r="F170" i="1" s="1"/>
  <c r="G147" i="1"/>
  <c r="D85" i="2" s="1"/>
  <c r="H147" i="1"/>
  <c r="H170" i="1" s="1"/>
  <c r="I147" i="1"/>
  <c r="I170" i="1" s="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H8" i="2" s="1"/>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H26" i="2" s="1"/>
  <c r="F26" i="2"/>
  <c r="C27" i="2"/>
  <c r="H27" i="2" s="1"/>
  <c r="D27" i="2"/>
  <c r="E27" i="2"/>
  <c r="F27" i="2"/>
  <c r="C28" i="2"/>
  <c r="D28" i="2"/>
  <c r="E28" i="2"/>
  <c r="F28" i="2"/>
  <c r="C29" i="2"/>
  <c r="D29" i="2"/>
  <c r="E29" i="2"/>
  <c r="F29" i="2"/>
  <c r="C30" i="2"/>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H80" i="2" s="1"/>
  <c r="E80" i="2"/>
  <c r="C85" i="2"/>
  <c r="C87" i="2"/>
  <c r="E87" i="2"/>
  <c r="F87" i="2"/>
  <c r="C89" i="2"/>
  <c r="H89" i="2" s="1"/>
  <c r="D89" i="2"/>
  <c r="E89" i="2"/>
  <c r="F89" i="2"/>
  <c r="C90" i="2"/>
  <c r="H90" i="2" s="1"/>
  <c r="C93" i="2"/>
  <c r="F93" i="2"/>
  <c r="C94" i="2"/>
  <c r="F94" i="2"/>
  <c r="D96" i="2"/>
  <c r="E96" i="2"/>
  <c r="F96" i="2"/>
  <c r="C97" i="2"/>
  <c r="D97" i="2"/>
  <c r="E97" i="2"/>
  <c r="F97" i="2"/>
  <c r="G97" i="2"/>
  <c r="C98" i="2"/>
  <c r="D98" i="2"/>
  <c r="E98" i="2"/>
  <c r="G98" i="2"/>
  <c r="C99" i="2"/>
  <c r="D99" i="2"/>
  <c r="E99" i="2"/>
  <c r="F99" i="2"/>
  <c r="C100" i="2"/>
  <c r="H100" i="2" s="1"/>
  <c r="D100" i="2"/>
  <c r="E100" i="2"/>
  <c r="F100" i="2"/>
  <c r="C101" i="2"/>
  <c r="D101" i="2"/>
  <c r="E101" i="2"/>
  <c r="F101" i="2"/>
  <c r="C102" i="2"/>
  <c r="H102" i="2" s="1"/>
  <c r="D102" i="2"/>
  <c r="E102" i="2"/>
  <c r="F102" i="2"/>
  <c r="E111" i="2"/>
  <c r="E112" i="2"/>
  <c r="D115" i="2"/>
  <c r="F115" i="2"/>
  <c r="G11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G32" i="1"/>
  <c r="H32" i="1"/>
  <c r="I32" i="1"/>
  <c r="I51" i="1"/>
  <c r="F178" i="1"/>
  <c r="I178" i="1"/>
  <c r="F184" i="1"/>
  <c r="G184" i="1"/>
  <c r="H184" i="1"/>
  <c r="I184" i="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J96" i="1" s="1"/>
  <c r="J111" i="1" s="1"/>
  <c r="J112" i="1" s="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41" i="1"/>
  <c r="G644" i="1"/>
  <c r="G651" i="1"/>
  <c r="H653" i="1"/>
  <c r="G654" i="1"/>
  <c r="H654" i="1"/>
  <c r="H655" i="1"/>
  <c r="H656" i="1"/>
  <c r="J180" i="1" l="1"/>
  <c r="H94" i="2"/>
  <c r="H140" i="1"/>
  <c r="G62" i="2"/>
  <c r="H76" i="2"/>
  <c r="G59" i="2"/>
  <c r="H59" i="2" s="1"/>
  <c r="H97" i="2"/>
  <c r="H93" i="2"/>
  <c r="H87" i="2"/>
  <c r="H35" i="2"/>
  <c r="H9" i="2"/>
  <c r="H143" i="2"/>
  <c r="C11" i="12"/>
  <c r="C10" i="12"/>
  <c r="C12" i="12"/>
  <c r="H101" i="2"/>
  <c r="H58" i="2"/>
  <c r="F85" i="2"/>
  <c r="H30" i="2"/>
  <c r="H17" i="2"/>
  <c r="G663" i="1"/>
  <c r="H79" i="2"/>
  <c r="C39" i="12"/>
  <c r="C37" i="12"/>
  <c r="C40" i="12" s="1"/>
  <c r="H69" i="2"/>
  <c r="H15" i="2"/>
  <c r="H11" i="2"/>
  <c r="H48" i="2"/>
  <c r="H22" i="2"/>
  <c r="G645" i="1"/>
  <c r="H98" i="2"/>
  <c r="H132" i="2"/>
  <c r="H36" i="2"/>
  <c r="H44" i="2"/>
  <c r="H99" i="2"/>
  <c r="I409" i="1"/>
  <c r="D144" i="2"/>
  <c r="H29" i="2"/>
  <c r="E121" i="2"/>
  <c r="J652" i="1"/>
  <c r="G409" i="1"/>
  <c r="H646" i="1" s="1"/>
  <c r="H12" i="2"/>
  <c r="H28" i="2"/>
  <c r="H13" i="2"/>
  <c r="D78" i="2"/>
  <c r="D81" i="2" s="1"/>
  <c r="H77" i="2"/>
  <c r="H61" i="2"/>
  <c r="H23" i="2"/>
  <c r="D29" i="13"/>
  <c r="C29" i="13" s="1"/>
  <c r="G662" i="1"/>
  <c r="C32" i="10"/>
  <c r="C125" i="2"/>
  <c r="H125" i="2" s="1"/>
  <c r="D15" i="13"/>
  <c r="C15" i="13" s="1"/>
  <c r="E13" i="13"/>
  <c r="C13" i="13" s="1"/>
  <c r="N2" i="14"/>
  <c r="N3" i="14" s="1"/>
  <c r="C121" i="2"/>
  <c r="C120" i="2"/>
  <c r="H120" i="2" s="1"/>
  <c r="M2" i="14"/>
  <c r="M3" i="14" s="1"/>
  <c r="D6" i="13"/>
  <c r="C6" i="13" s="1"/>
  <c r="L2" i="14"/>
  <c r="L3" i="14" s="1"/>
  <c r="C112" i="2"/>
  <c r="H112" i="2" s="1"/>
  <c r="A40" i="12"/>
  <c r="C13" i="10"/>
  <c r="C12" i="10"/>
  <c r="C110" i="2"/>
  <c r="K2" i="14"/>
  <c r="K3" i="14" s="1"/>
  <c r="E119" i="2"/>
  <c r="H119" i="2" s="1"/>
  <c r="H409" i="1"/>
  <c r="H645" i="1" s="1"/>
  <c r="J645" i="1" s="1"/>
  <c r="G339" i="1"/>
  <c r="G353" i="1" s="1"/>
  <c r="J258" i="1"/>
  <c r="J272" i="1" s="1"/>
  <c r="E123" i="2"/>
  <c r="E110" i="2"/>
  <c r="K339" i="1"/>
  <c r="K353" i="1" s="1"/>
  <c r="J572" i="1"/>
  <c r="E131" i="2"/>
  <c r="E144" i="2" s="1"/>
  <c r="G553" i="1"/>
  <c r="H663" i="1"/>
  <c r="F258" i="1"/>
  <c r="F272" i="1" s="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28" i="16"/>
  <c r="L329" i="1"/>
  <c r="E122" i="2"/>
  <c r="L291" i="1"/>
  <c r="L615" i="1"/>
  <c r="K599" i="1"/>
  <c r="G648" i="1" s="1"/>
  <c r="K572" i="1"/>
  <c r="L571" i="1"/>
  <c r="H572" i="1"/>
  <c r="L566" i="1"/>
  <c r="L572" i="1" s="1"/>
  <c r="I572" i="1"/>
  <c r="K546" i="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F103" i="2"/>
  <c r="C103" i="2"/>
  <c r="F91"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G63" i="2"/>
  <c r="G42" i="2"/>
  <c r="G50" i="2" s="1"/>
  <c r="J51" i="1"/>
  <c r="G16" i="2"/>
  <c r="G18" i="2" s="1"/>
  <c r="J19" i="1"/>
  <c r="G622" i="1" s="1"/>
  <c r="F546" i="1"/>
  <c r="H435" i="1"/>
  <c r="D103" i="2"/>
  <c r="I140" i="1"/>
  <c r="A22" i="12"/>
  <c r="J653" i="1"/>
  <c r="G572" i="1"/>
  <c r="I435" i="1"/>
  <c r="G435" i="1"/>
  <c r="I664" i="1"/>
  <c r="H131" i="2" l="1"/>
  <c r="H85" i="2"/>
  <c r="H16" i="2"/>
  <c r="H78" i="2"/>
  <c r="H21" i="2"/>
  <c r="H134" i="2"/>
  <c r="J184" i="1"/>
  <c r="G96" i="2"/>
  <c r="G656" i="1"/>
  <c r="J656" i="1" s="1"/>
  <c r="H42" i="2"/>
  <c r="G637" i="1"/>
  <c r="I473" i="1"/>
  <c r="B17" i="16"/>
  <c r="B19" i="16" s="1"/>
  <c r="G473" i="1"/>
  <c r="H121" i="2"/>
  <c r="C13" i="12"/>
  <c r="A13" i="12" s="1"/>
  <c r="H91" i="2"/>
  <c r="H123" i="2"/>
  <c r="G24" i="14"/>
  <c r="H24" i="14" s="1"/>
  <c r="I24" i="14" s="1"/>
  <c r="E128" i="2"/>
  <c r="H118" i="2"/>
  <c r="H62" i="2"/>
  <c r="H57" i="2"/>
  <c r="H31" i="2"/>
  <c r="H18" i="2"/>
  <c r="I662" i="1"/>
  <c r="D128" i="2"/>
  <c r="D145" i="2" s="1"/>
  <c r="H127" i="2"/>
  <c r="C81" i="2"/>
  <c r="H81" i="2" s="1"/>
  <c r="I663" i="1"/>
  <c r="H110" i="2"/>
  <c r="F194" i="1"/>
  <c r="F661" i="1"/>
  <c r="F665" i="1" s="1"/>
  <c r="F670" i="1" s="1"/>
  <c r="E115" i="2"/>
  <c r="H109" i="2"/>
  <c r="F144" i="2"/>
  <c r="H130" i="2"/>
  <c r="H661" i="1"/>
  <c r="H665" i="1" s="1"/>
  <c r="H194" i="1"/>
  <c r="H649" i="1"/>
  <c r="J649" i="1" s="1"/>
  <c r="C141" i="2"/>
  <c r="F51" i="2"/>
  <c r="G36" i="14"/>
  <c r="H36" i="14" s="1"/>
  <c r="E104" i="2"/>
  <c r="C36" i="10"/>
  <c r="L435" i="1"/>
  <c r="L339" i="1"/>
  <c r="L353" i="1" s="1"/>
  <c r="I194" i="1"/>
  <c r="G636" i="1"/>
  <c r="G51" i="2"/>
  <c r="D104" i="2"/>
  <c r="L409" i="1"/>
  <c r="J469" i="1" s="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G194" i="1"/>
  <c r="G627" i="1"/>
  <c r="J52" i="1"/>
  <c r="H622" i="1" s="1"/>
  <c r="J622" i="1" s="1"/>
  <c r="C38" i="10"/>
  <c r="H96" i="2" l="1"/>
  <c r="G103" i="2"/>
  <c r="H632" i="1"/>
  <c r="H638" i="1"/>
  <c r="J471" i="1"/>
  <c r="J193" i="1"/>
  <c r="J194" i="1" s="1"/>
  <c r="G646" i="1"/>
  <c r="J646" i="1" s="1"/>
  <c r="J636" i="1"/>
  <c r="H637" i="1"/>
  <c r="I475" i="1"/>
  <c r="G631" i="1"/>
  <c r="I469" i="1"/>
  <c r="J637" i="1"/>
  <c r="G628" i="1"/>
  <c r="F469" i="1"/>
  <c r="G639" i="1"/>
  <c r="J473" i="1"/>
  <c r="H636" i="1"/>
  <c r="G475" i="1"/>
  <c r="G633" i="1"/>
  <c r="F473" i="1"/>
  <c r="H128" i="2"/>
  <c r="M24" i="14"/>
  <c r="G630" i="1"/>
  <c r="H469" i="1"/>
  <c r="G634" i="1"/>
  <c r="H473" i="1"/>
  <c r="G629" i="1"/>
  <c r="G469" i="1"/>
  <c r="C144" i="2"/>
  <c r="C145" i="2" s="1"/>
  <c r="H141" i="2"/>
  <c r="C104" i="2"/>
  <c r="H63" i="2"/>
  <c r="M36" i="14"/>
  <c r="I36" i="14"/>
  <c r="H115" i="2"/>
  <c r="E145" i="2"/>
  <c r="H668" i="1"/>
  <c r="H670" i="1"/>
  <c r="H673" i="1" s="1"/>
  <c r="C6" i="10" s="1"/>
  <c r="G670" i="1"/>
  <c r="G673" i="1" s="1"/>
  <c r="C5" i="10" s="1"/>
  <c r="F668" i="1"/>
  <c r="F145" i="2"/>
  <c r="I661" i="1"/>
  <c r="I665" i="1" s="1"/>
  <c r="G668" i="1"/>
  <c r="D25" i="10"/>
  <c r="G638" i="1"/>
  <c r="J638" i="1" s="1"/>
  <c r="H647" i="1"/>
  <c r="D22" i="10"/>
  <c r="D18" i="10"/>
  <c r="D27" i="10"/>
  <c r="D15" i="10"/>
  <c r="D21" i="10"/>
  <c r="D24" i="10"/>
  <c r="D20" i="10"/>
  <c r="D11" i="10"/>
  <c r="D12" i="10"/>
  <c r="D13" i="10"/>
  <c r="D17" i="10"/>
  <c r="D19" i="10"/>
  <c r="D10" i="10"/>
  <c r="D26" i="10"/>
  <c r="C30" i="10"/>
  <c r="D16" i="10"/>
  <c r="D33" i="13"/>
  <c r="D36" i="13" s="1"/>
  <c r="C41" i="10"/>
  <c r="D38" i="10" s="1"/>
  <c r="H628" i="1" l="1"/>
  <c r="F471" i="1"/>
  <c r="G647" i="1"/>
  <c r="J647" i="1" s="1"/>
  <c r="G632" i="1"/>
  <c r="J632" i="1" s="1"/>
  <c r="H631" i="1"/>
  <c r="J631" i="1" s="1"/>
  <c r="I471" i="1"/>
  <c r="I477" i="1" s="1"/>
  <c r="H626" i="1" s="1"/>
  <c r="J626" i="1" s="1"/>
  <c r="J628" i="1"/>
  <c r="H103" i="2"/>
  <c r="G104" i="2"/>
  <c r="H104" i="2"/>
  <c r="J475" i="1"/>
  <c r="J477" i="1" s="1"/>
  <c r="H627" i="1" s="1"/>
  <c r="J627" i="1" s="1"/>
  <c r="H639" i="1"/>
  <c r="J639" i="1" s="1"/>
  <c r="F475" i="1"/>
  <c r="H633" i="1"/>
  <c r="J633" i="1" s="1"/>
  <c r="H144" i="2"/>
  <c r="H630" i="1"/>
  <c r="J630" i="1" s="1"/>
  <c r="H471" i="1"/>
  <c r="H475" i="1"/>
  <c r="H634" i="1"/>
  <c r="J634" i="1" s="1"/>
  <c r="H629" i="1"/>
  <c r="J629" i="1" s="1"/>
  <c r="G471" i="1"/>
  <c r="G477" i="1" s="1"/>
  <c r="G40" i="1" s="1"/>
  <c r="H145" i="2"/>
  <c r="I670" i="1"/>
  <c r="I673" i="1" s="1"/>
  <c r="C7" i="10" s="1"/>
  <c r="F673" i="1"/>
  <c r="C4" i="10" s="1"/>
  <c r="I668" i="1"/>
  <c r="D28" i="10"/>
  <c r="D37" i="10"/>
  <c r="D36" i="10"/>
  <c r="D35" i="10"/>
  <c r="D40" i="10"/>
  <c r="D39" i="10"/>
  <c r="G51" i="1" l="1"/>
  <c r="D39" i="2"/>
  <c r="F477" i="1"/>
  <c r="H623" i="1"/>
  <c r="F50" i="1"/>
  <c r="H477" i="1"/>
  <c r="H625" i="1" s="1"/>
  <c r="H624" i="1"/>
  <c r="B33" i="16"/>
  <c r="D41" i="10"/>
  <c r="H39" i="2" l="1"/>
  <c r="D50" i="2"/>
  <c r="D51" i="2" s="1"/>
  <c r="G624" i="1"/>
  <c r="J624" i="1" s="1"/>
  <c r="G52" i="1"/>
  <c r="H619" i="1" s="1"/>
  <c r="J619" i="1" s="1"/>
  <c r="C49" i="2"/>
  <c r="F51" i="1"/>
  <c r="H48" i="1"/>
  <c r="E47" i="2" s="1"/>
  <c r="G623" i="1" l="1"/>
  <c r="J623" i="1" s="1"/>
  <c r="F52" i="1"/>
  <c r="H618" i="1" s="1"/>
  <c r="J618" i="1" s="1"/>
  <c r="C50" i="2"/>
  <c r="C51" i="2" s="1"/>
  <c r="H49" i="2"/>
  <c r="H51" i="1"/>
  <c r="G625" i="1" s="1"/>
  <c r="H47" i="2"/>
  <c r="E50" i="2"/>
  <c r="H52" i="1" l="1"/>
  <c r="H620" i="1" s="1"/>
  <c r="J620" i="1" s="1"/>
  <c r="E51" i="2"/>
  <c r="H51" i="2" s="1"/>
  <c r="H50" i="2"/>
  <c r="J625" i="1"/>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<sst xmlns="http://schemas.openxmlformats.org/spreadsheetml/2006/main" count="6559" uniqueCount="1814">
  <si>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</si>
  <si>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</si>
  <si>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</si>
  <si>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</si>
  <si>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</si>
  <si>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</si>
  <si>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</si>
  <si>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</si>
  <si>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</si>
  <si>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</si>
  <si>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</si>
  <si>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</si>
  <si>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</si>
  <si>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</si>
  <si>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</si>
  <si>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</si>
  <si>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</si>
  <si>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</si>
  <si>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</si>
  <si>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</si>
  <si>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</si>
  <si>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</si>
  <si>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</si>
  <si>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</si>
  <si>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</si>
  <si>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</si>
  <si>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</si>
  <si>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</si>
  <si>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</si>
  <si>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</si>
  <si>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</si>
  <si>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</si>
  <si>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</si>
  <si>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</si>
  <si>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</si>
  <si>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</si>
  <si>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</si>
  <si>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</si>
  <si>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</si>
  <si>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</si>
  <si>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</si>
  <si>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</si>
  <si>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</si>
  <si>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</si>
  <si>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</si>
  <si>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</si>
  <si>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</si>
  <si>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</si>
  <si>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</si>
  <si>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</si>
  <si>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</si>
  <si>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</si>
  <si>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</si>
  <si>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</si>
  <si>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</si>
  <si>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</si>
  <si>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</si>
  <si>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</si>
  <si>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</si>
  <si>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</si>
  <si>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</si>
  <si>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</si>
  <si>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</si>
  <si>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</si>
  <si>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</si>
  <si>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</si>
  <si>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</si>
  <si>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</si>
  <si>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</si>
  <si>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</si>
  <si>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</si>
  <si>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</si>
  <si>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</si>
  <si>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</si>
  <si>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</si>
  <si>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</si>
  <si>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</si>
  <si>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</si>
  <si>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</si>
  <si>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</si>
  <si>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</si>
  <si>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</si>
  <si>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</si>
  <si>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</si>
  <si>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</si>
  <si>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</si>
  <si>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</si>
  <si>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</si>
  <si>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</si>
  <si>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</si>
  <si>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</si>
  <si>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</si>
  <si>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</si>
  <si>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</si>
  <si>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</si>
  <si>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</si>
  <si>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</si>
  <si>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</si>
  <si>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</si>
  <si>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</si>
  <si>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</si>
  <si>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</si>
  <si>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</si>
  <si>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</si>
  <si>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</si>
  <si>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</si>
  <si>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</si>
  <si>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</si>
  <si>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</si>
  <si>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</si>
  <si>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</si>
  <si>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</si>
  <si>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</si>
  <si>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</si>
  <si>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</si>
  <si>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</si>
  <si>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</si>
  <si>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</si>
  <si>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</si>
  <si>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</si>
  <si>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</si>
  <si>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</si>
  <si>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</si>
  <si>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</si>
  <si>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</si>
  <si>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</si>
  <si>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</si>
  <si>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</si>
  <si>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</si>
  <si>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</si>
  <si>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</si>
  <si>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</si>
  <si>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</si>
  <si>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</si>
  <si>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</si>
  <si>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</si>
  <si>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</si>
  <si>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</si>
  <si>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</si>
  <si>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</si>
  <si>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</si>
  <si>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</si>
  <si>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</si>
  <si>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</si>
  <si>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</si>
  <si>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</si>
  <si>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</si>
  <si>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</si>
  <si>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</si>
  <si>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</si>
  <si>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</si>
  <si>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</si>
  <si>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</si>
  <si>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</si>
  <si>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</si>
  <si>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</si>
  <si>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</si>
  <si>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</si>
  <si>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</si>
  <si>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</si>
  <si>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</si>
  <si>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</si>
  <si>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</si>
  <si>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</si>
  <si>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</si>
  <si>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</si>
  <si>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</si>
  <si>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</si>
  <si>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</si>
  <si>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</si>
  <si>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</si>
  <si>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</si>
  <si>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</si>
  <si>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</si>
  <si>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</si>
  <si>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</si>
  <si>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</si>
  <si>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</si>
  <si>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</si>
  <si>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</si>
  <si>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</si>
  <si>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</si>
  <si>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</si>
  <si>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</si>
  <si>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</si>
  <si>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</si>
  <si>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</si>
  <si>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</si>
  <si>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</si>
  <si>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</si>
  <si>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</si>
  <si>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</si>
  <si>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</si>
  <si>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</si>
  <si>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</si>
  <si>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</si>
  <si>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</si>
  <si>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</si>
  <si>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</si>
  <si>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</si>
  <si>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</si>
  <si>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</si>
  <si>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</si>
  <si>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</si>
  <si>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</si>
  <si>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</si>
  <si>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</si>
  <si>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</si>
  <si>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</si>
  <si>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</si>
  <si>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</si>
  <si>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</si>
  <si>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</si>
  <si>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</si>
  <si>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</si>
  <si>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</si>
  <si>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</si>
  <si>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</si>
  <si>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</si>
  <si>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</si>
  <si>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</si>
  <si>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</si>
  <si>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</si>
  <si>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</si>
  <si>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</si>
  <si>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</si>
  <si>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</si>
  <si>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</si>
  <si>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</si>
  <si>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</si>
  <si>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</si>
  <si>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</si>
  <si>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</si>
  <si>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</si>
  <si>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</si>
  <si>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</si>
  <si>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</si>
  <si>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</si>
  <si>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</si>
  <si>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</si>
  <si>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</si>
  <si>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</si>
  <si>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</si>
  <si>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</si>
  <si>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</si>
  <si>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</si>
  <si>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</si>
  <si>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</si>
  <si>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</si>
  <si>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</si>
  <si>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</si>
  <si>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</si>
  <si>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</si>
  <si>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</si>
  <si>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</si>
  <si>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</si>
  <si>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</si>
  <si>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</si>
  <si>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</si>
  <si>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</si>
  <si>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</si>
  <si>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</si>
  <si>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</si>
  <si>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</si>
  <si>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</si>
  <si>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</si>
  <si>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</si>
  <si>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</si>
  <si>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</si>
  <si>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</si>
  <si>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</si>
  <si>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</si>
  <si>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</si>
  <si>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</si>
  <si>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</si>
  <si>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</si>
  <si>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</si>
  <si>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</si>
  <si>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</si>
  <si>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</si>
  <si>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</si>
  <si>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</si>
  <si>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</si>
  <si>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</si>
  <si>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</si>
  <si>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</si>
  <si>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</si>
  <si>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</si>
  <si>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</si>
  <si>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</si>
  <si>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</si>
  <si>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</si>
  <si>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</si>
  <si>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</si>
  <si>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</si>
  <si>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</si>
  <si>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</si>
  <si>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</si>
  <si>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</si>
  <si>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</si>
  <si>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</si>
  <si>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</si>
  <si>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</si>
  <si>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</si>
  <si>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</si>
  <si>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</si>
  <si>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</si>
  <si>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</si>
  <si>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</si>
  <si>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</si>
  <si>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</si>
  <si>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</si>
  <si>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</si>
  <si>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</si>
  <si>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</si>
  <si>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</si>
  <si>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</si>
  <si>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</si>
  <si>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</si>
  <si>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</si>
  <si>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</si>
  <si>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</si>
  <si>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</si>
  <si>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</si>
  <si>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</si>
  <si>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</si>
  <si>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</si>
  <si>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</si>
  <si>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</si>
  <si>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</si>
  <si>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</si>
  <si>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</si>
  <si>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</si>
  <si>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</si>
  <si>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</si>
  <si>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</si>
  <si>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</si>
  <si>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</si>
  <si>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</si>
  <si>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</si>
  <si>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</si>
  <si>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</si>
  <si>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</si>
  <si>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</si>
  <si>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</si>
  <si>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</si>
  <si>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</si>
  <si>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</si>
  <si>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</si>
  <si>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</si>
  <si>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</si>
  <si>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</si>
  <si>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</si>
  <si>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</si>
  <si>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</si>
  <si>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</si>
  <si>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</si>
  <si>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</si>
  <si>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</si>
  <si>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</si>
  <si>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</si>
  <si>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</si>
  <si>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</si>
  <si>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</si>
  <si>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</si>
  <si>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</si>
  <si>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</si>
  <si>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</si>
  <si>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</si>
  <si>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</si>
  <si>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</si>
  <si>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</si>
  <si>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</si>
  <si>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</si>
  <si>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</si>
  <si>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</si>
  <si>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</si>
  <si>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</si>
  <si>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</si>
  <si>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</si>
  <si>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</si>
  <si>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</si>
  <si>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</si>
  <si>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</si>
  <si>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</si>
  <si>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</si>
  <si>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</si>
  <si>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</si>
  <si>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</si>
  <si>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</si>
  <si>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</si>
  <si>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</si>
  <si>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</si>
  <si>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</si>
  <si>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</si>
  <si>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</si>
  <si>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</si>
  <si>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</si>
  <si>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</si>
  <si>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</si>
  <si>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</si>
  <si>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</si>
  <si>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</si>
  <si>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</si>
  <si>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</si>
  <si>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</si>
  <si>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</si>
  <si>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</si>
  <si>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</si>
  <si>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</si>
  <si>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</si>
  <si>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</si>
  <si>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</si>
  <si>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</si>
  <si>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</si>
  <si>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</si>
  <si>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</si>
  <si>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</si>
  <si>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</si>
  <si>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</si>
  <si>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</si>
  <si>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</si>
  <si>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</si>
  <si>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</si>
  <si>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</si>
  <si>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</si>
  <si>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</si>
  <si>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</si>
  <si>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</si>
  <si>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</si>
  <si>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</si>
  <si>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</si>
  <si>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</si>
  <si>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</si>
  <si>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</si>
  <si>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</si>
  <si>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</si>
  <si>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</si>
  <si>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</si>
  <si>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</si>
  <si>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</si>
  <si>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</si>
  <si>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</si>
  <si>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</si>
  <si>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</si>
  <si>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</si>
  <si>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</si>
  <si>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</si>
  <si>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</si>
  <si>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</si>
  <si>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</si>
  <si>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</si>
  <si>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</si>
  <si>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</si>
  <si>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</si>
  <si>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</si>
  <si>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</si>
  <si>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</si>
  <si>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</si>
  <si>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</si>
  <si>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</si>
  <si>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</si>
  <si>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</si>
  <si>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</si>
  <si>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</si>
  <si>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</si>
  <si>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</si>
  <si>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</si>
  <si>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</si>
  <si>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</si>
  <si>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</si>
  <si>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</si>
  <si>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</si>
  <si>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</si>
  <si>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</si>
  <si>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</si>
  <si>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</si>
  <si>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</si>
  <si>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</si>
  <si>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</si>
  <si>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</si>
  <si>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</si>
  <si>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</si>
  <si>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</si>
  <si>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</si>
  <si>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</si>
  <si>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</si>
  <si>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</si>
  <si>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</si>
  <si>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</si>
  <si>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</si>
  <si>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</si>
  <si>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</si>
  <si>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</si>
  <si>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</si>
  <si>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</si>
  <si>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</si>
  <si>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</si>
  <si>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</si>
  <si>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</si>
  <si>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</si>
  <si>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</si>
  <si>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</si>
  <si>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</si>
  <si>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</si>
  <si>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</si>
  <si>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</si>
  <si>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</si>
  <si>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</si>
  <si>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</si>
  <si>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</si>
  <si>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</si>
  <si>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</si>
  <si>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</si>
  <si>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</si>
  <si>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</si>
  <si>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</si>
  <si>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</si>
  <si>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</si>
  <si>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</si>
  <si>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</si>
  <si>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</si>
  <si>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</si>
  <si>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</si>
  <si>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</si>
  <si>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</si>
  <si>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</si>
  <si>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</si>
  <si>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</si>
  <si>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</si>
  <si>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</si>
  <si>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</si>
  <si>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</si>
  <si>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</si>
  <si>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</si>
  <si>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</si>
  <si>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</si>
  <si>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</si>
  <si>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</si>
  <si>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</si>
  <si>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</si>
  <si>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</si>
  <si>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</si>
  <si>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</si>
  <si>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</si>
  <si>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</si>
  <si>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</si>
  <si>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</si>
  <si>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</si>
  <si>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</si>
  <si>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</si>
  <si>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</si>
  <si>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</si>
  <si>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</si>
  <si>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</si>
  <si>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</si>
  <si>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</si>
  <si>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</si>
  <si>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</si>
  <si>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</si>
  <si>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</si>
  <si>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</si>
  <si>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</si>
  <si>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</si>
  <si>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</si>
  <si>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</si>
  <si>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</si>
  <si>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</si>
  <si>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</si>
  <si>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</si>
  <si>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</si>
  <si>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</si>
  <si>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</si>
  <si>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</si>
  <si>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</si>
  <si>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</si>
  <si>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</si>
  <si>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</si>
  <si>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</si>
  <si>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</si>
  <si>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</si>
  <si>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</si>
  <si>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</si>
  <si>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</si>
  <si>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</si>
  <si>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</si>
  <si>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</si>
  <si>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</si>
  <si>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</si>
  <si>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</si>
  <si>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</si>
  <si>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</si>
  <si>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</si>
  <si>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</si>
  <si>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</si>
  <si>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</si>
  <si>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</si>
  <si>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</si>
  <si>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</si>
  <si>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</si>
  <si>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</si>
  <si>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</si>
  <si>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</si>
  <si>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</si>
  <si>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</si>
  <si>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</si>
  <si>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</si>
  <si>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</si>
  <si>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</si>
  <si>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</si>
  <si>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</si>
  <si>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</si>
  <si>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</si>
  <si>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</si>
  <si>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</si>
  <si>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</si>
  <si>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</si>
  <si>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</si>
  <si>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</si>
  <si>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</si>
  <si>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</si>
  <si>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</si>
  <si>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</si>
  <si>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</si>
  <si>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</si>
  <si>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</si>
  <si>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</si>
  <si>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</si>
  <si>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</si>
  <si>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</si>
  <si>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</si>
  <si>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</si>
  <si>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</si>
  <si>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</si>
  <si>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</si>
  <si>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</si>
  <si>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</si>
  <si>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</si>
  <si>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</si>
  <si>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</si>
  <si>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</si>
  <si>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</si>
  <si>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</si>
  <si>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</si>
  <si>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</si>
  <si>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</si>
  <si>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</si>
  <si>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</si>
  <si>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</si>
  <si>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</si>
  <si>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</si>
  <si>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</si>
  <si>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</si>
  <si>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</si>
  <si>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</si>
  <si>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</si>
  <si>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</si>
  <si>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</si>
  <si>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</si>
  <si>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</si>
  <si>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</si>
  <si>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</si>
  <si>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</si>
  <si>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</si>
  <si>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</si>
  <si>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</si>
  <si>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</si>
  <si>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</si>
  <si>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</si>
  <si>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</si>
  <si>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</si>
  <si>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</si>
  <si>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</si>
  <si>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</si>
  <si>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</si>
  <si>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</si>
  <si>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</si>
  <si>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</si>
  <si>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</si>
  <si>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</si>
  <si>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</si>
  <si>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</si>
  <si>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</si>
  <si>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</si>
  <si>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</si>
  <si>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</si>
  <si>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</si>
  <si>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</si>
  <si>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</si>
  <si>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</si>
  <si>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</si>
  <si>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</si>
  <si>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</si>
  <si>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</si>
  <si>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</si>
  <si>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</si>
  <si>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</si>
  <si>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</si>
  <si>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</si>
  <si>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</si>
  <si>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</si>
  <si>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</si>
  <si>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</si>
  <si>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</si>
  <si>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</si>
  <si>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</si>
  <si>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</si>
  <si>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</si>
  <si>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</si>
  <si>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</si>
  <si>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</si>
  <si>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</si>
  <si>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</si>
  <si>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</si>
  <si>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</si>
  <si>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</si>
  <si>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</si>
  <si>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</si>
  <si>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</si>
  <si>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</si>
  <si>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</si>
  <si>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</si>
  <si>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</si>
  <si>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</si>
  <si>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</si>
  <si>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</si>
  <si>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</si>
  <si>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</si>
  <si>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</si>
  <si>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</si>
  <si>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</si>
  <si>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</si>
  <si>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</si>
  <si>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</si>
  <si>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</si>
  <si>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</si>
  <si>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</si>
  <si>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</si>
  <si>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</si>
  <si>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</si>
  <si>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</si>
  <si>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</si>
  <si>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</si>
  <si>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</si>
  <si>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</si>
  <si>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</si>
  <si>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</si>
  <si>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</si>
  <si>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</si>
  <si>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</si>
  <si>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</si>
  <si>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</si>
  <si>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</si>
  <si>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</si>
  <si>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</si>
  <si>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</si>
  <si>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</si>
  <si>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</si>
  <si>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</si>
  <si>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</si>
  <si>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</si>
  <si>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</si>
  <si>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</si>
  <si>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</si>
  <si>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</si>
  <si>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</si>
  <si>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</si>
  <si>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</si>
  <si>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</si>
  <si>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</si>
  <si>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</si>
  <si>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</si>
  <si>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</si>
  <si>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</si>
  <si>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</si>
  <si>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</si>
  <si>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</si>
  <si>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</si>
  <si>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</si>
  <si>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</si>
  <si>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</si>
  <si>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</si>
  <si>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</si>
  <si>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</si>
  <si>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</si>
  <si>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</si>
  <si>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</si>
  <si>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</si>
  <si>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</si>
  <si>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</si>
  <si>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</si>
  <si>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</si>
  <si>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</si>
  <si>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</si>
  <si>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</si>
  <si>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</si>
  <si>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</si>
  <si>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</si>
  <si>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</si>
  <si>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</si>
  <si>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</si>
  <si>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</si>
  <si>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</si>
  <si>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</si>
  <si>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</si>
  <si>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</si>
  <si>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</si>
  <si>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</si>
  <si>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</si>
  <si>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</si>
  <si>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</si>
  <si>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</si>
  <si>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</si>
  <si>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</si>
  <si>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</si>
  <si>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</si>
  <si>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</si>
  <si>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</si>
  <si>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</si>
  <si>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</si>
  <si>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</si>
  <si>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</si>
  <si>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</si>
  <si>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</si>
  <si>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</si>
  <si>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</si>
  <si>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</si>
  <si>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</si>
  <si>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</si>
  <si>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</si>
  <si>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</si>
  <si>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</si>
  <si>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</si>
  <si>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</si>
  <si>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</si>
  <si>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</si>
  <si>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</si>
  <si>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</si>
  <si>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</si>
  <si>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</si>
  <si>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</si>
  <si>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</si>
  <si>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</si>
  <si>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</si>
  <si>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</si>
  <si>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</si>
  <si>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</si>
  <si>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</si>
  <si>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</si>
  <si>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</si>
  <si>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</si>
  <si>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</si>
  <si>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</si>
  <si>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</si>
  <si>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</si>
  <si>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</si>
  <si>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</si>
  <si>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</si>
  <si>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</si>
  <si>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</si>
  <si>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</si>
  <si>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</si>
  <si>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</si>
  <si>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</si>
  <si>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</si>
  <si>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</si>
  <si>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</si>
  <si>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</si>
  <si>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</si>
  <si>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</si>
  <si>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</si>
  <si>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</si>
  <si>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</si>
  <si>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</si>
  <si>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</si>
  <si>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</si>
  <si>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</si>
  <si>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</si>
  <si>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</si>
  <si>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</si>
  <si>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</si>
  <si>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</si>
  <si>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</si>
  <si>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</si>
  <si>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</si>
  <si>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</si>
  <si>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</si>
  <si>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</si>
  <si>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</si>
  <si>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</si>
  <si>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</si>
  <si>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</si>
  <si>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</si>
  <si>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</si>
  <si>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</si>
  <si>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</si>
  <si>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</si>
  <si>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</si>
  <si>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</si>
  <si>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</si>
  <si>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</si>
  <si>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</si>
  <si>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</si>
  <si>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</si>
  <si>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</si>
  <si>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</si>
  <si>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</si>
  <si>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</si>
  <si>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</si>
  <si>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</si>
  <si>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</si>
  <si>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</si>
  <si>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</si>
  <si>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</si>
  <si>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</si>
  <si>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</si>
  <si>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</si>
  <si>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</si>
  <si>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</si>
  <si>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</si>
  <si>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</si>
  <si>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</si>
  <si>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</si>
  <si>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</si>
  <si>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</si>
  <si>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</si>
  <si>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</si>
  <si>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</si>
  <si>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</si>
  <si>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</si>
  <si>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</si>
  <si>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</si>
  <si>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</si>
  <si>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</si>
  <si>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</si>
  <si>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</si>
  <si>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</si>
  <si>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</si>
  <si>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</si>
  <si>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</si>
  <si>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</si>
  <si>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</si>
  <si>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</si>
  <si>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</si>
  <si>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</si>
  <si>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</si>
  <si>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</si>
  <si>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</si>
  <si>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</si>
  <si>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</si>
  <si>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</si>
  <si>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</si>
  <si>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</si>
  <si>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</si>
  <si>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</si>
  <si>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</si>
  <si>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</si>
  <si>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</si>
  <si>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</si>
  <si>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</si>
  <si>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</si>
  <si>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</si>
  <si>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</si>
  <si>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</si>
  <si>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</si>
  <si>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</si>
  <si>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</si>
  <si>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</si>
  <si>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</si>
  <si>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</si>
  <si>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</si>
  <si>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</si>
  <si>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</si>
  <si>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</si>
  <si>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</si>
  <si>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</si>
  <si>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</si>
  <si>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</si>
  <si>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</si>
  <si>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</si>
  <si>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</si>
  <si>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</si>
  <si>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</si>
  <si>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</si>
  <si>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</si>
  <si>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</si>
  <si>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</si>
  <si>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</si>
  <si>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</si>
  <si>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</si>
  <si>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</si>
  <si>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</si>
  <si>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</si>
  <si>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</si>
  <si>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</si>
  <si>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</si>
  <si>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</si>
  <si>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</si>
  <si>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</si>
  <si>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</si>
  <si>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</si>
  <si>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</si>
  <si>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</si>
  <si>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</si>
  <si>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</si>
  <si>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</si>
  <si>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</si>
  <si>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</si>
  <si>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</si>
  <si>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</si>
  <si>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</si>
  <si>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</si>
  <si>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</si>
  <si>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</si>
  <si>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</si>
  <si>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</si>
  <si>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</si>
  <si>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</si>
  <si>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</si>
  <si>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</si>
  <si>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</si>
  <si>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</si>
  <si>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</si>
  <si>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</si>
  <si>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</si>
  <si>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</si>
  <si>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</si>
  <si>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</si>
  <si>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</si>
  <si>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</si>
  <si>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</si>
  <si>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</si>
  <si>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</si>
  <si>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</si>
  <si>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</si>
  <si>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</si>
  <si>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</si>
  <si>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</si>
  <si>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</si>
  <si>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</si>
  <si>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</si>
  <si>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</si>
  <si>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</si>
  <si>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</si>
  <si>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</si>
  <si>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</si>
  <si>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</si>
  <si>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</si>
  <si>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</si>
  <si>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</si>
  <si>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</si>
  <si>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</si>
  <si>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</si>
  <si>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</si>
  <si>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</si>
  <si>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</si>
  <si>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</si>
  <si>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</si>
  <si>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</si>
  <si>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</si>
  <si>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</si>
  <si>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</si>
  <si>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</si>
  <si>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</si>
  <si>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</si>
  <si>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</si>
  <si>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</si>
  <si>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</si>
  <si>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</si>
  <si>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</si>
  <si>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</si>
  <si>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</si>
  <si>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</si>
  <si>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</si>
  <si>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</si>
  <si>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</si>
  <si>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</si>
  <si>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</si>
  <si>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</si>
  <si>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</si>
  <si>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</si>
  <si>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</si>
  <si>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</si>
  <si>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</si>
  <si>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</si>
  <si>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</si>
  <si>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</si>
  <si>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</si>
  <si>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</si>
  <si>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</si>
  <si>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</si>
  <si>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</si>
  <si>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</si>
  <si>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</si>
  <si>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</si>
  <si>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</si>
  <si>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</si>
  <si>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</si>
  <si>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</si>
  <si>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</si>
  <si>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</si>
  <si>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</si>
  <si>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</si>
  <si>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</si>
  <si>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</si>
  <si>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</si>
  <si>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</si>
  <si>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</si>
  <si>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</si>
  <si>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</si>
  <si>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</si>
  <si>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</si>
  <si>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</si>
  <si>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</si>
  <si>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</si>
  <si>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</si>
  <si>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</si>
  <si>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</si>
  <si>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</si>
  <si>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</si>
  <si>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</si>
  <si>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</si>
  <si>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</si>
  <si>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</si>
  <si>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</si>
  <si>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</si>
  <si>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</si>
  <si>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</si>
  <si>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</si>
  <si>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</si>
  <si>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</si>
  <si>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</si>
  <si>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</si>
  <si>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</si>
  <si>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</si>
  <si>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</si>
  <si>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</si>
  <si>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</si>
  <si>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</si>
  <si>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</si>
  <si>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</si>
  <si>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</si>
  <si>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</si>
  <si>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</si>
  <si>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</si>
  <si>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</si>
  <si>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</si>
  <si>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</si>
  <si>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</si>
  <si>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</si>
  <si>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</si>
  <si>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</si>
  <si>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</si>
  <si>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</si>
  <si>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</si>
  <si>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</si>
  <si>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</si>
  <si>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</si>
  <si>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</si>
  <si>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</si>
  <si>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</si>
  <si>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</si>
  <si>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</si>
  <si>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</si>
  <si>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</si>
  <si>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</si>
  <si>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</si>
  <si>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</si>
  <si>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</si>
  <si>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</si>
  <si>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</si>
  <si>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</si>
  <si>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</si>
  <si>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</si>
  <si>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</si>
  <si>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</si>
  <si>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</si>
  <si>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</si>
  <si>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</si>
  <si>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</si>
  <si>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</si>
  <si>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</si>
  <si>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</si>
  <si>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</si>
  <si>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</si>
  <si>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</si>
  <si>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</si>
  <si>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</si>
  <si>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</si>
  <si>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</si>
  <si>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</si>
  <si>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</si>
  <si>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</si>
  <si>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</si>
  <si>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</si>
  <si>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</si>
  <si>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</si>
  <si>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</si>
  <si>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</si>
  <si>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</si>
  <si>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</si>
  <si>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</si>
  <si>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</si>
  <si>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</si>
  <si>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</si>
  <si>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</si>
  <si>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</si>
  <si>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</si>
  <si>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</si>
  <si>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</si>
  <si>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</si>
  <si>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</si>
  <si>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</si>
  <si>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</si>
  <si>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</si>
  <si>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</si>
  <si>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</si>
  <si>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</si>
  <si>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</si>
  <si>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</si>
  <si>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</si>
  <si>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</si>
  <si>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</si>
  <si>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</si>
  <si>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</si>
  <si>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</si>
  <si>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</si>
  <si>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</si>
  <si>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</si>
  <si>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</si>
  <si>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</si>
  <si>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</si>
  <si>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</si>
  <si>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</si>
  <si>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</si>
  <si>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</si>
  <si>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</si>
  <si>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</si>
  <si>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</si>
  <si>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</si>
  <si>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</si>
  <si>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</si>
  <si>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</si>
  <si>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</si>
  <si>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</si>
  <si>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</si>
  <si>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</si>
  <si>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</si>
  <si>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</si>
  <si>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</si>
  <si>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</si>
  <si>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</si>
  <si>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</si>
  <si>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</si>
  <si>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</si>
  <si>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</si>
  <si>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</si>
  <si>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</si>
  <si>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</si>
  <si>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</si>
  <si>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</si>
  <si>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</si>
  <si>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</si>
  <si>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</si>
  <si>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</si>
  <si>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</si>
  <si>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</si>
  <si>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</si>
  <si>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</si>
  <si>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</si>
  <si>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</si>
  <si>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</si>
  <si>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</si>
  <si>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</si>
  <si>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</si>
  <si>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</si>
  <si>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</si>
  <si>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</si>
  <si>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</si>
  <si>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</si>
  <si>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</si>
  <si>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</si>
  <si>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</si>
  <si>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</si>
  <si>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</si>
  <si>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</si>
  <si>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</si>
  <si>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</si>
  <si>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</si>
  <si>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</si>
  <si>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</si>
  <si>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</si>
  <si>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</si>
  <si>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</si>
  <si>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</si>
  <si>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</si>
  <si>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</si>
  <si>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</si>
  <si>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</si>
  <si>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</si>
  <si>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</si>
  <si>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</si>
  <si>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</si>
  <si>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</si>
  <si>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</si>
  <si>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</si>
  <si>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</si>
  <si>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</si>
  <si>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</si>
  <si>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</si>
  <si>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</si>
  <si>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</si>
  <si>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</si>
  <si>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</si>
  <si>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</si>
  <si>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</si>
  <si>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</si>
  <si>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</si>
  <si>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</si>
  <si>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</si>
  <si>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</si>
  <si>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</si>
  <si>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</si>
  <si>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</si>
  <si>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</si>
  <si>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</si>
  <si>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</si>
  <si>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</si>
  <si>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</si>
  <si>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</si>
  <si>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</si>
  <si>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</si>
  <si>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</si>
  <si>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</si>
  <si>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</si>
  <si>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</si>
  <si>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</si>
  <si>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</si>
  <si>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</si>
  <si>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</si>
  <si>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</si>
  <si>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</si>
  <si>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</si>
  <si>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</si>
  <si>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</si>
  <si>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</si>
  <si>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</si>
  <si>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</si>
  <si>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</si>
  <si>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</si>
  <si>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</si>
  <si>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</si>
  <si>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</si>
  <si>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</si>
  <si>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</si>
  <si>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</si>
  <si>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</si>
  <si>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</si>
  <si>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</si>
  <si>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</si>
  <si>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</si>
  <si>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</si>
  <si>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</si>
  <si>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</si>
  <si>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</si>
  <si>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</si>
  <si>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</si>
  <si>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</si>
  <si>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</si>
  <si>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</si>
  <si>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</si>
  <si>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</si>
  <si>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</si>
  <si>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</si>
  <si>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</si>
  <si>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</si>
  <si>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</si>
  <si>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</si>
  <si>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</si>
  <si>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</si>
  <si>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</si>
  <si>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</si>
  <si>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</si>
  <si>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</si>
  <si>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</si>
  <si>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</si>
  <si>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</si>
  <si>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</si>
  <si>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</si>
  <si>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</si>
  <si>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</si>
  <si>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</si>
  <si>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</si>
  <si>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</si>
  <si>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</si>
  <si>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</si>
  <si>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</si>
  <si>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</si>
  <si>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</si>
  <si>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</si>
  <si>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</si>
  <si>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</si>
  <si>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</si>
  <si>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</si>
  <si>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</si>
  <si>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</si>
  <si>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</si>
  <si>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</si>
  <si>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</si>
  <si>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</si>
  <si>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</si>
  <si>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</si>
  <si>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</si>
  <si>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</si>
  <si>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</si>
  <si>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</si>
  <si>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</si>
  <si>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</si>
  <si>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</si>
  <si>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</si>
  <si>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</si>
  <si>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</si>
  <si>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</si>
  <si>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</si>
  <si>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</si>
  <si>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</si>
  <si>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</si>
  <si>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</si>
  <si>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</si>
  <si>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</si>
  <si>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</si>
  <si>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</si>
  <si>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</si>
  <si>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</si>
  <si>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</si>
  <si>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</si>
  <si>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</si>
  <si>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</si>
  <si>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</si>
  <si>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</si>
  <si>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</si>
  <si>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</si>
  <si>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</si>
  <si>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</si>
  <si>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</si>
  <si>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</si>
  <si>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</si>
  <si>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</si>
  <si>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</si>
  <si>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</si>
  <si>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</si>
  <si>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</si>
  <si>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</si>
  <si>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</si>
  <si>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</si>
  <si>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</si>
  <si>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</si>
  <si>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</si>
  <si>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</si>
  <si>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</si>
  <si>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</si>
  <si>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</si>
  <si>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</si>
  <si>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</si>
  <si>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</si>
  <si>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</si>
  <si>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</si>
  <si>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</si>
  <si>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</si>
  <si>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</si>
  <si>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</si>
  <si>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</si>
  <si>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</si>
  <si>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</si>
  <si>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</si>
  <si>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</si>
  <si>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</si>
  <si>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</si>
  <si>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</si>
  <si>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</si>
  <si>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</si>
  <si>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</si>
  <si>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</si>
  <si>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</si>
  <si>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</si>
  <si>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</si>
  <si>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</si>
  <si>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</si>
  <si>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</si>
  <si>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</si>
  <si>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</si>
  <si>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</si>
  <si>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</si>
  <si>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</si>
  <si>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</si>
  <si>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</si>
  <si>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</si>
  <si>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</si>
  <si>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</si>
  <si>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</si>
  <si>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</si>
  <si>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</si>
  <si>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</si>
  <si>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</si>
  <si>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</si>
  <si>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</si>
  <si>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</si>
  <si>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</si>
  <si>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</si>
  <si>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</si>
  <si>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</si>
  <si>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</si>
  <si>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</si>
  <si>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</si>
  <si>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</si>
  <si>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</si>
  <si>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</si>
  <si>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</si>
  <si>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</si>
  <si>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</si>
  <si>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</si>
  <si>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</si>
  <si>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</si>
  <si>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</si>
  <si>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</si>
  <si>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</si>
  <si>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</si>
  <si>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</si>
  <si>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</si>
  <si>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</si>
  <si>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</si>
  <si>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</si>
  <si>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</si>
  <si>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</si>
  <si>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</si>
  <si>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</si>
  <si>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</si>
  <si>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</si>
  <si>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</si>
  <si>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</si>
  <si>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</si>
  <si>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</si>
  <si>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</si>
  <si>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</si>
  <si>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</si>
  <si>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</si>
  <si>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</si>
  <si>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</si>
  <si>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</si>
  <si>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</si>
  <si>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</si>
  <si>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</si>
  <si>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</si>
  <si>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</si>
  <si>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</si>
  <si>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</si>
  <si>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</si>
  <si>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</si>
  <si>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</si>
  <si>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</si>
  <si>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</si>
  <si>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</si>
  <si>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</si>
  <si>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</si>
  <si>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</si>
  <si>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</si>
  <si>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</si>
  <si>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</si>
  <si>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</si>
  <si>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</si>
  <si>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</si>
  <si>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</si>
  <si>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</si>
  <si>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</si>
  <si>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</si>
  <si>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</si>
  <si>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</si>
  <si>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</si>
  <si>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</si>
  <si>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</si>
  <si>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</si>
  <si>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</si>
  <si>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</si>
  <si>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</si>
  <si>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</si>
  <si>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</si>
  <si>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</si>
  <si>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</si>
  <si>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</si>
  <si>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</si>
  <si>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</si>
  <si>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</si>
  <si>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</si>
  <si>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</si>
  <si>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</si>
  <si>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</si>
  <si>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</si>
  <si>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</si>
  <si>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</si>
  <si>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</si>
  <si>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</si>
  <si>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</si>
  <si>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</si>
  <si>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</si>
  <si>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</si>
  <si>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</si>
  <si>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</si>
  <si>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</si>
  <si>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</si>
  <si>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</si>
  <si>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</si>
  <si>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</si>
  <si>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</si>
  <si>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</si>
  <si>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</si>
  <si>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</si>
  <si>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</si>
  <si>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</si>
  <si>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</si>
  <si>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</si>
  <si>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</si>
  <si>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</si>
  <si>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</si>
  <si>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</si>
  <si>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</si>
  <si>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</si>
  <si>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</si>
  <si>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</si>
  <si>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</si>
  <si>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</si>
  <si>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</si>
  <si>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</si>
  <si>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</si>
  <si>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</si>
  <si>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</si>
  <si>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</si>
  <si>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</si>
  <si>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</si>
  <si>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</si>
  <si>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</si>
  <si>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</si>
  <si>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</si>
  <si>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</si>
  <si>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</si>
  <si>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</si>
  <si>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</si>
  <si>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</si>
  <si>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</si>
  <si>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</si>
  <si>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</si>
  <si>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</si>
  <si>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</si>
  <si>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</si>
  <si>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</si>
  <si>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</si>
  <si>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</si>
  <si>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</si>
  <si>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</si>
  <si>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</si>
  <si>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</si>
  <si>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</si>
  <si>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</si>
  <si>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</si>
  <si>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</si>
  <si>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</si>
  <si>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</si>
  <si>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</si>
  <si>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</si>
  <si>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</si>
  <si>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</si>
  <si>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</si>
  <si>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</si>
  <si>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</si>
  <si>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</si>
  <si>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</si>
  <si>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</si>
  <si>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</si>
  <si>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</si>
  <si>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</si>
  <si>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</si>
  <si>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</si>
  <si>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</si>
  <si>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</si>
  <si>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</si>
  <si>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</si>
  <si>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</si>
  <si>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</si>
  <si>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</si>
  <si>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</si>
  <si>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</si>
  <si>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</si>
  <si>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</si>
  <si>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</si>
  <si>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</si>
  <si>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</si>
  <si>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</si>
  <si>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</si>
  <si>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</si>
  <si>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</si>
  <si>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</si>
  <si>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</si>
  <si>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</si>
  <si>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</si>
  <si>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</si>
  <si>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</si>
  <si>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</si>
  <si>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</si>
  <si>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</si>
  <si>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</si>
  <si>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</si>
  <si>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</si>
  <si>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</si>
  <si>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</si>
  <si>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</si>
  <si>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</si>
  <si>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</si>
  <si>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</si>
  <si>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</si>
  <si>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</si>
  <si>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</si>
  <si>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</si>
  <si>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</si>
  <si>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</si>
  <si>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</si>
  <si>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</si>
  <si>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</si>
  <si>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</si>
  <si>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</si>
  <si>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</si>
  <si>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</si>
  <si>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</si>
  <si>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</si>
  <si>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</si>
  <si>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</si>
  <si>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</si>
  <si>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</si>
  <si>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</si>
  <si>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</si>
  <si>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</si>
  <si>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</si>
  <si>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</si>
  <si>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</si>
  <si>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</si>
  <si>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</si>
  <si>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</si>
  <si>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</si>
  <si>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</si>
  <si>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</si>
  <si>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</si>
  <si>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</si>
  <si>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</si>
  <si>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</si>
  <si>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</si>
  <si>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</si>
  <si>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</si>
  <si>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</si>
  <si>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</si>
  <si>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</si>
  <si>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</si>
  <si>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</si>
  <si>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</si>
  <si>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</si>
  <si>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</si>
  <si>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</si>
  <si>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</si>
  <si>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</si>
  <si>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</si>
  <si>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</si>
  <si>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</si>
  <si>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</si>
  <si>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</si>
  <si>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</si>
  <si>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</si>
  <si>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</si>
  <si>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</si>
  <si>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</si>
  <si>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</si>
  <si>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</si>
  <si>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</si>
  <si>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</si>
  <si>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</si>
  <si>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</si>
  <si>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</si>
  <si>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</si>
  <si>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</si>
  <si>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</si>
  <si>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</si>
  <si>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</si>
  <si>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</si>
  <si>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</si>
  <si>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</si>
  <si>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</si>
  <si>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</si>
  <si>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</si>
  <si>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</si>
  <si>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</si>
  <si>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</si>
  <si>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</si>
  <si>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</si>
  <si>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</si>
  <si>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</si>
  <si>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</si>
  <si>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</si>
  <si>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</si>
  <si>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</si>
  <si>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</si>
  <si>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</si>
  <si>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</si>
  <si>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</si>
  <si>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</si>
  <si>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</si>
  <si>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</si>
  <si>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02/15/2005</t>
  </si>
  <si>
    <t>08/15/2024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</si>
</sst>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1395</v>
      </c>
      <c r="B2">
        <f>INDEX('School Tables'!$AH$3:$AH$209,MATCH('DOE25'!A2,'School Tables'!$AJ$3:$AJ$209,0))</f>
        <v>476</v>
      </c>
      <c r="C2">
        <f>INDEX('School Tables'!$AI$3:$AI$209,MATCH('DOE25'!A2,'School Tables'!$AJ$3:$AJ$209,0))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2127432.8199999998</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238567.35</v>
      </c>
      <c r="G12" s="18">
        <v>5209.7</v>
      </c>
      <c r="H12" s="18">
        <f>720+158485.64+19863.22</f>
        <v>179068.86000000002</v>
      </c>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v>35866.03</v>
      </c>
      <c r="H13" s="18"/>
      <c r="I13" s="18"/>
      <c r="J13" s="13">
        <f>SUM(I443)</f>
        <v>916227.17</v>
      </c>
      <c r="K13" s="23" t="s">
        <v>288</v>
      </c>
      <c r="L13" s="23" t="s">
        <v>288</v>
      </c>
      <c r="M13" s="8"/>
      <c r="N13" s="165"/>
    </row>
    <row r="14" spans="1:14" s="3" customFormat="1" ht="12.2" customHeight="1" x14ac:dyDescent="0.15">
      <c r="A14" s="1" t="s">
        <v>565</v>
      </c>
      <c r="B14" s="2" t="s">
        <v>289</v>
      </c>
      <c r="C14" s="6">
        <v>6</v>
      </c>
      <c r="D14" s="2" t="s">
        <v>428</v>
      </c>
      <c r="E14" s="6">
        <v>150</v>
      </c>
      <c r="F14" s="18">
        <v>88113.36</v>
      </c>
      <c r="G14" s="18">
        <v>9234.82</v>
      </c>
      <c r="H14" s="18">
        <v>590619.17000000004</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38092.97</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2492206.5</v>
      </c>
      <c r="G19" s="38">
        <f>SUM(G9:G18)</f>
        <v>50310.549999999996</v>
      </c>
      <c r="H19" s="38">
        <f>SUM(H9:H18)</f>
        <v>769688.03</v>
      </c>
      <c r="I19" s="38">
        <f>SUM(I9:I18)</f>
        <v>0</v>
      </c>
      <c r="J19" s="38">
        <f>SUM(J9:J18)</f>
        <v>916227.17</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422845.91</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357372.74</v>
      </c>
      <c r="G24" s="18">
        <v>37987.11</v>
      </c>
      <c r="H24" s="18">
        <v>56459.79</v>
      </c>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105228.23</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68300.89</v>
      </c>
      <c r="G29" s="18"/>
      <c r="H29" s="18">
        <v>5103.47</v>
      </c>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1330</v>
      </c>
      <c r="H30" s="18">
        <v>65868.13</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530901.86</v>
      </c>
      <c r="G32" s="38">
        <f>SUM(G22:G31)</f>
        <v>39317.11</v>
      </c>
      <c r="H32" s="38">
        <f>SUM(H22:H31)</f>
        <v>550277.29999999993</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38092.97</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f>G477</f>
        <v>10993.439999999944</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f>168878.57+17687.96+720</f>
        <v>187286.53</v>
      </c>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125000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612840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f>H477-H43</f>
        <v>32124.19999999975</v>
      </c>
      <c r="I48" s="18"/>
      <c r="J48" s="13">
        <f>SUM(I460)</f>
        <v>916227.17</v>
      </c>
      <c r="K48" s="23" t="s">
        <v>288</v>
      </c>
      <c r="L48" s="23" t="s">
        <v>288</v>
      </c>
      <c r="M48" s="8"/>
      <c r="N48" s="165"/>
    </row>
    <row r="49" spans="1:14" s="3" customFormat="1" ht="12.2" customHeight="1" x14ac:dyDescent="0.15">
      <c r="A49" s="1" t="s">
        <v>858</v>
      </c>
      <c r="B49" s="2" t="s">
        <v>289</v>
      </c>
      <c r="C49" s="6">
        <v>34</v>
      </c>
      <c r="D49" s="2"/>
      <c r="E49" s="6">
        <v>753</v>
      </c>
      <c r="F49" s="18">
        <v>503574.95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F477-F36-F44-F46-F49</f>
        <v>681796.72000000067</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1961304.6400000006</v>
      </c>
      <c r="G51" s="38">
        <f>SUM(G35:G50)</f>
        <v>10993.439999999944</v>
      </c>
      <c r="H51" s="38">
        <f>SUM(H35:H50)</f>
        <v>219410.72999999975</v>
      </c>
      <c r="I51" s="38">
        <f>SUM(I35:I50)</f>
        <v>0</v>
      </c>
      <c r="J51" s="38">
        <f>SUM(J35:J50)</f>
        <v>916227.17</v>
      </c>
      <c r="K51" s="42" t="s">
        <v>288</v>
      </c>
      <c r="L51" s="42" t="s">
        <v>288</v>
      </c>
      <c r="N51" s="131"/>
    </row>
    <row r="52" spans="1:14" s="3" customFormat="1" ht="12.2" customHeight="1" thickTop="1" x14ac:dyDescent="0.15">
      <c r="A52" s="35" t="s">
        <v>455</v>
      </c>
      <c r="B52" s="36" t="s">
        <v>289</v>
      </c>
      <c r="C52" s="6">
        <v>37</v>
      </c>
      <c r="D52" s="36" t="s">
        <v>653</v>
      </c>
      <c r="E52" s="36"/>
      <c r="F52" s="38">
        <f>F51+F32</f>
        <v>2492206.5000000005</v>
      </c>
      <c r="G52" s="38">
        <f>G51+G32</f>
        <v>50310.549999999945</v>
      </c>
      <c r="H52" s="38">
        <f>H51+H32</f>
        <v>769688.02999999968</v>
      </c>
      <c r="I52" s="38">
        <f>I51+I32</f>
        <v>0</v>
      </c>
      <c r="J52" s="38">
        <f>J51+J32</f>
        <v>916227.17</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24513617</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24513617</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f>3599946.85-439409.35</f>
        <v>3160537.5</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439409.35</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v>38190</v>
      </c>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v>33957</v>
      </c>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3638136.85</v>
      </c>
      <c r="G79" s="42" t="s">
        <v>288</v>
      </c>
      <c r="H79" s="38">
        <f>SUM(H63:H78)</f>
        <v>33957</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134740.59</v>
      </c>
      <c r="G96" s="18"/>
      <c r="H96" s="18"/>
      <c r="I96" s="18"/>
      <c r="J96" s="18">
        <f>H394+H402</f>
        <v>26644.080000000002</v>
      </c>
      <c r="K96" s="23" t="s">
        <v>288</v>
      </c>
      <c r="L96" s="23" t="s">
        <v>288</v>
      </c>
      <c r="M96" s="8"/>
      <c r="N96" s="165"/>
    </row>
    <row r="97" spans="1:14" s="3" customFormat="1" ht="12.2" customHeight="1" x14ac:dyDescent="0.15">
      <c r="A97" s="1" t="s">
        <v>503</v>
      </c>
      <c r="B97" s="2" t="s">
        <v>315</v>
      </c>
      <c r="C97" s="6">
        <v>12</v>
      </c>
      <c r="D97" s="2" t="s">
        <v>430</v>
      </c>
      <c r="E97" s="6">
        <v>1600</v>
      </c>
      <c r="F97" s="23" t="s">
        <v>288</v>
      </c>
      <c r="G97" s="18">
        <v>496831.48</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v>146007.54</v>
      </c>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v>192</v>
      </c>
      <c r="H102" s="18">
        <v>86875.16</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109297.34</v>
      </c>
      <c r="G110" s="18"/>
      <c r="H110" s="18">
        <f>146727.54-146007.54</f>
        <v>720</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244037.93</v>
      </c>
      <c r="G111" s="38">
        <f>SUM(G96:G110)</f>
        <v>497023.48</v>
      </c>
      <c r="H111" s="38">
        <f>SUM(H96:H110)</f>
        <v>233602.7</v>
      </c>
      <c r="I111" s="38">
        <f>SUM(I96:I110)</f>
        <v>0</v>
      </c>
      <c r="J111" s="38">
        <f>SUM(J96:J110)</f>
        <v>26644.080000000002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28395791.780000001</v>
      </c>
      <c r="G112" s="38">
        <f>G60+G111</f>
        <v>497023.48</v>
      </c>
      <c r="H112" s="38">
        <f>H60+H79+H94+H111</f>
        <v>267559.7</v>
      </c>
      <c r="I112" s="38">
        <f>I60+I111</f>
        <v>0</v>
      </c>
      <c r="J112" s="38">
        <f>J60+J111</f>
        <v>26644.080000000002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3711442.74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1967191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169941.91</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5848575.6500000004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469212.96</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327124.32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v>14669.4</v>
      </c>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9107.08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811006.68</v>
      </c>
      <c r="G136" s="38">
        <f>SUM(G123:G135)</f>
        <v>9107.08</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6659582.3300000001</v>
      </c>
      <c r="G140" s="38">
        <f>G121+SUM(G136:G137)</f>
        <v>9107.08</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137242.65</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80302.350000000006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v>240252.04</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499699.95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68500.41</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62022</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784703.57</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68500.41</v>
      </c>
      <c r="G163" s="38">
        <f>SUM(G150:G162)</f>
        <v>240252.04</v>
      </c>
      <c r="H163" s="38">
        <f>SUM(H150:H162)</f>
        <v>1563970.52</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68500.41</v>
      </c>
      <c r="G170" s="38">
        <f>G147+G163+SUM(G164:G169)</f>
        <v>240252.04</v>
      </c>
      <c r="H170" s="38">
        <f>H147+H163+SUM(H164:H169)</f>
        <v>1563970.52</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f>G394+G402</f>
        <v>175000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175000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175000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35123874.519999996</v>
      </c>
      <c r="G194" s="38">
        <f>G112+G140+G170+G193</f>
        <v>746382.6</v>
      </c>
      <c r="H194" s="38">
        <f>H112+H140+H170+H193</f>
        <v>1831530.22</v>
      </c>
      <c r="I194" s="38">
        <f>I112+I140+I170+I193</f>
        <v>0</v>
      </c>
      <c r="J194" s="38">
        <f>J112+J140+J193</f>
        <v>201644.08000000002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3579656.15</v>
      </c>
      <c r="G198" s="18">
        <v>1739903.92</v>
      </c>
      <c r="H198" s="18">
        <v>149753.97</v>
      </c>
      <c r="I198" s="18">
        <v>180008.95999999999</v>
      </c>
      <c r="J198" s="18">
        <v>56783.7</v>
      </c>
      <c r="K198" s="18">
        <v>4549.0200000000004</v>
      </c>
      <c r="L198" s="13">
        <f>SUM(F198:K198)</f>
        <v>5710655.7199999997</v>
      </c>
      <c r="M198" s="8"/>
      <c r="N198" s="165"/>
    </row>
    <row r="199" spans="1:14" s="3" customFormat="1" ht="12.2" customHeight="1" x14ac:dyDescent="0.15">
      <c r="A199" s="1" t="s">
        <v>439</v>
      </c>
      <c r="B199" s="2" t="s">
        <v>341</v>
      </c>
      <c r="C199" s="2" t="s">
        <v>291</v>
      </c>
      <c r="D199" s="2" t="s">
        <v>431</v>
      </c>
      <c r="E199" s="6">
        <v>1200</v>
      </c>
      <c r="F199" s="18">
        <v>1555090.01</v>
      </c>
      <c r="G199" s="18">
        <v>1003471.04</v>
      </c>
      <c r="H199" s="18">
        <v>274767.52</v>
      </c>
      <c r="I199" s="18">
        <v>81773</v>
      </c>
      <c r="J199" s="18">
        <v>585.69000000000005</v>
      </c>
      <c r="K199" s="18"/>
      <c r="L199" s="13">
        <f>SUM(F199:K199)</f>
        <v>2915687.26</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59507.64</v>
      </c>
      <c r="G201" s="18">
        <v>17306.62</v>
      </c>
      <c r="H201" s="18"/>
      <c r="I201" s="18"/>
      <c r="J201" s="18"/>
      <c r="K201" s="18"/>
      <c r="L201" s="13">
        <f>SUM(F201:K201)</f>
        <v>76814.259999999995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633314.88</v>
      </c>
      <c r="G203" s="18">
        <v>389469.15</v>
      </c>
      <c r="H203" s="18">
        <v>300575.33</v>
      </c>
      <c r="I203" s="18">
        <v>6023.08</v>
      </c>
      <c r="J203" s="18"/>
      <c r="K203" s="18"/>
      <c r="L203" s="13">
        <f t="shared" ref="L203:L209" si="0">SUM(F203:K203)</f>
        <v>1329382.4400000002</v>
      </c>
      <c r="M203" s="8"/>
      <c r="N203" s="165"/>
    </row>
    <row r="204" spans="1:14" s="3" customFormat="1" ht="12.2" customHeight="1" x14ac:dyDescent="0.15">
      <c r="A204" s="1" t="s">
        <v>443</v>
      </c>
      <c r="B204" s="2" t="s">
        <v>341</v>
      </c>
      <c r="C204" s="2" t="s">
        <v>295</v>
      </c>
      <c r="D204" s="2" t="s">
        <v>431</v>
      </c>
      <c r="E204" s="6">
        <v>2200</v>
      </c>
      <c r="F204" s="18">
        <v>125563.19</v>
      </c>
      <c r="G204" s="18">
        <v>69159.92</v>
      </c>
      <c r="H204" s="18">
        <v>14359.93</v>
      </c>
      <c r="I204" s="18">
        <v>7850.11</v>
      </c>
      <c r="J204" s="18"/>
      <c r="K204" s="18"/>
      <c r="L204" s="13">
        <f t="shared" si="0"/>
        <v>216933.14999999997</v>
      </c>
      <c r="M204" s="8"/>
      <c r="N204" s="165"/>
    </row>
    <row r="205" spans="1:14" s="3" customFormat="1" ht="12.2" customHeight="1" x14ac:dyDescent="0.15">
      <c r="A205" s="1" t="s">
        <v>444</v>
      </c>
      <c r="B205" s="2" t="s">
        <v>341</v>
      </c>
      <c r="C205" s="2" t="s">
        <v>296</v>
      </c>
      <c r="D205" s="2" t="s">
        <v>431</v>
      </c>
      <c r="E205" s="6">
        <v>2300</v>
      </c>
      <c r="F205" s="18">
        <v>267689</v>
      </c>
      <c r="G205" s="18">
        <v>113281.62</v>
      </c>
      <c r="H205" s="18">
        <v>49793.82</v>
      </c>
      <c r="I205" s="18">
        <v>15805.35</v>
      </c>
      <c r="J205" s="18">
        <v>35244.379999999997</v>
      </c>
      <c r="K205" s="18">
        <v>10396.040000000001</v>
      </c>
      <c r="L205" s="13">
        <f t="shared" si="0"/>
        <v>492210.20999999996</v>
      </c>
      <c r="M205" s="8"/>
      <c r="N205" s="165"/>
    </row>
    <row r="206" spans="1:14" s="3" customFormat="1" ht="12.2" customHeight="1" x14ac:dyDescent="0.15">
      <c r="A206" s="1" t="s">
        <v>445</v>
      </c>
      <c r="B206" s="2" t="s">
        <v>341</v>
      </c>
      <c r="C206" s="2" t="s">
        <v>297</v>
      </c>
      <c r="D206" s="2" t="s">
        <v>431</v>
      </c>
      <c r="E206" s="6">
        <v>2400</v>
      </c>
      <c r="F206" s="18">
        <v>635522.98</v>
      </c>
      <c r="G206" s="18">
        <v>331129.02</v>
      </c>
      <c r="H206" s="18">
        <v>9416.06</v>
      </c>
      <c r="I206" s="18">
        <v>17913.47</v>
      </c>
      <c r="J206" s="18"/>
      <c r="K206" s="18">
        <v>6177</v>
      </c>
      <c r="L206" s="13">
        <f t="shared" si="0"/>
        <v>1000158.53</v>
      </c>
      <c r="M206" s="8"/>
      <c r="N206" s="165"/>
    </row>
    <row r="207" spans="1:14" s="3" customFormat="1" ht="12.2" customHeight="1" x14ac:dyDescent="0.15">
      <c r="A207" s="1" t="s">
        <v>446</v>
      </c>
      <c r="B207" s="2" t="s">
        <v>341</v>
      </c>
      <c r="C207" s="2" t="s">
        <v>298</v>
      </c>
      <c r="D207" s="2" t="s">
        <v>431</v>
      </c>
      <c r="E207" s="6">
        <v>2500</v>
      </c>
      <c r="F207" s="18">
        <v>133493.35999999999</v>
      </c>
      <c r="G207" s="18">
        <v>79639.87</v>
      </c>
      <c r="H207" s="18">
        <v>3565.13</v>
      </c>
      <c r="I207" s="18">
        <v>1741.19</v>
      </c>
      <c r="J207" s="18"/>
      <c r="K207" s="18">
        <v>2636</v>
      </c>
      <c r="L207" s="13">
        <f t="shared" si="0"/>
        <v>221075.55</v>
      </c>
      <c r="M207" s="8"/>
      <c r="N207" s="165"/>
    </row>
    <row r="208" spans="1:14" s="3" customFormat="1" ht="12.2" customHeight="1" x14ac:dyDescent="0.15">
      <c r="A208" s="1" t="s">
        <v>447</v>
      </c>
      <c r="B208" s="2" t="s">
        <v>341</v>
      </c>
      <c r="C208" s="2" t="s">
        <v>299</v>
      </c>
      <c r="D208" s="2" t="s">
        <v>431</v>
      </c>
      <c r="E208" s="6">
        <v>2600</v>
      </c>
      <c r="F208" s="18">
        <v>492466.7</v>
      </c>
      <c r="G208" s="18">
        <v>246671.07</v>
      </c>
      <c r="H208" s="18">
        <v>404146.79</v>
      </c>
      <c r="I208" s="18">
        <v>265614.65000000002</v>
      </c>
      <c r="J208" s="18">
        <v>28816.74</v>
      </c>
      <c r="K208" s="18">
        <v>2244.0500000000002</v>
      </c>
      <c r="L208" s="13">
        <f t="shared" si="0"/>
        <v>1439960</v>
      </c>
      <c r="M208" s="8"/>
      <c r="N208" s="165"/>
    </row>
    <row r="209" spans="1:14" s="3" customFormat="1" ht="12.2" customHeight="1" x14ac:dyDescent="0.15">
      <c r="A209" s="1" t="s">
        <v>448</v>
      </c>
      <c r="B209" s="2" t="s">
        <v>341</v>
      </c>
      <c r="C209" s="2" t="s">
        <v>300</v>
      </c>
      <c r="D209" s="2" t="s">
        <v>431</v>
      </c>
      <c r="E209" s="6">
        <v>2700</v>
      </c>
      <c r="F209" s="18"/>
      <c r="G209" s="18"/>
      <c r="H209" s="18">
        <v>584586.41</v>
      </c>
      <c r="I209" s="18">
        <v>35933.83</v>
      </c>
      <c r="J209" s="18">
        <v>63.4</v>
      </c>
      <c r="K209" s="18"/>
      <c r="L209" s="13">
        <f t="shared" si="0"/>
        <v>620583.64</v>
      </c>
      <c r="M209" s="8"/>
      <c r="N209" s="165"/>
    </row>
    <row r="210" spans="1:14" s="3" customFormat="1" ht="12.2" customHeight="1" x14ac:dyDescent="0.15">
      <c r="A210" s="1" t="s">
        <v>449</v>
      </c>
      <c r="B210" s="2" t="s">
        <v>341</v>
      </c>
      <c r="C210" s="2" t="s">
        <v>343</v>
      </c>
      <c r="D210" s="2" t="s">
        <v>431</v>
      </c>
      <c r="E210" s="6">
        <v>2800</v>
      </c>
      <c r="F210" s="18">
        <v>91755.39</v>
      </c>
      <c r="G210" s="18">
        <v>131980.73000000001</v>
      </c>
      <c r="H210" s="18">
        <v>111671.59</v>
      </c>
      <c r="I210" s="18"/>
      <c r="J210" s="18"/>
      <c r="K210" s="18"/>
      <c r="L210" s="13">
        <f>SUM(F210:K210)</f>
        <v>335407.70999999996</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7574059.2999999998</v>
      </c>
      <c r="G212" s="38">
        <f t="shared" si="1"/>
        <v>4122012.96</v>
      </c>
      <c r="H212" s="38">
        <f t="shared" si="1"/>
        <v>1902636.55</v>
      </c>
      <c r="I212" s="38">
        <f t="shared" si="1"/>
        <v>612663.64</v>
      </c>
      <c r="J212" s="38">
        <f t="shared" si="1"/>
        <v>121493.90999999999</v>
      </c>
      <c r="K212" s="38">
        <f t="shared" si="1"/>
        <v>26002.11</v>
      </c>
      <c r="L212" s="38">
        <f t="shared" si="1"/>
        <v>14358868.469999999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1554476.38</v>
      </c>
      <c r="G216" s="18">
        <v>773090.15</v>
      </c>
      <c r="H216" s="18">
        <v>60044.19</v>
      </c>
      <c r="I216" s="18">
        <v>91844.86</v>
      </c>
      <c r="J216" s="18">
        <v>14368.21</v>
      </c>
      <c r="K216" s="18">
        <v>2384.16</v>
      </c>
      <c r="L216" s="13">
        <f>SUM(F216:K216)</f>
        <v>2496207.9499999997</v>
      </c>
      <c r="M216" s="8"/>
      <c r="N216" s="165"/>
    </row>
    <row r="217" spans="1:14" s="3" customFormat="1" ht="12.2" customHeight="1" x14ac:dyDescent="0.15">
      <c r="A217" s="1" t="s">
        <v>439</v>
      </c>
      <c r="B217" s="2" t="s">
        <v>346</v>
      </c>
      <c r="C217" s="2" t="s">
        <v>291</v>
      </c>
      <c r="D217" s="2" t="s">
        <v>431</v>
      </c>
      <c r="E217" s="6">
        <v>1200</v>
      </c>
      <c r="F217" s="18">
        <v>558184.68999999994</v>
      </c>
      <c r="G217" s="18">
        <v>372431.19</v>
      </c>
      <c r="H217" s="18">
        <v>423368.65</v>
      </c>
      <c r="I217" s="18">
        <v>35685.79</v>
      </c>
      <c r="J217" s="18"/>
      <c r="K217" s="18"/>
      <c r="L217" s="13">
        <f>SUM(F217:K217)</f>
        <v>1389670.3199999998</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v>62294.33</v>
      </c>
      <c r="G219" s="18">
        <v>14950.77</v>
      </c>
      <c r="H219" s="18">
        <v>9607.8700000000008</v>
      </c>
      <c r="I219" s="18">
        <v>3289.14</v>
      </c>
      <c r="J219" s="18">
        <v>7481.7</v>
      </c>
      <c r="K219" s="18">
        <v>690</v>
      </c>
      <c r="L219" s="13">
        <f>SUM(F219:K219)</f>
        <v>98313.81</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275706.33</v>
      </c>
      <c r="G221" s="18">
        <v>146145.92000000001</v>
      </c>
      <c r="H221" s="18">
        <v>100702.74</v>
      </c>
      <c r="I221" s="18">
        <v>326.45</v>
      </c>
      <c r="J221" s="18"/>
      <c r="K221" s="18">
        <v>129</v>
      </c>
      <c r="L221" s="13">
        <f t="shared" ref="L221:L227" si="2">SUM(F221:K221)</f>
        <v>523010.44</v>
      </c>
      <c r="M221" s="8"/>
      <c r="N221" s="165"/>
    </row>
    <row r="222" spans="1:14" s="3" customFormat="1" ht="12.2" customHeight="1" x14ac:dyDescent="0.15">
      <c r="A222" s="1" t="s">
        <v>443</v>
      </c>
      <c r="B222" s="2" t="s">
        <v>346</v>
      </c>
      <c r="C222" s="2" t="s">
        <v>295</v>
      </c>
      <c r="D222" s="2" t="s">
        <v>431</v>
      </c>
      <c r="E222" s="6">
        <v>2200</v>
      </c>
      <c r="F222" s="18"/>
      <c r="G222" s="18">
        <v>8323.2900000000009</v>
      </c>
      <c r="H222" s="18">
        <v>17157.37</v>
      </c>
      <c r="I222" s="18">
        <v>4145.12</v>
      </c>
      <c r="J222" s="18"/>
      <c r="K222" s="18"/>
      <c r="L222" s="13">
        <f t="shared" si="2"/>
        <v>29625.78</v>
      </c>
      <c r="M222" s="8"/>
      <c r="N222" s="165"/>
    </row>
    <row r="223" spans="1:14" s="3" customFormat="1" ht="12.2" customHeight="1" x14ac:dyDescent="0.15">
      <c r="A223" s="1" t="s">
        <v>444</v>
      </c>
      <c r="B223" s="2" t="s">
        <v>346</v>
      </c>
      <c r="C223" s="2" t="s">
        <v>296</v>
      </c>
      <c r="D223" s="2" t="s">
        <v>431</v>
      </c>
      <c r="E223" s="6">
        <v>2300</v>
      </c>
      <c r="F223" s="18">
        <v>121172.18</v>
      </c>
      <c r="G223" s="18">
        <v>51278.09</v>
      </c>
      <c r="H223" s="18">
        <v>22539.69</v>
      </c>
      <c r="I223" s="18">
        <v>7154.45</v>
      </c>
      <c r="J223" s="18">
        <v>15953.73</v>
      </c>
      <c r="K223" s="18">
        <v>4705.88</v>
      </c>
      <c r="L223" s="13">
        <f t="shared" si="2"/>
        <v>222804.02000000002</v>
      </c>
      <c r="M223" s="8"/>
      <c r="N223" s="165"/>
    </row>
    <row r="224" spans="1:14" s="3" customFormat="1" ht="12.2" customHeight="1" x14ac:dyDescent="0.15">
      <c r="A224" s="1" t="s">
        <v>445</v>
      </c>
      <c r="B224" s="2" t="s">
        <v>346</v>
      </c>
      <c r="C224" s="2" t="s">
        <v>297</v>
      </c>
      <c r="D224" s="2" t="s">
        <v>431</v>
      </c>
      <c r="E224" s="6">
        <v>2400</v>
      </c>
      <c r="F224" s="18">
        <v>310237.59000000003</v>
      </c>
      <c r="G224" s="18">
        <v>111028.28</v>
      </c>
      <c r="H224" s="18">
        <v>2385.52</v>
      </c>
      <c r="I224" s="18">
        <v>29.38</v>
      </c>
      <c r="J224" s="18"/>
      <c r="K224" s="18">
        <v>4278.51</v>
      </c>
      <c r="L224" s="13">
        <f t="shared" si="2"/>
        <v>427959.28</v>
      </c>
      <c r="M224" s="8"/>
      <c r="N224" s="165"/>
    </row>
    <row r="225" spans="1:14" s="3" customFormat="1" ht="12.2" customHeight="1" x14ac:dyDescent="0.15">
      <c r="A225" s="1" t="s">
        <v>446</v>
      </c>
      <c r="B225" s="2" t="s">
        <v>346</v>
      </c>
      <c r="C225" s="2" t="s">
        <v>298</v>
      </c>
      <c r="D225" s="2" t="s">
        <v>431</v>
      </c>
      <c r="E225" s="6">
        <v>2500</v>
      </c>
      <c r="F225" s="18">
        <v>60427.14</v>
      </c>
      <c r="G225" s="18">
        <v>36049.81</v>
      </c>
      <c r="H225" s="18">
        <v>1613.79</v>
      </c>
      <c r="I225" s="18">
        <v>788.17</v>
      </c>
      <c r="J225" s="18"/>
      <c r="K225" s="18">
        <v>1193.21</v>
      </c>
      <c r="L225" s="13">
        <f t="shared" si="2"/>
        <v>100072.12</v>
      </c>
      <c r="M225" s="8"/>
      <c r="N225" s="165"/>
    </row>
    <row r="226" spans="1:14" s="3" customFormat="1" ht="12.2" customHeight="1" x14ac:dyDescent="0.15">
      <c r="A226" s="1" t="s">
        <v>447</v>
      </c>
      <c r="B226" s="2" t="s">
        <v>346</v>
      </c>
      <c r="C226" s="2" t="s">
        <v>299</v>
      </c>
      <c r="D226" s="2" t="s">
        <v>431</v>
      </c>
      <c r="E226" s="6">
        <v>2600</v>
      </c>
      <c r="F226" s="18">
        <v>128984.56</v>
      </c>
      <c r="G226" s="18">
        <v>61419.03</v>
      </c>
      <c r="H226" s="18">
        <v>107142.08</v>
      </c>
      <c r="I226" s="18">
        <v>141114.29</v>
      </c>
      <c r="J226" s="18">
        <v>9199.85</v>
      </c>
      <c r="K226" s="18">
        <v>816.28</v>
      </c>
      <c r="L226" s="13">
        <f t="shared" si="2"/>
        <v>448676.08999999997</v>
      </c>
      <c r="M226" s="8"/>
      <c r="N226" s="165"/>
    </row>
    <row r="227" spans="1:14" s="3" customFormat="1" ht="12.2" customHeight="1" x14ac:dyDescent="0.15">
      <c r="A227" s="1" t="s">
        <v>448</v>
      </c>
      <c r="B227" s="2" t="s">
        <v>346</v>
      </c>
      <c r="C227" s="2" t="s">
        <v>300</v>
      </c>
      <c r="D227" s="2" t="s">
        <v>431</v>
      </c>
      <c r="E227" s="6">
        <v>2700</v>
      </c>
      <c r="F227" s="18"/>
      <c r="G227" s="18"/>
      <c r="H227" s="18">
        <v>209623.79</v>
      </c>
      <c r="I227" s="18">
        <v>16265.82</v>
      </c>
      <c r="J227" s="18">
        <v>28.7</v>
      </c>
      <c r="K227" s="18"/>
      <c r="L227" s="13">
        <f t="shared" si="2"/>
        <v>225918.31000000003</v>
      </c>
      <c r="M227" s="8"/>
      <c r="N227" s="165"/>
    </row>
    <row r="228" spans="1:14" s="3" customFormat="1" ht="12.2" customHeight="1" x14ac:dyDescent="0.15">
      <c r="A228" s="1" t="s">
        <v>449</v>
      </c>
      <c r="B228" s="2" t="s">
        <v>346</v>
      </c>
      <c r="C228" s="2" t="s">
        <v>343</v>
      </c>
      <c r="D228" s="2" t="s">
        <v>431</v>
      </c>
      <c r="E228" s="6">
        <v>2800</v>
      </c>
      <c r="F228" s="18">
        <v>41534.019999999997</v>
      </c>
      <c r="G228" s="18">
        <v>59742.44</v>
      </c>
      <c r="H228" s="18">
        <v>50549.29</v>
      </c>
      <c r="I228" s="18"/>
      <c r="J228" s="18"/>
      <c r="K228" s="18"/>
      <c r="L228" s="13">
        <f>SUM(F228:K228)</f>
        <v>151825.75</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3113017.22</v>
      </c>
      <c r="G230" s="38">
        <f>SUM(G216:G229)</f>
        <v>1634458.9700000002</v>
      </c>
      <c r="H230" s="38">
        <f>SUM(H216:H229)</f>
        <v>1004734.9800000001</v>
      </c>
      <c r="I230" s="38">
        <f>SUM(I216:I229)</f>
        <v>300643.47000000003</v>
      </c>
      <c r="J230" s="38">
        <f>SUM(J216:J229)</f>
        <v>47032.189999999995</v>
      </c>
      <c r="K230" s="38">
        <f t="shared" si="3"/>
        <v>14197.039999999999</v>
      </c>
      <c r="L230" s="38">
        <f t="shared" si="3"/>
        <v>6114083.8700000001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3113528.33</v>
      </c>
      <c r="G234" s="18">
        <v>1623993.87</v>
      </c>
      <c r="H234" s="18">
        <v>135434.75</v>
      </c>
      <c r="I234" s="18">
        <v>154218.31</v>
      </c>
      <c r="J234" s="18">
        <v>48441.34</v>
      </c>
      <c r="K234" s="18">
        <v>4682.1000000000004</v>
      </c>
      <c r="L234" s="13">
        <f>SUM(F234:K234)</f>
        <v>5080298.6999999993</v>
      </c>
      <c r="M234" s="8"/>
      <c r="N234" s="165"/>
    </row>
    <row r="235" spans="1:14" s="3" customFormat="1" ht="12.2" customHeight="1" x14ac:dyDescent="0.15">
      <c r="A235" s="1" t="s">
        <v>439</v>
      </c>
      <c r="B235" s="2" t="s">
        <v>350</v>
      </c>
      <c r="C235" s="2" t="s">
        <v>291</v>
      </c>
      <c r="D235" s="2" t="s">
        <v>431</v>
      </c>
      <c r="E235" s="6">
        <v>1200</v>
      </c>
      <c r="F235" s="18">
        <v>939780.75</v>
      </c>
      <c r="G235" s="18">
        <v>608656.92000000004</v>
      </c>
      <c r="H235" s="18">
        <v>614358.63</v>
      </c>
      <c r="I235" s="18">
        <v>52548.87</v>
      </c>
      <c r="J235" s="18"/>
      <c r="K235" s="18"/>
      <c r="L235" s="13">
        <f>SUM(F235:K235)</f>
        <v>2215345.17</v>
      </c>
      <c r="M235" s="8"/>
      <c r="N235" s="165"/>
    </row>
    <row r="236" spans="1:14" s="3" customFormat="1" ht="12.2" customHeight="1" x14ac:dyDescent="0.15">
      <c r="A236" s="1" t="s">
        <v>440</v>
      </c>
      <c r="B236" s="2" t="s">
        <v>350</v>
      </c>
      <c r="C236" s="2" t="s">
        <v>292</v>
      </c>
      <c r="D236" s="2" t="s">
        <v>431</v>
      </c>
      <c r="E236" s="6">
        <v>1300</v>
      </c>
      <c r="F236" s="18"/>
      <c r="G236" s="18"/>
      <c r="H236" s="18">
        <v>248723.94</v>
      </c>
      <c r="I236" s="18"/>
      <c r="J236" s="18"/>
      <c r="K236" s="18"/>
      <c r="L236" s="13">
        <f>SUM(F236:K236)</f>
        <v>248723.94</v>
      </c>
      <c r="M236" s="8"/>
      <c r="N236" s="165"/>
    </row>
    <row r="237" spans="1:14" s="3" customFormat="1" ht="12.2" customHeight="1" x14ac:dyDescent="0.15">
      <c r="A237" s="1" t="s">
        <v>441</v>
      </c>
      <c r="B237" s="2" t="s">
        <v>350</v>
      </c>
      <c r="C237" s="2" t="s">
        <v>293</v>
      </c>
      <c r="D237" s="2" t="s">
        <v>431</v>
      </c>
      <c r="E237" s="6">
        <v>1400</v>
      </c>
      <c r="F237" s="18">
        <v>210938.34</v>
      </c>
      <c r="G237" s="18">
        <v>48367.06</v>
      </c>
      <c r="H237" s="18">
        <v>63245.9</v>
      </c>
      <c r="I237" s="18">
        <v>16996</v>
      </c>
      <c r="J237" s="18">
        <v>26098.91</v>
      </c>
      <c r="K237" s="18">
        <v>9421.25</v>
      </c>
      <c r="L237" s="13">
        <f>SUM(F237:K237)</f>
        <v>375067.45999999996</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486536.59</v>
      </c>
      <c r="G239" s="18">
        <v>294184.86</v>
      </c>
      <c r="H239" s="18">
        <v>160902.26999999999</v>
      </c>
      <c r="I239" s="18">
        <v>8628.08</v>
      </c>
      <c r="J239" s="18"/>
      <c r="K239" s="18">
        <v>604</v>
      </c>
      <c r="L239" s="13">
        <f t="shared" ref="L239:L245" si="4">SUM(F239:K239)</f>
        <v>950855.79999999993</v>
      </c>
      <c r="M239" s="8"/>
      <c r="N239" s="165"/>
    </row>
    <row r="240" spans="1:14" s="3" customFormat="1" ht="12.2" customHeight="1" x14ac:dyDescent="0.15">
      <c r="A240" s="1" t="s">
        <v>443</v>
      </c>
      <c r="B240" s="2" t="s">
        <v>350</v>
      </c>
      <c r="C240" s="2" t="s">
        <v>295</v>
      </c>
      <c r="D240" s="2" t="s">
        <v>431</v>
      </c>
      <c r="E240" s="6">
        <v>2200</v>
      </c>
      <c r="F240" s="18">
        <v>85388.34</v>
      </c>
      <c r="G240" s="18">
        <v>92525.87</v>
      </c>
      <c r="H240" s="18">
        <v>15886.03</v>
      </c>
      <c r="I240" s="18">
        <v>18288.46</v>
      </c>
      <c r="J240" s="18"/>
      <c r="K240" s="18"/>
      <c r="L240" s="13">
        <f t="shared" si="4"/>
        <v>212088.69999999998</v>
      </c>
      <c r="M240" s="8"/>
      <c r="N240" s="165"/>
    </row>
    <row r="241" spans="1:14" s="3" customFormat="1" ht="12.2" customHeight="1" x14ac:dyDescent="0.15">
      <c r="A241" s="1" t="s">
        <v>444</v>
      </c>
      <c r="B241" s="2" t="s">
        <v>350</v>
      </c>
      <c r="C241" s="2" t="s">
        <v>296</v>
      </c>
      <c r="D241" s="2" t="s">
        <v>431</v>
      </c>
      <c r="E241" s="6">
        <v>2300</v>
      </c>
      <c r="F241" s="18">
        <v>240213.32</v>
      </c>
      <c r="G241" s="18">
        <v>101654.36</v>
      </c>
      <c r="H241" s="18">
        <v>44682.97</v>
      </c>
      <c r="I241" s="18">
        <v>14183.08</v>
      </c>
      <c r="J241" s="18">
        <v>31626.89</v>
      </c>
      <c r="K241" s="18">
        <v>9328.99</v>
      </c>
      <c r="L241" s="13">
        <f t="shared" si="4"/>
        <v>441689.61000000004</v>
      </c>
      <c r="M241" s="8"/>
      <c r="N241" s="165"/>
    </row>
    <row r="242" spans="1:14" s="3" customFormat="1" ht="12.2" customHeight="1" x14ac:dyDescent="0.15">
      <c r="A242" s="1" t="s">
        <v>445</v>
      </c>
      <c r="B242" s="2" t="s">
        <v>350</v>
      </c>
      <c r="C242" s="2" t="s">
        <v>297</v>
      </c>
      <c r="D242" s="2" t="s">
        <v>431</v>
      </c>
      <c r="E242" s="6">
        <v>2400</v>
      </c>
      <c r="F242" s="18">
        <v>499787.62</v>
      </c>
      <c r="G242" s="18">
        <v>233365.39</v>
      </c>
      <c r="H242" s="18">
        <v>6049.56</v>
      </c>
      <c r="I242" s="18">
        <v>17128.63</v>
      </c>
      <c r="J242" s="18"/>
      <c r="K242" s="18">
        <v>12343.32</v>
      </c>
      <c r="L242" s="13">
        <f t="shared" si="4"/>
        <v>768674.52</v>
      </c>
      <c r="M242" s="8"/>
      <c r="N242" s="165"/>
    </row>
    <row r="243" spans="1:14" s="3" customFormat="1" ht="12.2" customHeight="1" x14ac:dyDescent="0.15">
      <c r="A243" s="1" t="s">
        <v>446</v>
      </c>
      <c r="B243" s="2" t="s">
        <v>350</v>
      </c>
      <c r="C243" s="2" t="s">
        <v>298</v>
      </c>
      <c r="D243" s="2" t="s">
        <v>431</v>
      </c>
      <c r="E243" s="6">
        <v>2500</v>
      </c>
      <c r="F243" s="18">
        <v>119791.56</v>
      </c>
      <c r="G243" s="18">
        <v>71465.61</v>
      </c>
      <c r="H243" s="18">
        <v>3199.2</v>
      </c>
      <c r="I243" s="18">
        <v>1562.47</v>
      </c>
      <c r="J243" s="18"/>
      <c r="K243" s="18">
        <v>2365.44</v>
      </c>
      <c r="L243" s="13">
        <f t="shared" si="4"/>
        <v>198384.28</v>
      </c>
      <c r="M243" s="8"/>
      <c r="N243" s="165"/>
    </row>
    <row r="244" spans="1:14" s="3" customFormat="1" ht="12.2" customHeight="1" x14ac:dyDescent="0.15">
      <c r="A244" s="1" t="s">
        <v>447</v>
      </c>
      <c r="B244" s="2" t="s">
        <v>350</v>
      </c>
      <c r="C244" s="2" t="s">
        <v>299</v>
      </c>
      <c r="D244" s="2" t="s">
        <v>431</v>
      </c>
      <c r="E244" s="6">
        <v>2600</v>
      </c>
      <c r="F244" s="18">
        <v>453339.56</v>
      </c>
      <c r="G244" s="18">
        <v>226948</v>
      </c>
      <c r="H244" s="18">
        <v>263894.7</v>
      </c>
      <c r="I244" s="18">
        <v>324084.42</v>
      </c>
      <c r="J244" s="18">
        <v>70680.83</v>
      </c>
      <c r="K244" s="18">
        <v>1896.22</v>
      </c>
      <c r="L244" s="13">
        <f t="shared" si="4"/>
        <v>1340843.73</v>
      </c>
      <c r="M244" s="8"/>
      <c r="N244" s="165"/>
    </row>
    <row r="245" spans="1:14" s="3" customFormat="1" ht="12.2" customHeight="1" x14ac:dyDescent="0.15">
      <c r="A245" s="1" t="s">
        <v>448</v>
      </c>
      <c r="B245" s="2" t="s">
        <v>350</v>
      </c>
      <c r="C245" s="2" t="s">
        <v>300</v>
      </c>
      <c r="D245" s="2" t="s">
        <v>431</v>
      </c>
      <c r="E245" s="6">
        <v>2700</v>
      </c>
      <c r="F245" s="18"/>
      <c r="G245" s="18"/>
      <c r="H245" s="18">
        <v>611887.82999999996</v>
      </c>
      <c r="I245" s="18">
        <v>32245.57</v>
      </c>
      <c r="J245" s="18">
        <v>56.9</v>
      </c>
      <c r="K245" s="18"/>
      <c r="L245" s="13">
        <f t="shared" si="4"/>
        <v>644190.29999999993</v>
      </c>
      <c r="M245" s="8"/>
      <c r="N245" s="165"/>
    </row>
    <row r="246" spans="1:14" s="3" customFormat="1" ht="12.2" customHeight="1" x14ac:dyDescent="0.15">
      <c r="A246" s="1" t="s">
        <v>449</v>
      </c>
      <c r="B246" s="2" t="s">
        <v>350</v>
      </c>
      <c r="C246" s="2" t="s">
        <v>343</v>
      </c>
      <c r="D246" s="2" t="s">
        <v>431</v>
      </c>
      <c r="E246" s="6">
        <v>2800</v>
      </c>
      <c r="F246" s="18">
        <v>82337.59</v>
      </c>
      <c r="G246" s="18">
        <v>118434.18</v>
      </c>
      <c r="H246" s="18">
        <v>100209.58</v>
      </c>
      <c r="I246" s="18"/>
      <c r="J246" s="18"/>
      <c r="K246" s="18"/>
      <c r="L246" s="13">
        <f>SUM(F246:K246)</f>
        <v>300981.34999999998</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6231641.9999999991</v>
      </c>
      <c r="G248" s="38">
        <f t="shared" si="5"/>
        <v>3419596.12</v>
      </c>
      <c r="H248" s="38">
        <f t="shared" si="5"/>
        <v>2268475.36</v>
      </c>
      <c r="I248" s="38">
        <f t="shared" si="5"/>
        <v>639883.8899999999</v>
      </c>
      <c r="J248" s="38">
        <f t="shared" si="5"/>
        <v>176904.87</v>
      </c>
      <c r="K248" s="38">
        <f t="shared" si="5"/>
        <v>40641.320000000007</v>
      </c>
      <c r="L248" s="38">
        <f t="shared" si="5"/>
        <v>12777143.559999999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v>373637.93</v>
      </c>
      <c r="I256" s="18"/>
      <c r="J256" s="18"/>
      <c r="K256" s="18"/>
      <c r="L256" s="13">
        <f t="shared" si="6"/>
        <v>373637.93</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373637.93</v>
      </c>
      <c r="I257" s="38">
        <f t="shared" si="7"/>
        <v>0</v>
      </c>
      <c r="J257" s="38">
        <f t="shared" si="7"/>
        <v>0</v>
      </c>
      <c r="K257" s="38">
        <f t="shared" si="7"/>
        <v>0</v>
      </c>
      <c r="L257" s="38">
        <f>SUM(F257:K257)</f>
        <v>373637.93</v>
      </c>
      <c r="M257" s="8"/>
      <c r="N257" s="165"/>
    </row>
    <row r="258" spans="1:14" s="3" customFormat="1" ht="12.2" customHeight="1" thickTop="1" x14ac:dyDescent="0.15">
      <c r="A258" s="35" t="s">
        <v>462</v>
      </c>
      <c r="B258" s="37">
        <v>10</v>
      </c>
      <c r="C258" s="37">
        <v>8</v>
      </c>
      <c r="D258" s="36" t="s">
        <v>431</v>
      </c>
      <c r="E258" s="37"/>
      <c r="F258" s="38">
        <f t="shared" ref="F258:L258" si="8">F212+F230+F248+F257</f>
        <v>16918718.52</v>
      </c>
      <c r="G258" s="38">
        <f t="shared" si="8"/>
        <v>9176068.0500000007</v>
      </c>
      <c r="H258" s="38">
        <f t="shared" si="8"/>
        <v>5549484.8200000003</v>
      </c>
      <c r="I258" s="38">
        <f t="shared" si="8"/>
        <v>1553191</v>
      </c>
      <c r="J258" s="38">
        <f t="shared" si="8"/>
        <v>345430.97</v>
      </c>
      <c r="K258" s="38">
        <f t="shared" si="8"/>
        <v>80840.47</v>
      </c>
      <c r="L258" s="38">
        <f t="shared" si="8"/>
        <v>33623733.829999998</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959842.42</v>
      </c>
      <c r="L261" s="13">
        <f>SUM(F261:K261)</f>
        <v>959842.42</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1340546.58</v>
      </c>
      <c r="L262" s="13">
        <f>SUM(F262:K262)</f>
        <v>1340546.58</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175000</v>
      </c>
      <c r="L267" s="13">
        <f t="shared" si="9"/>
        <v>175000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2475389</v>
      </c>
      <c r="L271" s="38">
        <f t="shared" si="9"/>
        <v>2475389</v>
      </c>
      <c r="M271" s="8"/>
      <c r="N271" s="165"/>
    </row>
    <row r="272" spans="1:14" s="33" customFormat="1" ht="12.2" customHeight="1" thickTop="1" x14ac:dyDescent="0.2">
      <c r="A272" s="40" t="s">
        <v>464</v>
      </c>
      <c r="B272" s="37">
        <v>10</v>
      </c>
      <c r="C272" s="37">
        <v>18</v>
      </c>
      <c r="D272" s="36" t="s">
        <v>431</v>
      </c>
      <c r="E272" s="37"/>
      <c r="F272" s="39">
        <f t="shared" ref="F272:L272" si="11">F258+F271</f>
        <v>16918718.52</v>
      </c>
      <c r="G272" s="39">
        <f t="shared" si="11"/>
        <v>9176068.0500000007</v>
      </c>
      <c r="H272" s="39">
        <f t="shared" si="11"/>
        <v>5549484.8200000003</v>
      </c>
      <c r="I272" s="39">
        <f t="shared" si="11"/>
        <v>1553191</v>
      </c>
      <c r="J272" s="39">
        <f t="shared" si="11"/>
        <v>345430.97</v>
      </c>
      <c r="K272" s="39">
        <f t="shared" si="11"/>
        <v>2556229.4700000002</v>
      </c>
      <c r="L272" s="39">
        <f t="shared" si="11"/>
        <v>36099122.829999998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124654.36</v>
      </c>
      <c r="G277" s="18">
        <v>35766.39</v>
      </c>
      <c r="H277" s="18">
        <v>40611.9</v>
      </c>
      <c r="I277" s="18">
        <v>155396.07</v>
      </c>
      <c r="J277" s="18">
        <v>65360.97</v>
      </c>
      <c r="K277" s="18"/>
      <c r="L277" s="13">
        <f>SUM(F277:K277)</f>
        <v>421789.68999999994</v>
      </c>
      <c r="M277" s="8"/>
      <c r="N277" s="165"/>
    </row>
    <row r="278" spans="1:14" s="3" customFormat="1" ht="12.2" customHeight="1" x14ac:dyDescent="0.15">
      <c r="A278" s="1" t="s">
        <v>439</v>
      </c>
      <c r="B278" s="2" t="s">
        <v>357</v>
      </c>
      <c r="C278" s="2" t="s">
        <v>291</v>
      </c>
      <c r="D278" s="2" t="s">
        <v>431</v>
      </c>
      <c r="E278" s="6">
        <v>1200</v>
      </c>
      <c r="F278" s="18">
        <v>217323.17</v>
      </c>
      <c r="G278" s="18">
        <v>48352.21</v>
      </c>
      <c r="H278" s="18">
        <v>447.2</v>
      </c>
      <c r="I278" s="18"/>
      <c r="J278" s="18"/>
      <c r="K278" s="18"/>
      <c r="L278" s="13">
        <f>SUM(F278:K278)</f>
        <v>266122.58</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78597.399999999994</v>
      </c>
      <c r="G282" s="18">
        <v>27829.32</v>
      </c>
      <c r="H282" s="18">
        <v>732.35</v>
      </c>
      <c r="I282" s="18"/>
      <c r="J282" s="18"/>
      <c r="K282" s="18"/>
      <c r="L282" s="13">
        <f t="shared" ref="L282:L288" si="12">SUM(F282:K282)</f>
        <v>107159.07</v>
      </c>
      <c r="M282" s="8"/>
      <c r="N282" s="165"/>
    </row>
    <row r="283" spans="1:14" s="3" customFormat="1" ht="12.2" customHeight="1" x14ac:dyDescent="0.15">
      <c r="A283" s="1" t="s">
        <v>443</v>
      </c>
      <c r="B283" s="2" t="s">
        <v>357</v>
      </c>
      <c r="C283" s="2" t="s">
        <v>295</v>
      </c>
      <c r="D283" s="2" t="s">
        <v>431</v>
      </c>
      <c r="E283" s="6">
        <v>2200</v>
      </c>
      <c r="F283" s="18">
        <v>11962.17</v>
      </c>
      <c r="G283" s="18">
        <v>3469.89</v>
      </c>
      <c r="H283" s="18">
        <v>20824.490000000002</v>
      </c>
      <c r="I283" s="18"/>
      <c r="J283" s="18"/>
      <c r="K283" s="18"/>
      <c r="L283" s="13">
        <f t="shared" si="12"/>
        <v>36256.550000000003</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v>11125</v>
      </c>
      <c r="I287" s="18"/>
      <c r="J287" s="18"/>
      <c r="K287" s="18"/>
      <c r="L287" s="13">
        <f t="shared" si="12"/>
        <v>11125</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432537.10000000003</v>
      </c>
      <c r="G291" s="39">
        <f t="shared" si="13"/>
        <v>115417.81000000001</v>
      </c>
      <c r="H291" s="39">
        <f t="shared" si="13"/>
        <v>73740.94</v>
      </c>
      <c r="I291" s="39">
        <f t="shared" si="13"/>
        <v>155396.07</v>
      </c>
      <c r="J291" s="39">
        <f t="shared" si="13"/>
        <v>65360.97</v>
      </c>
      <c r="K291" s="39">
        <f t="shared" si="13"/>
        <v>0</v>
      </c>
      <c r="L291" s="38">
        <f t="shared" si="13"/>
        <v>842452.89000000013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17227.73</v>
      </c>
      <c r="G296" s="18">
        <v>6015.44</v>
      </c>
      <c r="H296" s="18">
        <v>18383.400000000001</v>
      </c>
      <c r="I296" s="18">
        <v>70488.58</v>
      </c>
      <c r="J296" s="18">
        <v>27549.52</v>
      </c>
      <c r="K296" s="18"/>
      <c r="L296" s="13">
        <f>SUM(F296:K296)</f>
        <v>139664.66999999998</v>
      </c>
      <c r="M296" s="8"/>
      <c r="N296" s="165"/>
    </row>
    <row r="297" spans="1:14" s="3" customFormat="1" ht="12.2" customHeight="1" x14ac:dyDescent="0.15">
      <c r="A297" s="1" t="s">
        <v>439</v>
      </c>
      <c r="B297" s="2" t="s">
        <v>358</v>
      </c>
      <c r="C297" s="2" t="s">
        <v>291</v>
      </c>
      <c r="D297" s="2" t="s">
        <v>431</v>
      </c>
      <c r="E297" s="6">
        <v>1200</v>
      </c>
      <c r="F297" s="18">
        <v>75740.92</v>
      </c>
      <c r="G297" s="18">
        <v>14932.27</v>
      </c>
      <c r="H297" s="18">
        <v>222.06</v>
      </c>
      <c r="I297" s="18"/>
      <c r="J297" s="18"/>
      <c r="K297" s="18"/>
      <c r="L297" s="13">
        <f>SUM(F297:K297)</f>
        <v>90895.25</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35577.919999999998</v>
      </c>
      <c r="G301" s="18">
        <v>12597.23</v>
      </c>
      <c r="H301" s="18">
        <v>331.5</v>
      </c>
      <c r="I301" s="18"/>
      <c r="J301" s="18"/>
      <c r="K301" s="18"/>
      <c r="L301" s="13">
        <f t="shared" ref="L301:L307" si="14">SUM(F301:K301)</f>
        <v>48506.649999999994</v>
      </c>
      <c r="M301" s="8"/>
      <c r="N301" s="165"/>
    </row>
    <row r="302" spans="1:14" s="3" customFormat="1" ht="12.2" customHeight="1" x14ac:dyDescent="0.15">
      <c r="A302" s="1" t="s">
        <v>443</v>
      </c>
      <c r="B302" s="2" t="s">
        <v>358</v>
      </c>
      <c r="C302" s="2" t="s">
        <v>295</v>
      </c>
      <c r="D302" s="2" t="s">
        <v>431</v>
      </c>
      <c r="E302" s="6">
        <v>2200</v>
      </c>
      <c r="F302" s="18">
        <v>5414.8</v>
      </c>
      <c r="G302" s="18">
        <v>1570.68</v>
      </c>
      <c r="H302" s="18">
        <v>12946.14</v>
      </c>
      <c r="I302" s="18"/>
      <c r="J302" s="18"/>
      <c r="K302" s="18"/>
      <c r="L302" s="13">
        <f t="shared" si="14"/>
        <v>19931.62</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133961.37</v>
      </c>
      <c r="G310" s="39">
        <f t="shared" si="15"/>
        <v>35115.620000000003</v>
      </c>
      <c r="H310" s="39">
        <f t="shared" si="15"/>
        <v>31883.100000000002</v>
      </c>
      <c r="I310" s="39">
        <f t="shared" si="15"/>
        <v>70488.58</v>
      </c>
      <c r="J310" s="39">
        <f t="shared" si="15"/>
        <v>27549.52</v>
      </c>
      <c r="K310" s="39">
        <f t="shared" si="15"/>
        <v>0</v>
      </c>
      <c r="L310" s="38">
        <f t="shared" si="15"/>
        <v>298998.18999999994</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v>30454.35</v>
      </c>
      <c r="G315" s="18">
        <v>8936.6</v>
      </c>
      <c r="H315" s="18">
        <v>65790.95</v>
      </c>
      <c r="I315" s="18">
        <v>154206.13</v>
      </c>
      <c r="J315" s="18">
        <v>59056.87</v>
      </c>
      <c r="K315" s="18"/>
      <c r="L315" s="13">
        <f>SUM(F315:K315)</f>
        <v>318444.90000000002</v>
      </c>
      <c r="M315" s="8"/>
      <c r="N315" s="165"/>
    </row>
    <row r="316" spans="1:14" s="3" customFormat="1" ht="12.2" customHeight="1" x14ac:dyDescent="0.15">
      <c r="A316" s="1" t="s">
        <v>439</v>
      </c>
      <c r="B316" s="2" t="s">
        <v>359</v>
      </c>
      <c r="C316" s="2" t="s">
        <v>291</v>
      </c>
      <c r="D316" s="2" t="s">
        <v>431</v>
      </c>
      <c r="E316" s="6">
        <v>1200</v>
      </c>
      <c r="F316" s="18">
        <v>148937.85</v>
      </c>
      <c r="G316" s="18">
        <v>32720.67</v>
      </c>
      <c r="H316" s="18">
        <v>320.75</v>
      </c>
      <c r="I316" s="18"/>
      <c r="J316" s="18"/>
      <c r="K316" s="18"/>
      <c r="L316" s="13">
        <f>SUM(F316:K316)</f>
        <v>181979.27000000002</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v>17690</v>
      </c>
      <c r="I318" s="18"/>
      <c r="J318" s="18"/>
      <c r="K318" s="18"/>
      <c r="L318" s="13">
        <f>SUM(F318:K318)</f>
        <v>17690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v>70530.13</v>
      </c>
      <c r="G320" s="18">
        <v>24972.91</v>
      </c>
      <c r="H320" s="18">
        <v>657.18</v>
      </c>
      <c r="I320" s="18"/>
      <c r="J320" s="18"/>
      <c r="K320" s="18"/>
      <c r="L320" s="13">
        <f t="shared" ref="L320:L326" si="16">SUM(F320:K320)</f>
        <v>96160.22</v>
      </c>
      <c r="M320" s="8"/>
      <c r="N320" s="165"/>
    </row>
    <row r="321" spans="1:14" s="3" customFormat="1" ht="12.2" customHeight="1" x14ac:dyDescent="0.15">
      <c r="A321" s="1" t="s">
        <v>443</v>
      </c>
      <c r="B321" s="2" t="s">
        <v>359</v>
      </c>
      <c r="C321" s="2" t="s">
        <v>295</v>
      </c>
      <c r="D321" s="2" t="s">
        <v>431</v>
      </c>
      <c r="E321" s="6">
        <v>2200</v>
      </c>
      <c r="F321" s="18">
        <v>10734.37</v>
      </c>
      <c r="G321" s="18">
        <v>3113.74</v>
      </c>
      <c r="H321" s="18">
        <v>18687.060000000001</v>
      </c>
      <c r="I321" s="18"/>
      <c r="J321" s="18"/>
      <c r="K321" s="18"/>
      <c r="L321" s="13">
        <f t="shared" si="16"/>
        <v>32535.170000000002</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v>2875</v>
      </c>
      <c r="I325" s="18"/>
      <c r="J325" s="18"/>
      <c r="K325" s="18"/>
      <c r="L325" s="13">
        <f t="shared" si="16"/>
        <v>2875</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260656.7</v>
      </c>
      <c r="G329" s="39">
        <f t="shared" si="17"/>
        <v>69743.92</v>
      </c>
      <c r="H329" s="39">
        <f t="shared" si="17"/>
        <v>106020.93999999999</v>
      </c>
      <c r="I329" s="39">
        <f t="shared" si="17"/>
        <v>154206.13</v>
      </c>
      <c r="J329" s="39">
        <f t="shared" si="17"/>
        <v>59056.87</v>
      </c>
      <c r="K329" s="39">
        <f t="shared" si="17"/>
        <v>0</v>
      </c>
      <c r="L329" s="38">
        <f t="shared" si="17"/>
        <v>649684.56000000006</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v>21021.58</v>
      </c>
      <c r="G336" s="18">
        <v>5451.43</v>
      </c>
      <c r="H336" s="18">
        <v>5824.98</v>
      </c>
      <c r="I336" s="18">
        <v>1563.63</v>
      </c>
      <c r="J336" s="18"/>
      <c r="K336" s="18"/>
      <c r="L336" s="13">
        <f t="shared" si="18"/>
        <v>33861.620000000003</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21021.58</v>
      </c>
      <c r="G338" s="38">
        <f t="shared" si="19"/>
        <v>5451.43</v>
      </c>
      <c r="H338" s="38">
        <f t="shared" si="19"/>
        <v>5824.98</v>
      </c>
      <c r="I338" s="38">
        <f t="shared" si="19"/>
        <v>1563.63</v>
      </c>
      <c r="J338" s="38">
        <f t="shared" si="19"/>
        <v>0</v>
      </c>
      <c r="K338" s="38">
        <f t="shared" si="19"/>
        <v>0</v>
      </c>
      <c r="L338" s="38">
        <f t="shared" si="18"/>
        <v>33861.620000000003</v>
      </c>
      <c r="M338" s="8"/>
      <c r="N338" s="165"/>
    </row>
    <row r="339" spans="1:43" s="3" customFormat="1" ht="12.2" customHeight="1" thickTop="1" x14ac:dyDescent="0.15">
      <c r="A339" s="35" t="s">
        <v>468</v>
      </c>
      <c r="B339" s="37">
        <v>14</v>
      </c>
      <c r="C339" s="37">
        <v>7</v>
      </c>
      <c r="D339" s="36" t="s">
        <v>431</v>
      </c>
      <c r="E339" s="37"/>
      <c r="F339" s="38">
        <f t="shared" ref="F339:L339" si="20">F291+F310+F329+F338</f>
        <v>848176.74999999988</v>
      </c>
      <c r="G339" s="38">
        <f t="shared" si="20"/>
        <v>225728.78000000003</v>
      </c>
      <c r="H339" s="38">
        <f t="shared" si="20"/>
        <v>217469.96</v>
      </c>
      <c r="I339" s="38">
        <f t="shared" si="20"/>
        <v>381654.41000000003</v>
      </c>
      <c r="J339" s="38">
        <f t="shared" si="20"/>
        <v>151967.36000000002</v>
      </c>
      <c r="K339" s="38">
        <f t="shared" si="20"/>
        <v>0</v>
      </c>
      <c r="L339" s="38">
        <f t="shared" si="20"/>
        <v>1824997.2600000002</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848176.74999999988</v>
      </c>
      <c r="G353" s="38">
        <f>G339</f>
        <v>225728.78000000003</v>
      </c>
      <c r="H353" s="38">
        <f>H339</f>
        <v>217469.96</v>
      </c>
      <c r="I353" s="38">
        <f>I339</f>
        <v>381654.41000000003</v>
      </c>
      <c r="J353" s="38">
        <f>J339</f>
        <v>151967.36000000002</v>
      </c>
      <c r="K353" s="38">
        <f>K339+K352</f>
        <v>0</v>
      </c>
      <c r="L353" s="38">
        <f>L339+L352</f>
        <v>1824997.2600000002</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v>414399.04</v>
      </c>
      <c r="I359" s="18"/>
      <c r="J359" s="18">
        <v>34772.22</v>
      </c>
      <c r="K359" s="18"/>
      <c r="L359" s="13">
        <f>SUM(F359:K359)</f>
        <v>449171.26</v>
      </c>
      <c r="M359" s="8"/>
      <c r="N359" s="165"/>
    </row>
    <row r="360" spans="1:22" s="3" customFormat="1" ht="12.2" customHeight="1" x14ac:dyDescent="0.15">
      <c r="A360" s="1" t="s">
        <v>542</v>
      </c>
      <c r="B360" s="2" t="s">
        <v>366</v>
      </c>
      <c r="C360" s="6">
        <v>2</v>
      </c>
      <c r="D360" s="2" t="s">
        <v>431</v>
      </c>
      <c r="E360" s="6"/>
      <c r="F360" s="18"/>
      <c r="G360" s="18"/>
      <c r="H360" s="18">
        <v>147445.85999999999</v>
      </c>
      <c r="I360" s="18"/>
      <c r="J360" s="18">
        <v>12372.18</v>
      </c>
      <c r="K360" s="18"/>
      <c r="L360" s="13">
        <f>SUM(F360:K360)</f>
        <v>159818.03999999998</v>
      </c>
      <c r="M360" s="8"/>
      <c r="N360" s="165"/>
    </row>
    <row r="361" spans="1:22" s="3" customFormat="1" ht="12.2" customHeight="1" x14ac:dyDescent="0.15">
      <c r="A361" s="3" t="s">
        <v>543</v>
      </c>
      <c r="B361" s="2" t="s">
        <v>366</v>
      </c>
      <c r="C361" s="6">
        <v>3</v>
      </c>
      <c r="D361" s="2" t="s">
        <v>431</v>
      </c>
      <c r="E361" s="6"/>
      <c r="F361" s="18"/>
      <c r="G361" s="18"/>
      <c r="H361" s="18">
        <v>214320.24</v>
      </c>
      <c r="I361" s="18"/>
      <c r="J361" s="18">
        <v>17983.61</v>
      </c>
      <c r="K361" s="18"/>
      <c r="L361" s="13">
        <f>SUM(F361:K361)</f>
        <v>232303.84999999998</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776165.1399999999</v>
      </c>
      <c r="I363" s="38">
        <f t="shared" si="22"/>
        <v>0</v>
      </c>
      <c r="J363" s="38">
        <f t="shared" si="22"/>
        <v>65128.01</v>
      </c>
      <c r="K363" s="38">
        <f t="shared" si="22"/>
        <v>0</v>
      </c>
      <c r="L363" s="38">
        <f t="shared" si="22"/>
        <v>841293.15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50000</v>
      </c>
      <c r="H390" s="18">
        <v>9665.31</v>
      </c>
      <c r="I390" s="18"/>
      <c r="J390" s="23" t="s">
        <v>288</v>
      </c>
      <c r="K390" s="23" t="s">
        <v>288</v>
      </c>
      <c r="L390" s="13">
        <f t="shared" si="25"/>
        <v>59665.31</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v>50000</v>
      </c>
      <c r="H393" s="18">
        <v>7496.27</v>
      </c>
      <c r="I393" s="18"/>
      <c r="J393" s="23" t="s">
        <v>288</v>
      </c>
      <c r="K393" s="23" t="s">
        <v>288</v>
      </c>
      <c r="L393" s="13">
        <f t="shared" si="25"/>
        <v>57496.270000000004</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100000</v>
      </c>
      <c r="H394" s="97">
        <f>SUM(H388:H393)</f>
        <v>17161.580000000002</v>
      </c>
      <c r="I394" s="54">
        <f>SUM(I388:I393)</f>
        <v>0</v>
      </c>
      <c r="J394" s="42" t="s">
        <v>288</v>
      </c>
      <c r="K394" s="42" t="s">
        <v>288</v>
      </c>
      <c r="L394" s="38">
        <f>SUM(L388:L393)</f>
        <v>117161.58</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v>7188.25</v>
      </c>
      <c r="I398" s="18"/>
      <c r="J398" s="23" t="s">
        <v>288</v>
      </c>
      <c r="K398" s="23" t="s">
        <v>288</v>
      </c>
      <c r="L398" s="13">
        <f t="shared" si="26"/>
        <v>7188.25</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v>75000</v>
      </c>
      <c r="H401" s="18">
        <v>2294.25</v>
      </c>
      <c r="I401" s="18"/>
      <c r="J401" s="23" t="s">
        <v>288</v>
      </c>
      <c r="K401" s="23" t="s">
        <v>288</v>
      </c>
      <c r="L401" s="13">
        <f t="shared" si="26"/>
        <v>77294.25</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75000</v>
      </c>
      <c r="H402" s="38">
        <f>SUM(H396:H401)</f>
        <v>9482.5</v>
      </c>
      <c r="I402" s="38">
        <f>SUM(I396:I401)</f>
        <v>0</v>
      </c>
      <c r="J402" s="42" t="s">
        <v>288</v>
      </c>
      <c r="K402" s="42" t="s">
        <v>288</v>
      </c>
      <c r="L402" s="38">
        <f>SUM(L396:L401)</f>
        <v>84482.5</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175000</v>
      </c>
      <c r="H409" s="38">
        <f>H394+H402+H408</f>
        <v>26644.080000000002</v>
      </c>
      <c r="I409" s="38">
        <f>I394+I402+I408</f>
        <v>0</v>
      </c>
      <c r="J409" s="23" t="s">
        <v>288</v>
      </c>
      <c r="K409" s="23" t="s">
        <v>288</v>
      </c>
      <c r="L409" s="38">
        <f>L394+L402+L408</f>
        <v>201644.08000000002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f>332766.32+257741.18</f>
        <v>590507.5</v>
      </c>
      <c r="G443" s="18"/>
      <c r="H443" s="18">
        <f>248425.42+77294.25</f>
        <v>325719.67000000004</v>
      </c>
      <c r="I443" s="13">
        <f t="shared" si="33"/>
        <v>916227.17</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590507.5</v>
      </c>
      <c r="G447" s="13">
        <f>SUM(G440:G446)</f>
        <v>0</v>
      </c>
      <c r="H447" s="13">
        <f>SUM(H440:H446)</f>
        <v>325719.67000000004</v>
      </c>
      <c r="I447" s="13">
        <f>SUM(I440:I446)</f>
        <v>916227.17</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332766.32+257741.18</f>
        <v>590507.5</v>
      </c>
      <c r="G460" s="18"/>
      <c r="H460" s="18">
        <f>248425.42+77294.25</f>
        <v>325719.67000000004</v>
      </c>
      <c r="I460" s="13">
        <f t="shared" si="34"/>
        <v>916227.17</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590507.5</v>
      </c>
      <c r="G461" s="65">
        <f>SUM(G455:G460)</f>
        <v>0</v>
      </c>
      <c r="H461" s="65">
        <f>SUM(H455:H460)</f>
        <v>325719.67000000004</v>
      </c>
      <c r="I461" s="65">
        <f>SUM(I455:I460)</f>
        <v>916227.17</v>
      </c>
      <c r="J461" s="23" t="s">
        <v>288</v>
      </c>
      <c r="K461" s="23" t="s">
        <v>288</v>
      </c>
      <c r="L461" s="23" t="s">
        <v>288</v>
      </c>
      <c r="N461" s="131"/>
    </row>
    <row r="462" spans="1:86" ht="12.2" customHeight="1" thickTop="1" x14ac:dyDescent="0.2">
      <c r="A462" s="40" t="s">
        <v>424</v>
      </c>
      <c r="B462" s="41">
        <v>18</v>
      </c>
      <c r="C462" s="64">
        <v>21</v>
      </c>
      <c r="D462" s="114" t="s">
        <v>432</v>
      </c>
      <c r="E462" s="64"/>
      <c r="F462" s="39">
        <f>F453+F461</f>
        <v>590507.5</v>
      </c>
      <c r="G462" s="39">
        <f>G453+G461</f>
        <v>0</v>
      </c>
      <c r="H462" s="39">
        <f>H453+H461</f>
        <v>325719.67000000004</v>
      </c>
      <c r="I462" s="39">
        <f>I453+I461</f>
        <v>916227.17</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2936552.95</v>
      </c>
      <c r="G466" s="18">
        <v>105903.99</v>
      </c>
      <c r="H466" s="18">
        <v>212877.77</v>
      </c>
      <c r="I466" s="18"/>
      <c r="J466" s="18">
        <v>714583.09</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f>F194</f>
        <v>35123874.519999996</v>
      </c>
      <c r="G469" s="18">
        <f>G194</f>
        <v>746382.6</v>
      </c>
      <c r="H469" s="18">
        <f>H194</f>
        <v>1831530.22</v>
      </c>
      <c r="I469" s="18">
        <f>I194</f>
        <v>0</v>
      </c>
      <c r="J469" s="18">
        <f>L409</f>
        <v>201644.08000000002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35123874.519999996</v>
      </c>
      <c r="G471" s="19">
        <f>SUM(G469:G470)</f>
        <v>746382.6</v>
      </c>
      <c r="H471" s="19">
        <f>SUM(H469:H470)</f>
        <v>1831530.22</v>
      </c>
      <c r="I471" s="19">
        <f>SUM(I469:I470)</f>
        <v>0</v>
      </c>
      <c r="J471" s="19">
        <f>SUM(J469:J470)</f>
        <v>201644.08000000002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L272</f>
        <v>36099122.829999998</v>
      </c>
      <c r="G473" s="18">
        <f>L363</f>
        <v>841293.15</v>
      </c>
      <c r="H473" s="18">
        <f>L353</f>
        <v>1824997.2600000002</v>
      </c>
      <c r="I473" s="18">
        <f>L383</f>
        <v>0</v>
      </c>
      <c r="J473" s="18">
        <f>L435</f>
        <v>0</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36099122.829999998</v>
      </c>
      <c r="G475" s="19">
        <f>SUM(G473:G474)</f>
        <v>841293.15</v>
      </c>
      <c r="H475" s="19">
        <f>SUM(H473:H474)</f>
        <v>1824997.2600000002</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1961304.6400000006</v>
      </c>
      <c r="G477" s="19">
        <f>(G466+G471)- G475</f>
        <v>10993.439999999944</v>
      </c>
      <c r="H477" s="19">
        <f>(H466+H471)- H475</f>
        <v>219410.72999999975</v>
      </c>
      <c r="I477" s="19">
        <f>(I466+I471)- I475</f>
        <v>0</v>
      </c>
      <c r="J477" s="19">
        <f>(J466+J471)- J475</f>
        <v>916227.16999999993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29770200</v>
      </c>
      <c r="G494" s="18"/>
      <c r="H494" s="18"/>
      <c r="I494" s="18"/>
      <c r="J494" s="18"/>
      <c r="K494" s="23" t="s">
        <v>288</v>
      </c>
      <c r="L494" s="23" t="s">
        <v>288</v>
      </c>
      <c r="N494" s="131"/>
    </row>
    <row r="495" spans="1:14" ht="12.2" customHeight="1" x14ac:dyDescent="0.2">
      <c r="A495" s="21" t="s">
        <v>618</v>
      </c>
      <c r="B495" s="22">
        <v>20</v>
      </c>
      <c r="C495" s="22">
        <v>5</v>
      </c>
      <c r="D495" s="2" t="s">
        <v>432</v>
      </c>
      <c r="E495" s="22"/>
      <c r="F495" s="18">
        <v>4.54</v>
      </c>
      <c r="G495" s="18"/>
      <c r="H495" s="18"/>
      <c r="I495" s="18"/>
      <c r="J495" s="18"/>
      <c r="K495" s="23" t="s">
        <v>288</v>
      </c>
      <c r="L495" s="23" t="s">
        <v>288</v>
      </c>
      <c r="N495" s="131"/>
    </row>
    <row r="496" spans="1:14" ht="12.2" customHeight="1" x14ac:dyDescent="0.2">
      <c r="A496" s="21" t="s">
        <v>619</v>
      </c>
      <c r="B496" s="22">
        <v>20</v>
      </c>
      <c r="C496" s="22">
        <v>6</v>
      </c>
      <c r="D496" s="2" t="s">
        <v>432</v>
      </c>
      <c r="E496" s="22"/>
      <c r="F496" s="18">
        <v>2744942.4</v>
      </c>
      <c r="G496" s="18"/>
      <c r="H496" s="18"/>
      <c r="I496" s="18"/>
      <c r="J496" s="18"/>
      <c r="K496" s="19">
        <f>SUM(F496:J496)</f>
        <v>2744942.4</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f>K261</f>
        <v>959842.42</v>
      </c>
      <c r="G498" s="18"/>
      <c r="H498" s="18"/>
      <c r="I498" s="18"/>
      <c r="J498" s="18"/>
      <c r="K498" s="19">
        <f t="shared" si="35"/>
        <v>959842.42</v>
      </c>
      <c r="L498" s="23" t="s">
        <v>288</v>
      </c>
      <c r="N498" s="131"/>
    </row>
    <row r="499" spans="1:14" ht="12.2" customHeight="1" x14ac:dyDescent="0.2">
      <c r="A499" s="144" t="s">
        <v>622</v>
      </c>
      <c r="B499" s="145">
        <v>20</v>
      </c>
      <c r="C499" s="145">
        <v>9</v>
      </c>
      <c r="D499" s="146" t="s">
        <v>432</v>
      </c>
      <c r="E499" s="145"/>
      <c r="F499" s="147">
        <f>F496+F497-F498</f>
        <v>1785099.98</v>
      </c>
      <c r="G499" s="147"/>
      <c r="H499" s="147"/>
      <c r="I499" s="147"/>
      <c r="J499" s="147"/>
      <c r="K499" s="148">
        <f t="shared" si="35"/>
        <v>1785099.98</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1785099.98</v>
      </c>
      <c r="G501" s="39">
        <f>SUM(G499:G500)</f>
        <v>0</v>
      </c>
      <c r="H501" s="39">
        <f>SUM(H499:H500)</f>
        <v>0</v>
      </c>
      <c r="I501" s="39">
        <f>SUM(I499:I500)</f>
        <v>0</v>
      </c>
      <c r="J501" s="39">
        <f>SUM(J499:J500)</f>
        <v>0</v>
      </c>
      <c r="K501" s="39">
        <f t="shared" si="35"/>
        <v>1785099.98</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1772413.18</v>
      </c>
      <c r="G522" s="18">
        <v>1051823.25</v>
      </c>
      <c r="H522" s="18">
        <v>275214.71999999997</v>
      </c>
      <c r="I522" s="18">
        <v>81773</v>
      </c>
      <c r="J522" s="18">
        <v>585.69000000000005</v>
      </c>
      <c r="K522" s="18"/>
      <c r="L522" s="69">
        <f>SUM(F522:K522)</f>
        <v>3181809.8399999994</v>
      </c>
      <c r="N522" s="131"/>
    </row>
    <row r="523" spans="1:14" ht="12.2" customHeight="1" x14ac:dyDescent="0.2">
      <c r="A523" s="21" t="s">
        <v>634</v>
      </c>
      <c r="B523" s="22">
        <v>21</v>
      </c>
      <c r="C523" s="22">
        <v>2</v>
      </c>
      <c r="D523" s="2" t="s">
        <v>432</v>
      </c>
      <c r="E523" s="22"/>
      <c r="F523" s="18">
        <v>633925.61</v>
      </c>
      <c r="G523" s="18">
        <v>387363.46</v>
      </c>
      <c r="H523" s="18">
        <v>423590.71</v>
      </c>
      <c r="I523" s="18">
        <v>35685.79</v>
      </c>
      <c r="J523" s="18"/>
      <c r="K523" s="18"/>
      <c r="L523" s="69">
        <f>SUM(F523:K523)</f>
        <v>1480565.57</v>
      </c>
      <c r="N523" s="131"/>
    </row>
    <row r="524" spans="1:14" ht="12.2" customHeight="1" thickBot="1" x14ac:dyDescent="0.25">
      <c r="A524" s="21" t="s">
        <v>635</v>
      </c>
      <c r="B524" s="22">
        <v>21</v>
      </c>
      <c r="C524" s="22">
        <v>3</v>
      </c>
      <c r="D524" s="2" t="s">
        <v>432</v>
      </c>
      <c r="E524" s="22"/>
      <c r="F524" s="18">
        <v>1088718.6000000001</v>
      </c>
      <c r="G524" s="18">
        <v>641377.59</v>
      </c>
      <c r="H524" s="18">
        <v>614679.38</v>
      </c>
      <c r="I524" s="18">
        <v>52548.87</v>
      </c>
      <c r="J524" s="18"/>
      <c r="K524" s="18"/>
      <c r="L524" s="69">
        <f>SUM(F524:K524)</f>
        <v>2397324.44</v>
      </c>
      <c r="N524" s="131"/>
    </row>
    <row r="525" spans="1:14" ht="12.2" customHeight="1" thickTop="1" x14ac:dyDescent="0.2">
      <c r="A525" s="97" t="s">
        <v>63</v>
      </c>
      <c r="B525" s="41">
        <v>21</v>
      </c>
      <c r="C525" s="41">
        <v>4</v>
      </c>
      <c r="D525" s="115" t="s">
        <v>432</v>
      </c>
      <c r="E525" s="41"/>
      <c r="F525" s="81">
        <f>SUM(F522:F524)</f>
        <v>3495057.39</v>
      </c>
      <c r="G525" s="81">
        <f t="shared" ref="G525:L525" si="36">SUM(G522:G524)</f>
        <v>2080564.2999999998</v>
      </c>
      <c r="H525" s="81">
        <f t="shared" si="36"/>
        <v>1313484.81</v>
      </c>
      <c r="I525" s="81">
        <f t="shared" si="36"/>
        <v>170007.66</v>
      </c>
      <c r="J525" s="81">
        <f t="shared" si="36"/>
        <v>585.69000000000005</v>
      </c>
      <c r="K525" s="81">
        <f t="shared" si="36"/>
        <v>0</v>
      </c>
      <c r="L525" s="70">
        <f t="shared" si="36"/>
        <v>7059699.8499999996</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18634.6+338490.2</f>
        <v>357124.8</v>
      </c>
      <c r="G527" s="18">
        <f>13370.62+197768.16</f>
        <v>211138.78</v>
      </c>
      <c r="H527" s="18">
        <v>299980.33</v>
      </c>
      <c r="I527" s="18"/>
      <c r="J527" s="18"/>
      <c r="K527" s="18"/>
      <c r="L527" s="69">
        <f>SUM(F527:K527)</f>
        <v>868243.90999999992</v>
      </c>
      <c r="M527" s="8"/>
      <c r="N527" s="165"/>
    </row>
    <row r="528" spans="1:14" s="3" customFormat="1" ht="12.2" customHeight="1" x14ac:dyDescent="0.15">
      <c r="A528" s="21" t="s">
        <v>634</v>
      </c>
      <c r="B528" s="22">
        <v>21</v>
      </c>
      <c r="C528" s="22">
        <v>6</v>
      </c>
      <c r="D528" s="2" t="s">
        <v>432</v>
      </c>
      <c r="E528" s="22"/>
      <c r="F528" s="18">
        <f>9253.05+72784</f>
        <v>82037.05</v>
      </c>
      <c r="G528" s="18">
        <f>6639.2+44975.61</f>
        <v>51614.81</v>
      </c>
      <c r="H528" s="18">
        <v>100402.74</v>
      </c>
      <c r="I528" s="18"/>
      <c r="J528" s="18"/>
      <c r="K528" s="18"/>
      <c r="L528" s="69">
        <f>SUM(F528:K528)</f>
        <v>234054.59999999998</v>
      </c>
      <c r="M528" s="8"/>
      <c r="N528" s="165"/>
    </row>
    <row r="529" spans="1:14" s="3" customFormat="1" ht="12.2" customHeight="1" thickBot="1" x14ac:dyDescent="0.2">
      <c r="A529" s="21" t="s">
        <v>635</v>
      </c>
      <c r="B529" s="22">
        <v>21</v>
      </c>
      <c r="C529" s="22">
        <v>7</v>
      </c>
      <c r="D529" s="2" t="s">
        <v>432</v>
      </c>
      <c r="E529" s="22"/>
      <c r="F529" s="18">
        <f>13365.51+74993</f>
        <v>88358.51</v>
      </c>
      <c r="G529" s="18">
        <f>9589.96+50437.55</f>
        <v>60027.51</v>
      </c>
      <c r="H529" s="18">
        <v>151263.57</v>
      </c>
      <c r="I529" s="18"/>
      <c r="J529" s="18"/>
      <c r="K529" s="18"/>
      <c r="L529" s="69">
        <f>SUM(F529:K529)</f>
        <v>299649.58999999997</v>
      </c>
      <c r="M529" s="8"/>
      <c r="N529" s="165"/>
    </row>
    <row r="530" spans="1:14" s="3" customFormat="1" ht="12.2" customHeight="1" thickTop="1" x14ac:dyDescent="0.15">
      <c r="A530" s="97" t="s">
        <v>65</v>
      </c>
      <c r="B530" s="41">
        <v>21</v>
      </c>
      <c r="C530" s="41">
        <v>8</v>
      </c>
      <c r="D530" s="115" t="s">
        <v>432</v>
      </c>
      <c r="E530" s="41"/>
      <c r="F530" s="70">
        <f>SUM(F527:F529)</f>
        <v>527520.36</v>
      </c>
      <c r="G530" s="70">
        <f t="shared" ref="G530:L530" si="37">SUM(G527:G529)</f>
        <v>322781.09999999998</v>
      </c>
      <c r="H530" s="70">
        <f t="shared" si="37"/>
        <v>551646.64</v>
      </c>
      <c r="I530" s="70">
        <f t="shared" si="37"/>
        <v>0</v>
      </c>
      <c r="J530" s="70">
        <f t="shared" si="37"/>
        <v>0</v>
      </c>
      <c r="K530" s="70">
        <f t="shared" si="37"/>
        <v>0</v>
      </c>
      <c r="L530" s="70">
        <f t="shared" si="37"/>
        <v>1401948.0999999996</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130203.45</v>
      </c>
      <c r="G532" s="18">
        <v>44809.72</v>
      </c>
      <c r="H532" s="18">
        <v>7254.08</v>
      </c>
      <c r="I532" s="18">
        <v>9184.5499999999993</v>
      </c>
      <c r="J532" s="18"/>
      <c r="K532" s="18">
        <v>2023.78</v>
      </c>
      <c r="L532" s="69">
        <f>SUM(F532:K532)</f>
        <v>193475.57999999996</v>
      </c>
      <c r="M532" s="8"/>
      <c r="N532" s="165"/>
    </row>
    <row r="533" spans="1:14" s="3" customFormat="1" ht="12.2" customHeight="1" x14ac:dyDescent="0.15">
      <c r="A533" s="21" t="s">
        <v>634</v>
      </c>
      <c r="B533" s="22">
        <v>21</v>
      </c>
      <c r="C533" s="22">
        <v>10</v>
      </c>
      <c r="D533" s="2" t="s">
        <v>432</v>
      </c>
      <c r="E533" s="22"/>
      <c r="F533" s="18">
        <v>64652.75</v>
      </c>
      <c r="G533" s="18">
        <v>22250.35</v>
      </c>
      <c r="H533" s="18">
        <v>3602.03</v>
      </c>
      <c r="I533" s="18">
        <v>4560.6000000000004</v>
      </c>
      <c r="J533" s="18"/>
      <c r="K533" s="18">
        <v>1004.91</v>
      </c>
      <c r="L533" s="69">
        <f>SUM(F533:K533)</f>
        <v>96070.640000000014</v>
      </c>
      <c r="M533" s="8"/>
      <c r="N533" s="165"/>
    </row>
    <row r="534" spans="1:14" s="3" customFormat="1" ht="12.2" customHeight="1" thickBot="1" x14ac:dyDescent="0.2">
      <c r="A534" s="21" t="s">
        <v>635</v>
      </c>
      <c r="B534" s="22">
        <v>21</v>
      </c>
      <c r="C534" s="22">
        <v>11</v>
      </c>
      <c r="D534" s="2" t="s">
        <v>432</v>
      </c>
      <c r="E534" s="22"/>
      <c r="F534" s="18">
        <v>93387.3</v>
      </c>
      <c r="G534" s="18">
        <v>32139.39</v>
      </c>
      <c r="H534" s="18">
        <v>5202.93</v>
      </c>
      <c r="I534" s="18">
        <v>6587.54</v>
      </c>
      <c r="J534" s="18"/>
      <c r="K534" s="18">
        <v>1451.54</v>
      </c>
      <c r="L534" s="69">
        <f>SUM(F534:K534)</f>
        <v>138768.70000000001</v>
      </c>
      <c r="M534" s="8"/>
      <c r="N534" s="165"/>
    </row>
    <row r="535" spans="1:14" s="3" customFormat="1" ht="12.2" customHeight="1" thickTop="1" x14ac:dyDescent="0.15">
      <c r="A535" s="97" t="s">
        <v>67</v>
      </c>
      <c r="B535" s="41">
        <v>21</v>
      </c>
      <c r="C535" s="41">
        <v>12</v>
      </c>
      <c r="D535" s="115" t="s">
        <v>432</v>
      </c>
      <c r="E535" s="41"/>
      <c r="F535" s="70">
        <f>SUM(F532:F534)</f>
        <v>288243.5</v>
      </c>
      <c r="G535" s="70">
        <f t="shared" ref="G535:L535" si="38">SUM(G532:G534)</f>
        <v>99199.46</v>
      </c>
      <c r="H535" s="70">
        <f t="shared" si="38"/>
        <v>16059.04</v>
      </c>
      <c r="I535" s="70">
        <f t="shared" si="38"/>
        <v>20332.689999999999</v>
      </c>
      <c r="J535" s="70">
        <f t="shared" si="38"/>
        <v>0</v>
      </c>
      <c r="K535" s="70">
        <f t="shared" si="38"/>
        <v>4480.2299999999996</v>
      </c>
      <c r="L535" s="70">
        <f t="shared" si="38"/>
        <v>428314.92</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218180.7</v>
      </c>
      <c r="I542" s="18"/>
      <c r="J542" s="18">
        <v>67.31</v>
      </c>
      <c r="K542" s="18"/>
      <c r="L542" s="69">
        <f>SUM(F542:K542)</f>
        <v>218248.01</v>
      </c>
      <c r="M542" s="8"/>
      <c r="N542" s="165"/>
    </row>
    <row r="543" spans="1:14" s="3" customFormat="1" ht="12.2" customHeight="1" x14ac:dyDescent="0.15">
      <c r="A543" s="21" t="s">
        <v>634</v>
      </c>
      <c r="B543" s="22">
        <v>21</v>
      </c>
      <c r="C543" s="22">
        <v>18</v>
      </c>
      <c r="D543" s="2" t="s">
        <v>432</v>
      </c>
      <c r="E543" s="22"/>
      <c r="F543" s="18"/>
      <c r="G543" s="18"/>
      <c r="H543" s="18">
        <v>23433.18</v>
      </c>
      <c r="I543" s="18"/>
      <c r="J543" s="18">
        <v>33.42</v>
      </c>
      <c r="K543" s="18"/>
      <c r="L543" s="69">
        <f>SUM(F543:K543)</f>
        <v>23466.6</v>
      </c>
      <c r="M543" s="8"/>
      <c r="N543" s="165"/>
    </row>
    <row r="544" spans="1:14" s="3" customFormat="1" ht="12.2" customHeight="1" thickBot="1" x14ac:dyDescent="0.2">
      <c r="A544" s="21" t="s">
        <v>635</v>
      </c>
      <c r="B544" s="22">
        <v>21</v>
      </c>
      <c r="C544" s="22">
        <v>19</v>
      </c>
      <c r="D544" s="2" t="s">
        <v>432</v>
      </c>
      <c r="E544" s="22"/>
      <c r="F544" s="18"/>
      <c r="G544" s="18"/>
      <c r="H544" s="18">
        <v>100343.78</v>
      </c>
      <c r="I544" s="18"/>
      <c r="J544" s="18">
        <v>48.27</v>
      </c>
      <c r="K544" s="18"/>
      <c r="L544" s="69">
        <f>SUM(F544:K544)</f>
        <v>100392.05</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341957.66000000003</v>
      </c>
      <c r="I545" s="141">
        <f t="shared" si="40"/>
        <v>0</v>
      </c>
      <c r="J545" s="141">
        <f t="shared" si="40"/>
        <v>149</v>
      </c>
      <c r="K545" s="141">
        <f t="shared" si="40"/>
        <v>0</v>
      </c>
      <c r="L545" s="141">
        <f t="shared" si="40"/>
        <v>342106.66000000003</v>
      </c>
      <c r="M545" s="8"/>
      <c r="N545" s="165"/>
    </row>
    <row r="546" spans="1:14" s="3" customFormat="1" ht="12.2" customHeight="1" thickTop="1" x14ac:dyDescent="0.15">
      <c r="A546" s="75" t="s">
        <v>72</v>
      </c>
      <c r="B546" s="41">
        <v>21</v>
      </c>
      <c r="C546" s="41">
        <v>21</v>
      </c>
      <c r="D546" s="115" t="s">
        <v>432</v>
      </c>
      <c r="E546" s="41"/>
      <c r="F546" s="70">
        <f>F525+F530+F535+F540+F545</f>
        <v>4310821.25</v>
      </c>
      <c r="G546" s="70">
        <f t="shared" ref="G546:L546" si="41">G525+G530+G535+G540+G545</f>
        <v>2502544.86</v>
      </c>
      <c r="H546" s="70">
        <f t="shared" si="41"/>
        <v>2223148.1500000004</v>
      </c>
      <c r="I546" s="70">
        <f t="shared" si="41"/>
        <v>190340.35</v>
      </c>
      <c r="J546" s="70">
        <f t="shared" si="41"/>
        <v>734.69</v>
      </c>
      <c r="K546" s="70">
        <f t="shared" si="41"/>
        <v>4480.2299999999996</v>
      </c>
      <c r="L546" s="70">
        <f t="shared" si="41"/>
        <v>9232069.5299999993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3181809.8399999994</v>
      </c>
      <c r="G550" s="69">
        <f>L527</f>
        <v>868243.90999999992</v>
      </c>
      <c r="H550" s="69">
        <f>L532</f>
        <v>193475.57999999996</v>
      </c>
      <c r="I550" s="69">
        <f>L537</f>
        <v>0</v>
      </c>
      <c r="J550" s="69">
        <f>L542</f>
        <v>218248.01</v>
      </c>
      <c r="K550" s="69">
        <f>SUM(F550:J550)</f>
        <v>4461777.3399999989</v>
      </c>
      <c r="L550" s="23" t="s">
        <v>288</v>
      </c>
      <c r="M550" s="8"/>
      <c r="N550" s="165"/>
    </row>
    <row r="551" spans="1:14" s="3" customFormat="1" ht="12.2" customHeight="1" x14ac:dyDescent="0.15">
      <c r="A551" s="21" t="s">
        <v>634</v>
      </c>
      <c r="B551" s="22">
        <v>21</v>
      </c>
      <c r="C551" s="22">
        <v>23</v>
      </c>
      <c r="D551" s="2" t="s">
        <v>432</v>
      </c>
      <c r="E551" s="22"/>
      <c r="F551" s="69">
        <f>L523</f>
        <v>1480565.57</v>
      </c>
      <c r="G551" s="69">
        <f>L528</f>
        <v>234054.59999999998</v>
      </c>
      <c r="H551" s="69">
        <f>L533</f>
        <v>96070.640000000014</v>
      </c>
      <c r="I551" s="69">
        <f>L538</f>
        <v>0</v>
      </c>
      <c r="J551" s="69">
        <f>L543</f>
        <v>23466.6</v>
      </c>
      <c r="K551" s="69">
        <f>SUM(F551:J551)</f>
        <v>1834157.4100000001</v>
      </c>
      <c r="L551" s="23" t="s">
        <v>288</v>
      </c>
      <c r="M551" s="8"/>
      <c r="N551" s="165"/>
    </row>
    <row r="552" spans="1:14" s="3" customFormat="1" ht="12.2" customHeight="1" thickBot="1" x14ac:dyDescent="0.2">
      <c r="A552" s="21" t="s">
        <v>635</v>
      </c>
      <c r="B552" s="22">
        <v>21</v>
      </c>
      <c r="C552" s="22">
        <v>24</v>
      </c>
      <c r="D552" s="2" t="s">
        <v>432</v>
      </c>
      <c r="E552" s="22"/>
      <c r="F552" s="69">
        <f>L524</f>
        <v>2397324.44</v>
      </c>
      <c r="G552" s="69">
        <f>L529</f>
        <v>299649.58999999997</v>
      </c>
      <c r="H552" s="69">
        <f>L534</f>
        <v>138768.70000000001</v>
      </c>
      <c r="I552" s="69">
        <f>L539</f>
        <v>0</v>
      </c>
      <c r="J552" s="69">
        <f>L544</f>
        <v>100392.05</v>
      </c>
      <c r="K552" s="69">
        <f>SUM(F552:J552)</f>
        <v>2936134.78</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7059699.8499999996</v>
      </c>
      <c r="G553" s="70">
        <f t="shared" si="42"/>
        <v>1401948.0999999996</v>
      </c>
      <c r="H553" s="70">
        <f t="shared" si="42"/>
        <v>428314.92</v>
      </c>
      <c r="I553" s="70">
        <f t="shared" si="42"/>
        <v>0</v>
      </c>
      <c r="J553" s="70">
        <f t="shared" si="42"/>
        <v>342106.66000000003</v>
      </c>
      <c r="K553" s="70">
        <f t="shared" si="42"/>
        <v>9232069.5299999993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v>23224.48</v>
      </c>
      <c r="G563" s="18">
        <v>17625.34</v>
      </c>
      <c r="H563" s="18"/>
      <c r="I563" s="18"/>
      <c r="J563" s="18"/>
      <c r="K563" s="18"/>
      <c r="L563" s="69">
        <f>SUM(F563:K563)</f>
        <v>40849.82</v>
      </c>
      <c r="M563" s="8"/>
      <c r="N563" s="165"/>
    </row>
    <row r="564" spans="1:14" s="3" customFormat="1" ht="12.2" customHeight="1" x14ac:dyDescent="0.15">
      <c r="A564" s="21" t="s">
        <v>634</v>
      </c>
      <c r="B564" s="22">
        <v>22</v>
      </c>
      <c r="C564" s="22">
        <v>6</v>
      </c>
      <c r="D564" s="2" t="s">
        <v>432</v>
      </c>
      <c r="E564" s="22"/>
      <c r="F564" s="18">
        <v>10512.8</v>
      </c>
      <c r="G564" s="18">
        <v>7978.29</v>
      </c>
      <c r="H564" s="18"/>
      <c r="I564" s="18"/>
      <c r="J564" s="18"/>
      <c r="K564" s="18"/>
      <c r="L564" s="69">
        <f>SUM(F564:K564)</f>
        <v>18491.09</v>
      </c>
      <c r="M564" s="8"/>
      <c r="N564" s="165"/>
    </row>
    <row r="565" spans="1:14" s="3" customFormat="1" ht="12.2" customHeight="1" thickBot="1" x14ac:dyDescent="0.2">
      <c r="A565" s="21" t="s">
        <v>635</v>
      </c>
      <c r="B565" s="22">
        <v>22</v>
      </c>
      <c r="C565" s="22">
        <v>7</v>
      </c>
      <c r="D565" s="2" t="s">
        <v>432</v>
      </c>
      <c r="E565" s="22"/>
      <c r="F565" s="18">
        <v>20840.72</v>
      </c>
      <c r="G565" s="18">
        <v>15816.27</v>
      </c>
      <c r="H565" s="18"/>
      <c r="I565" s="18"/>
      <c r="J565" s="18"/>
      <c r="K565" s="18"/>
      <c r="L565" s="69">
        <f>SUM(F565:K565)</f>
        <v>36656.990000000005</v>
      </c>
      <c r="M565" s="8"/>
      <c r="N565" s="165"/>
    </row>
    <row r="566" spans="1:14" s="3" customFormat="1" ht="12.2" customHeight="1" thickTop="1" x14ac:dyDescent="0.15">
      <c r="A566" s="97" t="s">
        <v>65</v>
      </c>
      <c r="B566" s="41">
        <v>22</v>
      </c>
      <c r="C566" s="41">
        <v>8</v>
      </c>
      <c r="D566" s="115" t="s">
        <v>432</v>
      </c>
      <c r="E566" s="41"/>
      <c r="F566" s="70">
        <f t="shared" ref="F566:L566" si="44">SUM(F563:F565)</f>
        <v>54578</v>
      </c>
      <c r="G566" s="70">
        <f t="shared" si="44"/>
        <v>41419.9</v>
      </c>
      <c r="H566" s="70">
        <f t="shared" si="44"/>
        <v>0</v>
      </c>
      <c r="I566" s="70">
        <f t="shared" si="44"/>
        <v>0</v>
      </c>
      <c r="J566" s="70">
        <f t="shared" si="44"/>
        <v>0</v>
      </c>
      <c r="K566" s="70">
        <f t="shared" si="44"/>
        <v>0</v>
      </c>
      <c r="L566" s="70">
        <f t="shared" si="44"/>
        <v>95997.900000000009</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54578</v>
      </c>
      <c r="G572" s="70">
        <f t="shared" ref="G572:L572" si="46">G561+G566+G571</f>
        <v>41419.9</v>
      </c>
      <c r="H572" s="70">
        <f t="shared" si="46"/>
        <v>0</v>
      </c>
      <c r="I572" s="70">
        <f t="shared" si="46"/>
        <v>0</v>
      </c>
      <c r="J572" s="70">
        <f t="shared" si="46"/>
        <v>0</v>
      </c>
      <c r="K572" s="70">
        <f t="shared" si="46"/>
        <v>0</v>
      </c>
      <c r="L572" s="70">
        <f t="shared" si="46"/>
        <v>95997.900000000009</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1600</v>
      </c>
      <c r="I576" s="69">
        <f>SUM(F576:H576)</f>
        <v>1600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v>104841.28</v>
      </c>
      <c r="H580" s="18">
        <v>34789.32</v>
      </c>
      <c r="I580" s="69">
        <f t="shared" si="47"/>
        <v>139630.6</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v>296015</v>
      </c>
      <c r="H581" s="18">
        <v>10866.53</v>
      </c>
      <c r="I581" s="69">
        <f t="shared" si="47"/>
        <v>306881.53000000003</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128059.01</v>
      </c>
      <c r="G583" s="18"/>
      <c r="H583" s="18">
        <v>442576.03</v>
      </c>
      <c r="I583" s="69">
        <f t="shared" si="47"/>
        <v>570635.04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v>248723.94</v>
      </c>
      <c r="I585" s="69">
        <f t="shared" si="47"/>
        <v>248723.94</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f>365406.71+35933.83</f>
        <v>401340.54000000004</v>
      </c>
      <c r="I592" s="18">
        <f>165405.11+16265.82</f>
        <v>181670.93</v>
      </c>
      <c r="J592" s="18">
        <f>327901.25+32245.57</f>
        <v>360146.82</v>
      </c>
      <c r="K592" s="80">
        <f t="shared" ref="K592:K598" si="48">SUM(H592:J592)</f>
        <v>943158.29</v>
      </c>
      <c r="L592" s="23" t="s">
        <v>288</v>
      </c>
      <c r="M592" s="8"/>
      <c r="N592" s="165"/>
    </row>
    <row r="593" spans="1:14" s="3" customFormat="1" ht="12.2" customHeight="1" x14ac:dyDescent="0.15">
      <c r="A593" s="3" t="s">
        <v>638</v>
      </c>
      <c r="B593" s="22">
        <v>23</v>
      </c>
      <c r="C593" s="22">
        <v>2</v>
      </c>
      <c r="D593" s="2" t="s">
        <v>432</v>
      </c>
      <c r="E593" s="22"/>
      <c r="F593" s="78">
        <v>2722</v>
      </c>
      <c r="G593" s="79" t="s">
        <v>97</v>
      </c>
      <c r="H593" s="18">
        <f>3437.29+72066.68+74718.95+67957.78+63.4</f>
        <v>218244.09999999998</v>
      </c>
      <c r="I593" s="18">
        <f>11475+11958.18+28.7</f>
        <v>23461.88</v>
      </c>
      <c r="J593" s="18">
        <f>100343.78+56.9</f>
        <v>100400.68</v>
      </c>
      <c r="K593" s="80">
        <f t="shared" si="48"/>
        <v>342106.66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v>83807.759999999995</v>
      </c>
      <c r="K594" s="80">
        <f t="shared" si="48"/>
        <v>83807.759999999995</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16983</v>
      </c>
      <c r="J595" s="18">
        <v>76868.539999999994</v>
      </c>
      <c r="K595" s="80">
        <f t="shared" si="48"/>
        <v>93851.54</v>
      </c>
      <c r="L595" s="23" t="s">
        <v>288</v>
      </c>
      <c r="M595" s="8"/>
      <c r="N595" s="165"/>
    </row>
    <row r="596" spans="1:14" s="3" customFormat="1" ht="12.2" customHeight="1" x14ac:dyDescent="0.15">
      <c r="A596" s="103" t="s">
        <v>652</v>
      </c>
      <c r="B596" s="22">
        <v>23</v>
      </c>
      <c r="C596" s="22">
        <v>5</v>
      </c>
      <c r="D596" s="2" t="s">
        <v>432</v>
      </c>
      <c r="E596" s="22"/>
      <c r="F596" s="78">
        <v>2725</v>
      </c>
      <c r="G596" s="79" t="s">
        <v>97</v>
      </c>
      <c r="H596" s="18">
        <v>999</v>
      </c>
      <c r="I596" s="18">
        <v>3802.5</v>
      </c>
      <c r="J596" s="18">
        <f>8224.5+14742</f>
        <v>22966.5</v>
      </c>
      <c r="K596" s="80">
        <f t="shared" si="48"/>
        <v>27768</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620583.64</v>
      </c>
      <c r="I599" s="81">
        <f>SUM(I592:I598)</f>
        <v>225918.31</v>
      </c>
      <c r="J599" s="81">
        <f>SUM(J592:J598)</f>
        <v>644190.30000000005</v>
      </c>
      <c r="K599" s="81">
        <f>SUM(K592:K598)</f>
        <v>1490692.25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f>ROUND(81000*(0.2242+0.2013),2)</f>
        <v>34465.5</v>
      </c>
      <c r="I604" s="18">
        <f>ROUND(81000*0.1926,2)</f>
        <v>15600.6</v>
      </c>
      <c r="J604" s="18">
        <f>ROUND(81000*0.3819,2)</f>
        <v>30933.9</v>
      </c>
      <c r="K604" s="80">
        <f>SUM(H604:J604)</f>
        <v>81000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186854.88-H604</f>
        <v>152389.38</v>
      </c>
      <c r="I605" s="18">
        <f>74581.71-I604</f>
        <v>58981.110000000008</v>
      </c>
      <c r="J605" s="18">
        <f>235961.74-J604</f>
        <v>205027.84</v>
      </c>
      <c r="K605" s="80">
        <f>SUM(H605:J605)</f>
        <v>416398.33</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186854.88</v>
      </c>
      <c r="I606" s="81">
        <f>SUM(I603:I605)</f>
        <v>74581.710000000006</v>
      </c>
      <c r="J606" s="81">
        <f>SUM(J603:J605)</f>
        <v>235961.74</v>
      </c>
      <c r="K606" s="81">
        <f>SUM(K603:K605)</f>
        <v>497398.33</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f>ROUND(81988.9*(0.2242+0.2013),2)</f>
        <v>34886.28</v>
      </c>
      <c r="G612" s="18">
        <f>ROUND(18419.25*(0.2242+0.2013),2)</f>
        <v>7837.39</v>
      </c>
      <c r="H612" s="18">
        <v>33733.269999999997</v>
      </c>
      <c r="I612" s="18"/>
      <c r="J612" s="18"/>
      <c r="K612" s="18"/>
      <c r="L612" s="69">
        <f>SUM(F612:K612)</f>
        <v>76456.94</v>
      </c>
      <c r="M612" s="8"/>
      <c r="N612" s="165"/>
    </row>
    <row r="613" spans="1:14" s="3" customFormat="1" ht="12.2" customHeight="1" x14ac:dyDescent="0.15">
      <c r="A613" s="21" t="s">
        <v>634</v>
      </c>
      <c r="B613" s="22">
        <v>23</v>
      </c>
      <c r="C613" s="22">
        <v>14</v>
      </c>
      <c r="D613" s="2" t="s">
        <v>432</v>
      </c>
      <c r="E613" s="22"/>
      <c r="F613" s="18">
        <f>ROUND(81988.9*0.1926,2)</f>
        <v>15791.06</v>
      </c>
      <c r="G613" s="18">
        <f>ROUND(18419.25*0.1926,2)</f>
        <v>3547.55</v>
      </c>
      <c r="H613" s="18">
        <v>2483.5</v>
      </c>
      <c r="I613" s="18"/>
      <c r="J613" s="18"/>
      <c r="K613" s="18"/>
      <c r="L613" s="69">
        <f>SUM(F613:K613)</f>
        <v>21822.11</v>
      </c>
      <c r="M613" s="8"/>
      <c r="N613" s="165"/>
    </row>
    <row r="614" spans="1:14" s="3" customFormat="1" ht="12.2" customHeight="1" thickBot="1" x14ac:dyDescent="0.2">
      <c r="A614" s="21" t="s">
        <v>645</v>
      </c>
      <c r="B614" s="22">
        <v>23</v>
      </c>
      <c r="C614" s="22">
        <v>15</v>
      </c>
      <c r="D614" s="2" t="s">
        <v>432</v>
      </c>
      <c r="E614" s="22"/>
      <c r="F614" s="18">
        <f>ROUND(81988.9*0.3819,2)</f>
        <v>31311.56</v>
      </c>
      <c r="G614" s="18">
        <f>ROUND(18419.25*0.3819,2)</f>
        <v>7034.31</v>
      </c>
      <c r="H614" s="18">
        <v>10074.780000000001</v>
      </c>
      <c r="I614" s="18"/>
      <c r="J614" s="18"/>
      <c r="K614" s="18"/>
      <c r="L614" s="69">
        <f>SUM(F614:K614)</f>
        <v>48420.65</v>
      </c>
      <c r="M614" s="8"/>
      <c r="N614" s="165"/>
    </row>
    <row r="615" spans="1:14" s="3" customFormat="1" ht="12.2" customHeight="1" thickTop="1" x14ac:dyDescent="0.15">
      <c r="A615" s="75" t="s">
        <v>340</v>
      </c>
      <c r="B615" s="41">
        <v>23</v>
      </c>
      <c r="C615" s="41">
        <v>16</v>
      </c>
      <c r="D615" s="36" t="s">
        <v>432</v>
      </c>
      <c r="E615" s="41"/>
      <c r="F615" s="81">
        <f t="shared" ref="F615:L615" si="49">SUM(F612:F614)</f>
        <v>81988.899999999994</v>
      </c>
      <c r="G615" s="81">
        <f t="shared" si="49"/>
        <v>18419.25</v>
      </c>
      <c r="H615" s="81">
        <f t="shared" si="49"/>
        <v>46291.549999999996</v>
      </c>
      <c r="I615" s="81">
        <f t="shared" si="49"/>
        <v>0</v>
      </c>
      <c r="J615" s="81">
        <f t="shared" si="49"/>
        <v>0</v>
      </c>
      <c r="K615" s="81">
        <f t="shared" si="49"/>
        <v>0</v>
      </c>
      <c r="L615" s="70">
        <f t="shared" si="49"/>
        <v>146699.70000000001</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2492206.5</v>
      </c>
      <c r="H618" s="80">
        <f>SUM(F52)</f>
        <v>2492206.5000000005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50310.549999999996</v>
      </c>
      <c r="H619" s="80">
        <f>SUM(G52)</f>
        <v>50310.549999999945</v>
      </c>
      <c r="I619" s="87" t="s">
        <v>875</v>
      </c>
      <c r="J619" s="80">
        <f>G619-H619</f>
        <v>0</v>
      </c>
      <c r="K619" s="80"/>
      <c r="L619" s="80"/>
      <c r="M619" s="8"/>
    </row>
    <row r="620" spans="1:14" s="3" customFormat="1" ht="12.2" customHeight="1" x14ac:dyDescent="0.15">
      <c r="A620" s="74"/>
      <c r="B620" s="22"/>
      <c r="C620" s="22"/>
      <c r="D620" s="22"/>
      <c r="E620" s="22"/>
      <c r="F620" s="87" t="s">
        <v>685</v>
      </c>
      <c r="G620" s="80">
        <f>SUM(H19)</f>
        <v>769688.03</v>
      </c>
      <c r="H620" s="80">
        <f>SUM(H52)</f>
        <v>769688.02999999968</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916227.17</v>
      </c>
      <c r="H622" s="80">
        <f>SUM(J52)</f>
        <v>916227.17</v>
      </c>
      <c r="I622" s="87" t="s">
        <v>878</v>
      </c>
      <c r="J622" s="80">
        <f>G622-H622</f>
        <v>0</v>
      </c>
      <c r="K622" s="80"/>
      <c r="L622" s="80"/>
      <c r="M622" s="8"/>
    </row>
    <row r="623" spans="1:14" s="3" customFormat="1" ht="12.2" customHeight="1" x14ac:dyDescent="0.15">
      <c r="A623" s="74"/>
      <c r="B623" s="22"/>
      <c r="C623" s="22"/>
      <c r="D623" s="22"/>
      <c r="E623" s="22"/>
      <c r="F623" s="87" t="s">
        <v>864</v>
      </c>
      <c r="G623" s="80">
        <f>F51</f>
        <v>1961304.6400000006</v>
      </c>
      <c r="H623" s="80">
        <f>F477</f>
        <v>1961304.6400000006</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10993.439999999944</v>
      </c>
      <c r="H624" s="80">
        <f>G477</f>
        <v>10993.439999999944</v>
      </c>
      <c r="I624" s="87" t="s">
        <v>102</v>
      </c>
      <c r="J624" s="80">
        <f t="shared" si="50"/>
        <v>0</v>
      </c>
      <c r="K624" s="80"/>
      <c r="L624" s="80"/>
      <c r="M624" s="8"/>
    </row>
    <row r="625" spans="1:13" s="3" customFormat="1" ht="12.2" customHeight="1" x14ac:dyDescent="0.15">
      <c r="A625" s="74"/>
      <c r="B625" s="22"/>
      <c r="C625" s="22"/>
      <c r="D625" s="22"/>
      <c r="E625" s="22"/>
      <c r="F625" s="86" t="s">
        <v>866</v>
      </c>
      <c r="G625" s="80">
        <f>H51</f>
        <v>219410.72999999975</v>
      </c>
      <c r="H625" s="80">
        <f>H477</f>
        <v>219410.72999999975</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916227.17</v>
      </c>
      <c r="H627" s="80">
        <f>J477</f>
        <v>916227.16999999993</v>
      </c>
      <c r="I627" s="87" t="s">
        <v>105</v>
      </c>
      <c r="J627" s="80">
        <f t="shared" si="50"/>
        <v>0</v>
      </c>
      <c r="K627" s="67"/>
      <c r="L627" s="69"/>
      <c r="M627" s="8"/>
    </row>
    <row r="628" spans="1:13" s="3" customFormat="1" ht="12.2" customHeight="1" x14ac:dyDescent="0.15">
      <c r="A628" s="21"/>
      <c r="B628" s="22"/>
      <c r="C628" s="22"/>
      <c r="D628" s="22"/>
      <c r="E628" s="22"/>
      <c r="F628" s="86" t="s">
        <v>658</v>
      </c>
      <c r="G628" s="80">
        <f>F194</f>
        <v>35123874.519999996</v>
      </c>
      <c r="H628" s="80">
        <f>SUM(F469)</f>
        <v>35123874.519999996</v>
      </c>
      <c r="I628" s="87" t="s">
        <v>106</v>
      </c>
      <c r="J628" s="80">
        <f>G628-H628</f>
        <v>0</v>
      </c>
      <c r="K628" s="67"/>
      <c r="L628" s="69"/>
      <c r="M628" s="8"/>
    </row>
    <row r="629" spans="1:13" s="3" customFormat="1" ht="12.2" customHeight="1" x14ac:dyDescent="0.15">
      <c r="A629" s="21"/>
      <c r="B629" s="22"/>
      <c r="C629" s="22"/>
      <c r="D629" s="22"/>
      <c r="E629" s="22"/>
      <c r="F629" s="86" t="s">
        <v>659</v>
      </c>
      <c r="G629" s="80">
        <f>G194</f>
        <v>746382.6</v>
      </c>
      <c r="H629" s="80">
        <f>SUM(G469)</f>
        <v>746382.6</v>
      </c>
      <c r="I629" s="87" t="s">
        <v>107</v>
      </c>
      <c r="J629" s="80">
        <f>G629-H629</f>
        <v>0</v>
      </c>
      <c r="K629" s="67"/>
      <c r="L629" s="69"/>
      <c r="M629" s="8"/>
    </row>
    <row r="630" spans="1:13" s="3" customFormat="1" ht="12.2" customHeight="1" x14ac:dyDescent="0.15">
      <c r="A630" s="21"/>
      <c r="B630" s="22"/>
      <c r="C630" s="22"/>
      <c r="D630" s="22"/>
      <c r="E630" s="22"/>
      <c r="F630" s="86" t="s">
        <v>660</v>
      </c>
      <c r="G630" s="80">
        <f>H194</f>
        <v>1831530.22</v>
      </c>
      <c r="H630" s="80">
        <f>SUM(H469)</f>
        <v>1831530.22</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201644.08000000002</v>
      </c>
      <c r="H632" s="80">
        <f>SUM(J469)</f>
        <v>201644.08000000002</v>
      </c>
      <c r="I632" s="87" t="s">
        <v>110</v>
      </c>
      <c r="J632" s="80">
        <f>G632-H632</f>
        <v>0</v>
      </c>
      <c r="K632" s="67"/>
      <c r="L632" s="69"/>
      <c r="M632" s="8"/>
    </row>
    <row r="633" spans="1:13" s="3" customFormat="1" ht="12.2" customHeight="1" x14ac:dyDescent="0.15">
      <c r="A633" s="21"/>
      <c r="B633" s="22"/>
      <c r="C633" s="22"/>
      <c r="D633" s="22"/>
      <c r="E633" s="22"/>
      <c r="F633" s="86" t="s">
        <v>394</v>
      </c>
      <c r="G633" s="80">
        <f>SUM(L272)</f>
        <v>36099122.829999998</v>
      </c>
      <c r="H633" s="80">
        <f>SUM(F473)</f>
        <v>36099122.829999998</v>
      </c>
      <c r="I633" s="87" t="s">
        <v>111</v>
      </c>
      <c r="J633" s="80">
        <f t="shared" si="50"/>
        <v>0</v>
      </c>
      <c r="K633" s="67"/>
      <c r="L633" s="69"/>
      <c r="M633" s="8"/>
    </row>
    <row r="634" spans="1:13" s="3" customFormat="1" ht="12.2" customHeight="1" x14ac:dyDescent="0.15">
      <c r="A634" s="21"/>
      <c r="B634" s="22"/>
      <c r="C634" s="22"/>
      <c r="D634" s="22"/>
      <c r="E634" s="22"/>
      <c r="F634" s="86" t="s">
        <v>395</v>
      </c>
      <c r="G634" s="80">
        <f>SUM(L353)</f>
        <v>1824997.2600000002</v>
      </c>
      <c r="H634" s="80">
        <f>SUM(H473)</f>
        <v>1824997.2600000002</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841293.15</v>
      </c>
      <c r="H636" s="80">
        <f>SUM(G473)</f>
        <v>841293.15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201644.08000000002</v>
      </c>
      <c r="H638" s="108">
        <f>SUM(J469)</f>
        <v>201644.08000000002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590507.5</v>
      </c>
      <c r="H640" s="80">
        <f>SUM(F462)</f>
        <v>590507.5</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325719.67000000004</v>
      </c>
      <c r="H642" s="80">
        <f>SUM(H462)</f>
        <v>325719.67000000004</v>
      </c>
      <c r="I642" s="87" t="s">
        <v>842</v>
      </c>
      <c r="J642" s="80">
        <f t="shared" si="50"/>
        <v>0</v>
      </c>
      <c r="K642" s="67"/>
      <c r="L642" s="69"/>
      <c r="M642" s="8"/>
    </row>
    <row r="643" spans="1:13" s="3" customFormat="1" ht="12.2" customHeight="1" x14ac:dyDescent="0.15">
      <c r="A643" s="21"/>
      <c r="B643" s="22"/>
      <c r="C643" s="22"/>
      <c r="D643" s="22"/>
      <c r="E643" s="22"/>
      <c r="F643" s="86" t="s">
        <v>121</v>
      </c>
      <c r="G643" s="80">
        <f>SUM(I447)</f>
        <v>916227.17</v>
      </c>
      <c r="H643" s="80">
        <f>SUM(I462)</f>
        <v>916227.17</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26644.080000000002</v>
      </c>
      <c r="H645" s="80">
        <f>H409</f>
        <v>26644.080000000002</v>
      </c>
      <c r="I645" s="87" t="s">
        <v>480</v>
      </c>
      <c r="J645" s="80">
        <f t="shared" si="50"/>
        <v>0</v>
      </c>
      <c r="K645" s="67"/>
      <c r="L645" s="69"/>
      <c r="M645" s="8"/>
    </row>
    <row r="646" spans="1:13" s="3" customFormat="1" ht="12.2" customHeight="1" x14ac:dyDescent="0.15">
      <c r="A646" s="21"/>
      <c r="B646" s="22"/>
      <c r="C646" s="22"/>
      <c r="D646" s="22"/>
      <c r="E646" s="22"/>
      <c r="F646" s="86" t="s">
        <v>664</v>
      </c>
      <c r="G646" s="80">
        <f>J184</f>
        <v>175000</v>
      </c>
      <c r="H646" s="80">
        <f>G409</f>
        <v>175000</v>
      </c>
      <c r="I646" s="87" t="s">
        <v>481</v>
      </c>
      <c r="J646" s="80">
        <f t="shared" si="50"/>
        <v>0</v>
      </c>
      <c r="K646" s="67"/>
      <c r="L646" s="69"/>
      <c r="M646" s="8"/>
    </row>
    <row r="647" spans="1:13" s="3" customFormat="1" ht="12.2" customHeight="1" x14ac:dyDescent="0.15">
      <c r="A647" s="21"/>
      <c r="B647" s="22"/>
      <c r="C647" s="22"/>
      <c r="D647" s="22"/>
      <c r="E647" s="22"/>
      <c r="F647" s="86" t="s">
        <v>662</v>
      </c>
      <c r="G647" s="80">
        <f>J194</f>
        <v>201644.08000000002</v>
      </c>
      <c r="H647" s="80">
        <f>L409</f>
        <v>201644.08000000002</v>
      </c>
      <c r="I647" s="87" t="s">
        <v>477</v>
      </c>
      <c r="J647" s="80">
        <f t="shared" si="50"/>
        <v>0</v>
      </c>
      <c r="K647" s="67"/>
      <c r="L647" s="69"/>
      <c r="M647" s="8"/>
    </row>
    <row r="648" spans="1:13" s="3" customFormat="1" ht="12.2" customHeight="1" x14ac:dyDescent="0.15">
      <c r="A648" s="21"/>
      <c r="B648" s="22"/>
      <c r="C648" s="22"/>
      <c r="D648" s="22"/>
      <c r="E648" s="22"/>
      <c r="F648" s="86" t="s">
        <v>51</v>
      </c>
      <c r="G648" s="80">
        <f>K599</f>
        <v>1490692.25</v>
      </c>
      <c r="H648" s="80">
        <f>L209+L227+L245</f>
        <v>1490692.25</v>
      </c>
      <c r="I648" s="87" t="s">
        <v>396</v>
      </c>
      <c r="J648" s="80">
        <f t="shared" si="50"/>
        <v>0</v>
      </c>
      <c r="K648" s="67"/>
      <c r="L648" s="69"/>
      <c r="M648" s="8"/>
    </row>
    <row r="649" spans="1:13" s="3" customFormat="1" ht="12.2" customHeight="1" x14ac:dyDescent="0.15">
      <c r="A649" s="21"/>
      <c r="B649" s="22"/>
      <c r="C649" s="22"/>
      <c r="D649" s="22"/>
      <c r="E649" s="22"/>
      <c r="F649" s="86" t="s">
        <v>52</v>
      </c>
      <c r="G649" s="80">
        <f>K606</f>
        <v>497398.33</v>
      </c>
      <c r="H649" s="80">
        <f>(J258+J339)-(J256+J337)</f>
        <v>497398.32999999996</v>
      </c>
      <c r="I649" s="87" t="s">
        <v>699</v>
      </c>
      <c r="J649" s="80">
        <f t="shared" si="50"/>
        <v>0</v>
      </c>
      <c r="K649" s="67"/>
      <c r="L649" s="69"/>
      <c r="M649" s="8"/>
    </row>
    <row r="650" spans="1:13" s="3" customFormat="1" ht="12.2" customHeight="1" x14ac:dyDescent="0.15">
      <c r="A650" s="21"/>
      <c r="B650" s="22"/>
      <c r="C650" s="22"/>
      <c r="D650" s="22"/>
      <c r="E650" s="22"/>
      <c r="F650" s="86" t="s">
        <v>387</v>
      </c>
      <c r="G650" s="80">
        <f>L209</f>
        <v>620583.64</v>
      </c>
      <c r="H650" s="80">
        <f>H599</f>
        <v>620583.64</v>
      </c>
      <c r="I650" s="87" t="s">
        <v>388</v>
      </c>
      <c r="J650" s="80">
        <f t="shared" si="50"/>
        <v>0</v>
      </c>
      <c r="K650" s="67"/>
      <c r="L650" s="69"/>
      <c r="M650" s="8"/>
    </row>
    <row r="651" spans="1:13" s="3" customFormat="1" ht="12.2" customHeight="1" x14ac:dyDescent="0.15">
      <c r="A651" s="21"/>
      <c r="B651" s="22"/>
      <c r="C651" s="22"/>
      <c r="D651" s="22"/>
      <c r="E651" s="22"/>
      <c r="F651" s="86" t="s">
        <v>392</v>
      </c>
      <c r="G651" s="80">
        <f>L227</f>
        <v>225918.31000000003</v>
      </c>
      <c r="H651" s="80">
        <f>I599</f>
        <v>225918.31</v>
      </c>
      <c r="I651" s="87" t="s">
        <v>389</v>
      </c>
      <c r="J651" s="80">
        <f t="shared" si="50"/>
        <v>0</v>
      </c>
      <c r="K651" s="67"/>
      <c r="L651" s="69"/>
      <c r="M651" s="8"/>
    </row>
    <row r="652" spans="1:13" s="3" customFormat="1" ht="12.2" customHeight="1" x14ac:dyDescent="0.15">
      <c r="A652" s="21"/>
      <c r="B652" s="22"/>
      <c r="C652" s="22"/>
      <c r="D652" s="22"/>
      <c r="E652" s="22"/>
      <c r="F652" s="86" t="s">
        <v>393</v>
      </c>
      <c r="G652" s="80">
        <f>L245</f>
        <v>644190.29999999993</v>
      </c>
      <c r="H652" s="80">
        <f>J599</f>
        <v>644190.30000000005</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175000</v>
      </c>
      <c r="H656" s="80">
        <f>K267+K348</f>
        <v>175000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15650492.619999999</v>
      </c>
      <c r="G661" s="13">
        <f>(L230+L310+L360)</f>
        <v>6572900.1000000006</v>
      </c>
      <c r="H661" s="13">
        <f>(L248+L329+L361)</f>
        <v>13659131.969999999</v>
      </c>
      <c r="I661" s="13">
        <f>SUM(F661:H661)</f>
        <v>35882524.689999998</v>
      </c>
      <c r="J661" s="13"/>
      <c r="K661" s="13"/>
      <c r="L661" s="13"/>
      <c r="M661" s="9"/>
    </row>
    <row r="662" spans="1:13" s="3" customFormat="1" ht="12.2" customHeight="1" x14ac:dyDescent="0.2">
      <c r="A662" s="1" t="s">
        <v>127</v>
      </c>
      <c r="F662" s="13">
        <f>(L359/IF(SUM(L359:L361)=0,1,SUM(L359:L361))*(SUM(G97:G110)))</f>
        <v>265363.69963452668</v>
      </c>
      <c r="G662" s="13">
        <f>(L360/IF(SUM(L359:L361)=0,1,SUM(L359:L361))*(SUM(G97:G110)))</f>
        <v>94418.12096958021</v>
      </c>
      <c r="H662" s="13">
        <f>(L361/IF(SUM(L359:L361)=0,1,SUM(L359:L361))*(SUM(G97:G110)))</f>
        <v>137241.65939589308</v>
      </c>
      <c r="I662" s="13">
        <f>SUM(F662:H662)</f>
        <v>497023.48</v>
      </c>
      <c r="J662"/>
      <c r="K662" s="13"/>
      <c r="L662" s="13"/>
      <c r="M662" s="8"/>
    </row>
    <row r="663" spans="1:13" s="3" customFormat="1" ht="12.2" customHeight="1" x14ac:dyDescent="0.2">
      <c r="A663" s="1" t="s">
        <v>128</v>
      </c>
      <c r="F663" s="13">
        <f>(L209+L288)-(J209+J288)</f>
        <v>620520.24</v>
      </c>
      <c r="G663" s="13">
        <f>(L227+L307)-(J227+J307)</f>
        <v>225889.61000000002</v>
      </c>
      <c r="H663" s="13">
        <f>(L245+L326)-(J245+J326)</f>
        <v>644133.39999999991</v>
      </c>
      <c r="I663" s="13">
        <f>SUM(F663:H663)</f>
        <v>1490543.25</v>
      </c>
      <c r="J663"/>
      <c r="K663" s="13"/>
      <c r="L663" s="13"/>
      <c r="M663" s="9"/>
    </row>
    <row r="664" spans="1:13" s="3" customFormat="1" ht="12.2" customHeight="1" x14ac:dyDescent="0.15">
      <c r="A664" s="142" t="s">
        <v>129</v>
      </c>
      <c r="B664" s="124"/>
      <c r="C664" s="124"/>
      <c r="D664" s="124"/>
      <c r="E664" s="124"/>
      <c r="F664" s="143">
        <f>SUM(F576:F588)+SUM(H603:H605)+SUM(L612)</f>
        <v>391370.83</v>
      </c>
      <c r="G664" s="143">
        <f>SUM(G576:G588)+SUM(I603:I605)+L613</f>
        <v>497260.10000000003</v>
      </c>
      <c r="H664" s="143">
        <f>SUM(H576:H588)+SUM(J603:J605)+L614</f>
        <v>1022938.2100000001</v>
      </c>
      <c r="I664" s="13">
        <f>SUM(F664:H664)</f>
        <v>1911569.1400000001</v>
      </c>
      <c r="J664" s="13"/>
      <c r="K664" s="13"/>
      <c r="L664" s="13"/>
      <c r="M664" s="9"/>
    </row>
    <row r="665" spans="1:13" s="3" customFormat="1" ht="12.2" customHeight="1" x14ac:dyDescent="0.15">
      <c r="A665" s="1" t="s">
        <v>130</v>
      </c>
      <c r="F665" s="13">
        <f>F661-SUM(F662:F664)</f>
        <v>14373237.850365473</v>
      </c>
      <c r="G665" s="13">
        <f>G661-SUM(G662:G664)</f>
        <v>5755332.2690304201</v>
      </c>
      <c r="H665" s="13">
        <f>H661-SUM(H662:H664)</f>
        <v>11854818.700604105</v>
      </c>
      <c r="I665" s="13">
        <f>I661-SUM(I662:I664)</f>
        <v>31983388.819999997</v>
      </c>
      <c r="J665" s="13"/>
      <c r="K665" s="13"/>
      <c r="L665" s="13"/>
      <c r="M665" s="8"/>
    </row>
    <row r="666" spans="1:13" s="3" customFormat="1" ht="12.2" customHeight="1" x14ac:dyDescent="0.2">
      <c r="A666" s="1" t="s">
        <v>131</v>
      </c>
      <c r="F666" s="183">
        <v>575.25</v>
      </c>
      <c r="G666" s="184">
        <v>260.39999999999998</v>
      </c>
      <c r="H666" s="184">
        <v>515.97</v>
      </c>
      <c r="I666" s="13">
        <f>SUM(F666:H666)</f>
        <v>1351.62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24986.07</v>
      </c>
      <c r="G668" s="13">
        <f>ROUND(G665/G666,2)</f>
        <v>22101.89</v>
      </c>
      <c r="H668" s="13">
        <f>ROUND(H665/H666,2)</f>
        <v>22975.79</v>
      </c>
      <c r="I668" s="13">
        <f>ROUND(I665/I666,2)</f>
        <v>23663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v>-20.94</v>
      </c>
      <c r="I671" s="13">
        <f>SUM(F671:H671)</f>
        <v>-20.94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24986.07</v>
      </c>
      <c r="G673" s="13">
        <f>ROUND((G665+G670)/(G666+G671),2)</f>
        <v>22101.89</v>
      </c>
      <c r="H673" s="13">
        <f>ROUND((H665+H670)/(H666+H671),2)</f>
        <v>23947.68</v>
      </c>
      <c r="I673" s="13">
        <f>ROUND((I665+I670)/(I666+I671),2)</f>
        <v>24035.37</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1" sqref="E11"/>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80302.350000000006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53096.69+7855.72</f>
        <v>60952.41</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19349.939999999999</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6" t="str">
        <f>'DOE25'!A2</f>
        <v>Sanborn Regional</v>
      </c>
      <c r="C5" s="317"/>
      <c r="D5" s="317"/>
      <c r="E5" s="317"/>
      <c r="F5" s="317"/>
    </row>
    <row r="8" spans="1:9" ht="18" x14ac:dyDescent="0.25">
      <c r="A8" s="240" t="s">
        <v>1560</v>
      </c>
      <c r="F8" s="247" t="s">
        <v>1578</v>
      </c>
    </row>
    <row r="9" spans="1:9" ht="15" x14ac:dyDescent="0.2">
      <c r="A9" s="238" t="s">
        <v>1561</v>
      </c>
      <c r="B9" s="241">
        <f>'DOE25'!G97</f>
        <v>496831.48</v>
      </c>
      <c r="F9" s="238" t="s">
        <v>1574</v>
      </c>
    </row>
    <row r="10" spans="1:9" ht="15" x14ac:dyDescent="0.2">
      <c r="A10" s="238" t="s">
        <v>1562</v>
      </c>
      <c r="B10" s="241">
        <f>'DOE25'!G112-'DOE25'!G97</f>
        <v>192</v>
      </c>
      <c r="F10" s="238" t="s">
        <v>1575</v>
      </c>
    </row>
    <row r="11" spans="1:9" ht="15" x14ac:dyDescent="0.2">
      <c r="A11" s="238" t="s">
        <v>1563</v>
      </c>
      <c r="B11" s="241">
        <f>'DOE25'!G140</f>
        <v>9107.08</v>
      </c>
      <c r="F11" s="238" t="s">
        <v>1576</v>
      </c>
    </row>
    <row r="12" spans="1:9" ht="15" x14ac:dyDescent="0.2">
      <c r="A12" s="238" t="s">
        <v>1564</v>
      </c>
      <c r="B12" s="241">
        <f>'DOE25'!G170</f>
        <v>240252.04</v>
      </c>
      <c r="F12" s="238" t="s">
        <v>1577</v>
      </c>
    </row>
    <row r="13" spans="1:9" ht="15" x14ac:dyDescent="0.2">
      <c r="A13" s="238" t="s">
        <v>1565</v>
      </c>
      <c r="B13" s="241">
        <f>'DOE25'!G193-'DOE25'!G180</f>
        <v>0</v>
      </c>
      <c r="F13" s="238" t="s">
        <v>1587</v>
      </c>
    </row>
    <row r="14" spans="1:9" ht="18" x14ac:dyDescent="0.25">
      <c r="A14" s="240" t="s">
        <v>732</v>
      </c>
      <c r="B14" s="242">
        <f>SUM(B9:B13)</f>
        <v>746382.6</v>
      </c>
    </row>
    <row r="16" spans="1:9" ht="18" x14ac:dyDescent="0.25">
      <c r="A16" s="240" t="s">
        <v>786</v>
      </c>
      <c r="F16" s="247" t="s">
        <v>1579</v>
      </c>
    </row>
    <row r="17" spans="1:6" ht="15" x14ac:dyDescent="0.2">
      <c r="A17" s="238" t="s">
        <v>1566</v>
      </c>
      <c r="B17" s="241">
        <f>'DOE25'!L363-'DOE25'!L362</f>
        <v>841293.15</v>
      </c>
      <c r="F17" s="238" t="s">
        <v>1580</v>
      </c>
    </row>
    <row r="18" spans="1:6" ht="15" x14ac:dyDescent="0.2">
      <c r="A18" s="238" t="s">
        <v>1567</v>
      </c>
      <c r="B18" s="251"/>
      <c r="F18" s="247" t="s">
        <v>1604</v>
      </c>
    </row>
    <row r="19" spans="1:6" ht="18" x14ac:dyDescent="0.25">
      <c r="A19" s="240" t="s">
        <v>725</v>
      </c>
      <c r="B19" s="242">
        <f>SUM(B17:B18)</f>
        <v>841293.15</v>
      </c>
    </row>
    <row r="21" spans="1:6" ht="18.75" thickBot="1" x14ac:dyDescent="0.3">
      <c r="A21" s="240" t="s">
        <v>1568</v>
      </c>
    </row>
    <row r="22" spans="1:6" ht="18.75" thickTop="1" x14ac:dyDescent="0.25">
      <c r="A22" s="240" t="s">
        <v>1569</v>
      </c>
      <c r="B22" s="246">
        <f>B14-B19</f>
        <v>-94910.550000000047</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105903.99</v>
      </c>
      <c r="F31" s="238" t="s">
        <v>1584</v>
      </c>
    </row>
    <row r="33" spans="1:6" ht="15" x14ac:dyDescent="0.2">
      <c r="A33" s="238" t="s">
        <v>1798</v>
      </c>
      <c r="B33" s="241">
        <f>'DOE25'!G477</f>
        <v>10993.439999999944</v>
      </c>
      <c r="F33" s="238" t="s">
        <v>1585</v>
      </c>
    </row>
    <row r="36" spans="1:6" ht="15" x14ac:dyDescent="0.2">
      <c r="A36" s="238" t="s">
        <v>1571</v>
      </c>
      <c r="B36" s="252">
        <v>62050.78</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Sanborn Regional</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8419997.2999999989</v>
      </c>
      <c r="C9" s="167">
        <f>'DOE25'!G198+'DOE25'!G216+'DOE25'!G234+'DOE25'!G277+'DOE25'!G296+'DOE25'!G315</f>
        <v>4187706.37</v>
      </c>
    </row>
    <row r="10" spans="1:3" x14ac:dyDescent="0.2">
      <c r="A10" t="s">
        <v>775</v>
      </c>
      <c r="B10" s="177">
        <v>7246218.4199999999</v>
      </c>
      <c r="C10" s="177">
        <f>ROUND(4187706.37*B10/$B$13,2)</f>
        <v>3603924.56</v>
      </c>
    </row>
    <row r="11" spans="1:3" x14ac:dyDescent="0.2">
      <c r="A11" t="s">
        <v>776</v>
      </c>
      <c r="B11" s="177">
        <v>395854.94</v>
      </c>
      <c r="C11" s="177">
        <f>ROUND(4187706.37*B11/$B$13,2)</f>
        <v>196879.43</v>
      </c>
    </row>
    <row r="12" spans="1:3" x14ac:dyDescent="0.2">
      <c r="A12" t="s">
        <v>777</v>
      </c>
      <c r="B12" s="177">
        <f>777923.96-0.02</f>
        <v>777923.94</v>
      </c>
      <c r="C12" s="177">
        <f>ROUND(4187706.37*B12/$B$13,2)-0.01</f>
        <v>386902.38</v>
      </c>
    </row>
    <row r="13" spans="1:3" x14ac:dyDescent="0.2">
      <c r="A13" t="str">
        <f>IF(B9=B13,IF(C9=C13,"Check Total OK","Check Total Error"),"Check Total Error")</f>
        <v>Check Total OK</v>
      </c>
      <c r="B13" s="169">
        <f>SUM(B10:B12)</f>
        <v>8419997.3000000007</v>
      </c>
      <c r="C13" s="169">
        <f>SUM(C10:C12)</f>
        <v>4187706.37</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3495057.39</v>
      </c>
      <c r="C18" s="167">
        <f>'DOE25'!G199+'DOE25'!G217+'DOE25'!G235+'DOE25'!G278+'DOE25'!G297+'DOE25'!G316</f>
        <v>2080564.2999999998</v>
      </c>
    </row>
    <row r="19" spans="1:3" x14ac:dyDescent="0.2">
      <c r="A19" t="s">
        <v>775</v>
      </c>
      <c r="B19" s="177">
        <v>2264340.17</v>
      </c>
      <c r="C19" s="177">
        <f>ROUND(2080564.3*B19/$B$22,2)</f>
        <v>1347933.61</v>
      </c>
    </row>
    <row r="20" spans="1:3" x14ac:dyDescent="0.2">
      <c r="A20" t="s">
        <v>776</v>
      </c>
      <c r="B20" s="177">
        <v>1140919.48</v>
      </c>
      <c r="C20" s="177">
        <f>ROUND(2080564.3*B20/$B$22,2)</f>
        <v>679175.21</v>
      </c>
    </row>
    <row r="21" spans="1:3" x14ac:dyDescent="0.2">
      <c r="A21" t="s">
        <v>777</v>
      </c>
      <c r="B21" s="177">
        <v>89797.74</v>
      </c>
      <c r="C21" s="177">
        <f>ROUND(2080564.3*B21/$B$22,2)</f>
        <v>53455.48</v>
      </c>
    </row>
    <row r="22" spans="1:3" x14ac:dyDescent="0.2">
      <c r="A22" t="str">
        <f>IF(B18=B22,IF(C18=C22,"Check Total OK","Check Total Error"),"Check Total Error")</f>
        <v>Check Total OK</v>
      </c>
      <c r="B22" s="169">
        <f>SUM(B19:B21)</f>
        <v>3495057.39</v>
      </c>
      <c r="C22" s="169">
        <f>SUM(C19:C21)</f>
        <v>2080564.3</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332740.31</v>
      </c>
      <c r="C36" s="173">
        <f>'DOE25'!G201+'DOE25'!G219+'DOE25'!G237+'DOE25'!G280+'DOE25'!G299+'DOE25'!G318</f>
        <v>80624.45</v>
      </c>
    </row>
    <row r="37" spans="1:3" x14ac:dyDescent="0.2">
      <c r="A37" t="s">
        <v>775</v>
      </c>
      <c r="B37" s="177">
        <v>11753.63</v>
      </c>
      <c r="C37" s="177">
        <f>ROUND(80624.45*B37/$B$40,2)</f>
        <v>2847.96</v>
      </c>
    </row>
    <row r="38" spans="1:3" x14ac:dyDescent="0.2">
      <c r="A38" t="s">
        <v>776</v>
      </c>
      <c r="B38" s="177"/>
      <c r="C38" s="177"/>
    </row>
    <row r="39" spans="1:3" x14ac:dyDescent="0.2">
      <c r="A39" t="s">
        <v>777</v>
      </c>
      <c r="B39" s="177">
        <v>320986.68</v>
      </c>
      <c r="C39" s="177">
        <f>ROUND(80624.45*B39/$B$40,2)</f>
        <v>77776.490000000005</v>
      </c>
    </row>
    <row r="40" spans="1:3" x14ac:dyDescent="0.2">
      <c r="A40" t="str">
        <f>IF(B36=B40,IF(C36=C40,"Check Total OK","Check Total Error"),"Check Total Error")</f>
        <v>Check Total OK</v>
      </c>
      <c r="B40" s="169">
        <f>SUM(B37:B39)</f>
        <v>332740.31</v>
      </c>
      <c r="C40" s="169">
        <f>SUM(C37:C39)</f>
        <v>80624.450000000012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130" zoomScaleNormal="130" workbookViewId="0">
      <pane ySplit="4" topLeftCell="A5" activePane="bottomLeft" state="frozen"/>
      <selection activeCell="F46" sqref="F46"/>
      <selection pane="bottomLeft" activeCell="E44" sqref="E4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Sanborn Regional</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20606784.59</v>
      </c>
      <c r="D5" s="19">
        <f>SUM('DOE25'!L198:L201)+SUM('DOE25'!L216:L219)+SUM('DOE25'!L234:L237)-F5-G5-H5</f>
        <v>20207917.039999999</v>
      </c>
      <c r="E5" s="180"/>
      <c r="F5" s="181">
        <f>172938.15+50443.32</f>
        <v>223381.47</v>
      </c>
      <c r="G5" s="19">
        <f>SUM('DOE25'!J198:J201)+SUM('DOE25'!J216:J219)+SUM('DOE25'!J234:J237)</f>
        <v>153759.54999999999</v>
      </c>
      <c r="H5" s="19">
        <f>SUM('DOE25'!K198:K201)+SUM('DOE25'!K216:K219)+SUM('DOE25'!K234:K237)</f>
        <v>21726.53</v>
      </c>
      <c r="I5" s="192"/>
    </row>
    <row r="6" spans="1:9" x14ac:dyDescent="0.2">
      <c r="A6" s="31">
        <v>2100</v>
      </c>
      <c r="B6" t="s">
        <v>796</v>
      </c>
      <c r="C6" s="206">
        <f t="shared" si="0"/>
        <v>2803248.68</v>
      </c>
      <c r="D6" s="19">
        <f>'DOE25'!L203+'DOE25'!L221+'DOE25'!L239-F6-G6-H6</f>
        <v>2247409.04</v>
      </c>
      <c r="E6" s="180"/>
      <c r="F6" s="181">
        <v>555106.64</v>
      </c>
      <c r="G6" s="19">
        <f>'DOE25'!J203+'DOE25'!J221+'DOE25'!J239</f>
        <v>0</v>
      </c>
      <c r="H6" s="19">
        <f>'DOE25'!K203+'DOE25'!K221+'DOE25'!K239</f>
        <v>733</v>
      </c>
      <c r="I6" s="192"/>
    </row>
    <row r="7" spans="1:9" x14ac:dyDescent="0.2">
      <c r="A7" s="31">
        <v>2200</v>
      </c>
      <c r="B7" t="s">
        <v>820</v>
      </c>
      <c r="C7" s="206">
        <f t="shared" si="0"/>
        <v>458647.62999999995</v>
      </c>
      <c r="D7" s="19">
        <f>'DOE25'!L204+'DOE25'!L222+'DOE25'!L240-F7-G7-H7</f>
        <v>458647.62999999995</v>
      </c>
      <c r="E7" s="180"/>
      <c r="F7" s="181"/>
      <c r="G7" s="19">
        <f>'DOE25'!J204+'DOE25'!J222+'DOE25'!J240</f>
        <v>0</v>
      </c>
      <c r="H7" s="19">
        <f>'DOE25'!K204+'DOE25'!K222+'DOE25'!K240</f>
        <v>0</v>
      </c>
      <c r="I7" s="192"/>
    </row>
    <row r="8" spans="1:9" x14ac:dyDescent="0.2">
      <c r="A8" s="31">
        <v>2300</v>
      </c>
      <c r="B8" t="s">
        <v>797</v>
      </c>
      <c r="C8" s="206">
        <f t="shared" si="0"/>
        <v>1028952.7900000002</v>
      </c>
      <c r="D8" s="180"/>
      <c r="E8" s="19">
        <f>'DOE25'!L205+'DOE25'!L223+'DOE25'!L241-F8-G8-H8-D9-D11</f>
        <v>921696.88000000012</v>
      </c>
      <c r="F8" s="181"/>
      <c r="G8" s="19">
        <f>'DOE25'!J205+'DOE25'!J223+'DOE25'!J241</f>
        <v>82825</v>
      </c>
      <c r="H8" s="19">
        <f>'DOE25'!K205+'DOE25'!K223+'DOE25'!K241</f>
        <v>24430.910000000003</v>
      </c>
      <c r="I8" s="192"/>
    </row>
    <row r="9" spans="1:9" ht="14.25" x14ac:dyDescent="0.2">
      <c r="A9" s="31">
        <v>2310</v>
      </c>
      <c r="B9" s="71" t="s">
        <v>887</v>
      </c>
      <c r="C9" s="206">
        <f t="shared" si="0"/>
        <v>127751.05</v>
      </c>
      <c r="D9" s="181">
        <v>127751.05</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2196792.33</v>
      </c>
      <c r="D12" s="19">
        <f>'DOE25'!L206+'DOE25'!L224+'DOE25'!L242-F12-G12-H12</f>
        <v>2173993.5</v>
      </c>
      <c r="E12" s="180"/>
      <c r="F12" s="181"/>
      <c r="G12" s="19">
        <f>'DOE25'!J206+'DOE25'!J224+'DOE25'!J242</f>
        <v>0</v>
      </c>
      <c r="H12" s="19">
        <f>'DOE25'!K206+'DOE25'!K224+'DOE25'!K242</f>
        <v>22798.83</v>
      </c>
      <c r="I12" s="192"/>
    </row>
    <row r="13" spans="1:9" x14ac:dyDescent="0.2">
      <c r="A13" s="31">
        <v>2500</v>
      </c>
      <c r="B13" t="s">
        <v>798</v>
      </c>
      <c r="C13" s="206">
        <f t="shared" si="0"/>
        <v>519531.94999999995</v>
      </c>
      <c r="D13" s="180"/>
      <c r="E13" s="19">
        <f>'DOE25'!L207+'DOE25'!L225+'DOE25'!L243-F13-G13-H13</f>
        <v>513337.29999999993</v>
      </c>
      <c r="F13" s="181"/>
      <c r="G13" s="19">
        <f>'DOE25'!J207+'DOE25'!J225+'DOE25'!J243</f>
        <v>0</v>
      </c>
      <c r="H13" s="19">
        <f>'DOE25'!K207+'DOE25'!K225+'DOE25'!K243</f>
        <v>6194.65</v>
      </c>
      <c r="I13" s="192"/>
    </row>
    <row r="14" spans="1:9" x14ac:dyDescent="0.2">
      <c r="A14" s="31">
        <v>2600</v>
      </c>
      <c r="B14" t="s">
        <v>818</v>
      </c>
      <c r="C14" s="206">
        <f t="shared" si="0"/>
        <v>3229479.82</v>
      </c>
      <c r="D14" s="19">
        <f>'DOE25'!L208+'DOE25'!L226+'DOE25'!L244-F14-G14-H14</f>
        <v>3115825.85</v>
      </c>
      <c r="E14" s="180"/>
      <c r="F14" s="181"/>
      <c r="G14" s="19">
        <f>'DOE25'!J208+'DOE25'!J226+'DOE25'!J244</f>
        <v>108697.42000000001</v>
      </c>
      <c r="H14" s="19">
        <f>'DOE25'!K208+'DOE25'!K226+'DOE25'!K244</f>
        <v>4956.55</v>
      </c>
      <c r="I14" s="192"/>
    </row>
    <row r="15" spans="1:9" x14ac:dyDescent="0.2">
      <c r="A15" s="31">
        <v>2700</v>
      </c>
      <c r="B15" t="s">
        <v>799</v>
      </c>
      <c r="C15" s="206">
        <f t="shared" si="0"/>
        <v>1490692.25</v>
      </c>
      <c r="D15" s="19">
        <f>'DOE25'!L209+'DOE25'!L227+'DOE25'!L245-F15-G15-H15</f>
        <v>107233.16000000015</v>
      </c>
      <c r="E15" s="180"/>
      <c r="F15" s="181">
        <f>1059464.72+323845.37</f>
        <v>1383310.0899999999</v>
      </c>
      <c r="G15" s="19">
        <f>'DOE25'!J209+'DOE25'!J227+'DOE25'!J245</f>
        <v>149</v>
      </c>
      <c r="H15" s="19">
        <f>'DOE25'!K209+'DOE25'!K227+'DOE25'!K245</f>
        <v>0</v>
      </c>
      <c r="I15" s="192"/>
    </row>
    <row r="16" spans="1:9" x14ac:dyDescent="0.2">
      <c r="A16" s="31">
        <v>2800</v>
      </c>
      <c r="B16" t="s">
        <v>800</v>
      </c>
      <c r="C16" s="206">
        <f t="shared" si="0"/>
        <v>788214.80999999994</v>
      </c>
      <c r="D16" s="180"/>
      <c r="E16" s="19">
        <f>'DOE25'!L210+'DOE25'!L228+'DOE25'!L246-F16-G16-H16</f>
        <v>788214.80999999994</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373637.93</v>
      </c>
      <c r="D22" s="180"/>
      <c r="E22" s="180"/>
      <c r="F22" s="180"/>
      <c r="G22" s="19">
        <f>'DOE25'!L256+'DOE25'!L337</f>
        <v>373637.93</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2300389</v>
      </c>
      <c r="D25" s="180"/>
      <c r="E25" s="180"/>
      <c r="F25" s="191"/>
      <c r="G25" s="180"/>
      <c r="H25" s="180"/>
      <c r="I25" s="190">
        <f>'DOE25'!L261+'DOE25'!L262+'DOE25'!L342+'DOE25'!L343</f>
        <v>2300389</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72535.790000000037</v>
      </c>
      <c r="D29" s="212">
        <f>'DOE25'!L359+'DOE25'!L360+'DOE25'!L361-'DOE25'!I368-F29-G29-H29-F39</f>
        <v>7407.7800000000279</v>
      </c>
      <c r="E29" s="180"/>
      <c r="F29" s="180"/>
      <c r="G29" s="19">
        <f>'DOE25'!J359+'DOE25'!J360+'DOE25'!J361</f>
        <v>65128.01</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1824997.26</v>
      </c>
      <c r="D31" s="19">
        <f>'DOE25'!L291+'DOE25'!L310+'DOE25'!L329+'DOE25'!L334+'DOE25'!L335+'DOE25'!L336-F31-G31-H31</f>
        <v>1367733.55</v>
      </c>
      <c r="E31" s="180"/>
      <c r="F31" s="181">
        <f>305296.35</f>
        <v>305296.34999999998</v>
      </c>
      <c r="G31" s="19">
        <f>'DOE25'!J291+'DOE25'!J310+'DOE25'!J329+'DOE25'!J334+'DOE25'!J335+'DOE25'!J336</f>
        <v>151967.36000000002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29813918.600000001</v>
      </c>
      <c r="E33" s="182">
        <f t="shared" si="1"/>
        <v>2223248.9900000002</v>
      </c>
      <c r="F33" s="182">
        <f t="shared" si="1"/>
        <v>2467094.5499999998</v>
      </c>
      <c r="G33" s="182">
        <f t="shared" si="1"/>
        <v>936164.2699999999</v>
      </c>
      <c r="H33" s="182">
        <f t="shared" si="1"/>
        <v>80840.47</v>
      </c>
      <c r="I33" s="182">
        <f t="shared" si="1"/>
        <v>2300389</v>
      </c>
    </row>
    <row r="34" spans="1:9" ht="12" thickBot="1" x14ac:dyDescent="0.25"/>
    <row r="35" spans="1:9" ht="12" thickBot="1" x14ac:dyDescent="0.25">
      <c r="B35" s="188" t="s">
        <v>830</v>
      </c>
      <c r="D35" s="189">
        <f>E33</f>
        <v>2223248.9900000002</v>
      </c>
      <c r="E35" s="185"/>
      <c r="F35" s="295" t="s">
        <v>1608</v>
      </c>
      <c r="G35" s="296"/>
      <c r="H35" s="296"/>
      <c r="I35" s="297"/>
    </row>
    <row r="36" spans="1:9" ht="12" thickTop="1" x14ac:dyDescent="0.2">
      <c r="B36" t="s">
        <v>810</v>
      </c>
      <c r="D36" s="19">
        <f>D33</f>
        <v>29813918.600000001</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v>768757.36</v>
      </c>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zoomScale="80" zoomScaleNormal="80" workbookViewId="0">
      <selection activeCell="J24" sqref="J2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Sanborn Regional</v>
      </c>
      <c r="B2">
        <f>'DOE25'!B2</f>
        <v>476</v>
      </c>
      <c r="J2" s="224" t="s">
        <v>1808</v>
      </c>
      <c r="K2" s="309">
        <f>SUM('DOE25'!L198:L201)+SUM('DOE25'!L216:L219)+SUM('DOE25'!L234:L237)+SUM('DOE25'!L277:L280)+SUM('DOE25'!L296:L299)+SUM('DOE25'!L315:L318)</f>
        <v>22043370.950000003</v>
      </c>
      <c r="L2" s="309">
        <f>'DOE25'!L203+'DOE25'!L221+'DOE25'!L239+'DOE25'!L282+'DOE25'!L301+'DOE25'!L320</f>
        <v>3055074.62</v>
      </c>
      <c r="M2" s="309">
        <f>'DOE25'!L204+'DOE25'!L222+'DOE25'!L240+'DOE25'!L283+'DOE25'!L302+'DOE25'!L321</f>
        <v>547370.97</v>
      </c>
      <c r="N2" s="309">
        <f>'DOE25'!L206+'DOE25'!L224+'DOE25'!L242+'DOE25'!L285+'DOE25'!L304+'DOE25'!L323</f>
        <v>2196792.33</v>
      </c>
      <c r="O2" s="309">
        <f>'Salaries-Benefits'!B10+'Salaries-Benefits'!B12+'Salaries-Benefits'!B19+'Salaries-Benefits'!B21+'Salaries-Benefits'!B28+'Salaries-Benefits'!B30+'Salaries-Benefits'!B37+'Salaries-Benefits'!B39</f>
        <v>10711020.58</v>
      </c>
      <c r="P2" s="309">
        <f>'Salaries-Benefits'!B11+'Salaries-Benefits'!B20+'Salaries-Benefits'!B29+'Salaries-Benefits'!B38</f>
        <v>1536774.42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-22043370.950000003</v>
      </c>
      <c r="L3" s="311">
        <f t="shared" ref="L3:P3" si="0">L21+L33+L43-L2</f>
        <v>-3055074.62</v>
      </c>
      <c r="M3" s="311">
        <f t="shared" si="0"/>
        <v>-547370.97</v>
      </c>
      <c r="N3" s="311">
        <f t="shared" si="0"/>
        <v>-2196792.33</v>
      </c>
      <c r="O3" s="311">
        <f t="shared" si="0"/>
        <v>-10711020.58</v>
      </c>
      <c r="P3" s="311">
        <f t="shared" si="0"/>
        <v>-1536774.42</v>
      </c>
      <c r="Q3" s="310"/>
      <c r="R3" s="306"/>
      <c r="S3" s="215"/>
      <c r="T3" s="215"/>
      <c r="U3" s="216"/>
    </row>
    <row r="4" spans="1:21" ht="55.5" customHeight="1" thickBot="1" x14ac:dyDescent="0.25">
      <c r="A4" s="224" t="s">
        <v>1522</v>
      </c>
      <c r="B4" s="224" t="s">
        <v>1523</v>
      </c>
      <c r="C4" s="224" t="s">
        <v>896</v>
      </c>
      <c r="D4" s="224" t="s">
        <v>786</v>
      </c>
      <c r="E4" s="224" t="s">
        <v>786</v>
      </c>
      <c r="F4" s="228">
        <f>SUM(F5:F20)</f>
        <v>15201321.359999999</v>
      </c>
      <c r="G4" s="229">
        <f>'DOE25'!L212+'DOE25'!L291</f>
        <v>15201321.359999999</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Daniel J. Bakie School</v>
      </c>
      <c r="B6" s="230">
        <f>IFERROR(VLOOKUP(A6,'School Tables'!$C$3:$D$365,2,FALSE),"")</f>
        <v>20625</v>
      </c>
      <c r="C6" s="223" t="str">
        <f>IFERROR(INDEX('School Tables'!$B$3:$B$365,MATCH('School Level Expenditures'!B6,'School Tables'!$D$3:$D$365,0)),"")</f>
        <v>Sanborn Regional</v>
      </c>
      <c r="D6" s="220">
        <v>7858815.8399999999</v>
      </c>
      <c r="E6" s="220">
        <f>439724.23-0.01</f>
        <v>439724.22</v>
      </c>
      <c r="F6" s="232">
        <f t="shared" ref="F6:F20" si="1">D6+E6</f>
        <v>8298540.0599999996</v>
      </c>
      <c r="G6" s="223"/>
      <c r="H6" s="223"/>
      <c r="J6" t="str">
        <f>A6</f>
        <v>Daniel J. Bakie School</v>
      </c>
      <c r="K6" s="20"/>
      <c r="L6" s="20"/>
      <c r="M6" s="308"/>
      <c r="N6" s="20"/>
      <c r="O6" s="20"/>
      <c r="P6" s="20"/>
      <c r="Q6" s="20"/>
    </row>
    <row r="7" spans="1:21" x14ac:dyDescent="0.2">
      <c r="A7" t="str" cm="1">
        <f t="array" ref="A7">IFERROR(INDEX('School Tables'!$A$4:$G$325,'School Tables'!$J5,3),"")</f>
        <v>Memorial School (Sanborn)</v>
      </c>
      <c r="B7" s="230">
        <f>IFERROR(VLOOKUP(A7,'School Tables'!$C$3:$D$365,2,FALSE),"")</f>
        <v>20635</v>
      </c>
      <c r="C7" s="223" t="str">
        <f>IFERROR(INDEX('School Tables'!$B$3:$B$365,MATCH('School Level Expenditures'!B7,'School Tables'!$D$3:$D$365,0)),"")</f>
        <v>Sanborn Regional</v>
      </c>
      <c r="D7" s="220">
        <v>6582048.46</v>
      </c>
      <c r="E7" s="220">
        <v>320732.84000000003</v>
      </c>
      <c r="F7" s="232">
        <f t="shared" si="1"/>
        <v>6902781.2999999998</v>
      </c>
      <c r="G7" s="223"/>
      <c r="H7" s="223"/>
      <c r="J7" t="str">
        <f t="shared" ref="J7:J20" si="2">A7</f>
        <v>Memorial School (Sanborn)</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14440864.300000001</v>
      </c>
      <c r="E21" s="262">
        <f>SUM(E5:E20)</f>
        <v>760457.06</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6413082.0600000005</v>
      </c>
      <c r="G24" s="229">
        <f>'DOE25'!L230+'DOE25'!L310</f>
        <v>6413082.0600000005</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Sanborn Regional Middle School</v>
      </c>
      <c r="B26" s="230">
        <f>IFERROR(VLOOKUP(A26,'School Tables'!$N$4:$O$75,2,FALSE),"")</f>
        <v>20630</v>
      </c>
      <c r="C26" s="223" t="str">
        <f>IFERROR(INDEX('School Tables'!$M$4:$M$75,MATCH('School Level Expenditures'!A26,'School Tables'!$N$4:$N$75,0)),"")</f>
        <v>Sanborn Regional</v>
      </c>
      <c r="D26" s="220">
        <v>6149469.1600000001</v>
      </c>
      <c r="E26" s="220">
        <v>263612.90000000002</v>
      </c>
      <c r="F26" s="232">
        <f t="shared" ref="F26:F32" si="4">D26+E26</f>
        <v>6413082.0600000005</v>
      </c>
      <c r="G26" s="223"/>
      <c r="H26" s="223"/>
      <c r="J26" t="str">
        <f t="shared" ref="J26:J32" si="5">A26</f>
        <v>Sanborn Regional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6149469.1600000001</v>
      </c>
      <c r="E33" s="262">
        <f>SUM(E25:E32)</f>
        <v>263612.90000000002</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13426828.120000001</v>
      </c>
      <c r="G36" s="229">
        <f>'DOE25'!L248+'DOE25'!L329</f>
        <v>13426828.119999999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Sanborn Regional High School</v>
      </c>
      <c r="B38" s="230">
        <f>IFERROR(VLOOKUP(A38,'School Tables'!$Y$4:$Z$100,2,FALSE),"")</f>
        <v>20620</v>
      </c>
      <c r="C38" s="223" t="str">
        <f>IFERROR(INDEX('School Tables'!$X$4:$X$100,MATCH('School Level Expenditures'!A38,'School Tables'!$Y$4:$Y$100,0)),"")</f>
        <v>Sanborn Regional</v>
      </c>
      <c r="D38" s="220">
        <v>12954176.470000001</v>
      </c>
      <c r="E38" s="220">
        <f>472651.65</f>
        <v>472651.65</v>
      </c>
      <c r="F38" s="232">
        <f t="shared" si="7"/>
        <v>13426828.120000001</v>
      </c>
      <c r="G38" s="223"/>
      <c r="H38" s="223"/>
      <c r="J38" t="str">
        <f t="shared" ref="J38:J42" si="8">A38</f>
        <v>Sanborn Regional High School</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12954176.470000001</v>
      </c>
      <c r="E43" s="263">
        <f>SUM(E37:E42)</f>
        <v>472651.65</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zoomScaleSheetLayoutView="115" workbookViewId="0">
      <selection activeCell="B23" sqref="B2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Sanborn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2127432.8199999998</v>
      </c>
      <c r="D8" s="73">
        <f>'DOE25'!G9</f>
        <v>0</v>
      </c>
      <c r="E8" s="73">
        <f>'DOE25'!H9</f>
        <v>0</v>
      </c>
      <c r="F8" s="73">
        <f>'DOE25'!I9</f>
        <v>0</v>
      </c>
      <c r="G8" s="73">
        <f>'DOE25'!J9</f>
        <v>0</v>
      </c>
      <c r="H8" s="13">
        <f>SUM(C8:G8)</f>
        <v>2127432.8199999998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238567.35</v>
      </c>
      <c r="D11" s="73">
        <f>'DOE25'!G12</f>
        <v>5209.7</v>
      </c>
      <c r="E11" s="73">
        <f>'DOE25'!H12</f>
        <v>179068.86000000002</v>
      </c>
      <c r="F11" s="73">
        <f>'DOE25'!I12</f>
        <v>0</v>
      </c>
      <c r="G11" s="73">
        <f>'DOE25'!J12</f>
        <v>0</v>
      </c>
      <c r="H11" s="13">
        <f t="shared" si="0"/>
        <v>422845.91000000003</v>
      </c>
      <c r="I11" s="90"/>
    </row>
    <row r="12" spans="1:9" x14ac:dyDescent="0.2">
      <c r="A12" s="1" t="s">
        <v>143</v>
      </c>
      <c r="B12" s="6">
        <v>140</v>
      </c>
      <c r="C12" s="73">
        <f>'DOE25'!F13</f>
        <v>0</v>
      </c>
      <c r="D12" s="73">
        <f>'DOE25'!G13</f>
        <v>35866.03</v>
      </c>
      <c r="E12" s="73">
        <f>'DOE25'!H13</f>
        <v>0</v>
      </c>
      <c r="F12" s="73">
        <f>'DOE25'!I13</f>
        <v>0</v>
      </c>
      <c r="G12" s="73">
        <f>'DOE25'!J13</f>
        <v>916227.17</v>
      </c>
      <c r="H12" s="13">
        <f t="shared" si="0"/>
        <v>952093.20000000007</v>
      </c>
      <c r="I12" s="90"/>
    </row>
    <row r="13" spans="1:9" x14ac:dyDescent="0.2">
      <c r="A13" s="1" t="s">
        <v>144</v>
      </c>
      <c r="B13" s="6">
        <v>150</v>
      </c>
      <c r="C13" s="73">
        <f>'DOE25'!F14</f>
        <v>88113.36</v>
      </c>
      <c r="D13" s="73">
        <f>'DOE25'!G14</f>
        <v>9234.82</v>
      </c>
      <c r="E13" s="73">
        <f>'DOE25'!H14</f>
        <v>590619.17000000004</v>
      </c>
      <c r="F13" s="73">
        <f>'DOE25'!I14</f>
        <v>0</v>
      </c>
      <c r="G13" s="73">
        <f>'DOE25'!J14</f>
        <v>0</v>
      </c>
      <c r="H13" s="13">
        <f t="shared" si="0"/>
        <v>687967.35000000009</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38092.97</v>
      </c>
      <c r="D16" s="73">
        <f>'DOE25'!G17</f>
        <v>0</v>
      </c>
      <c r="E16" s="73">
        <f>'DOE25'!H17</f>
        <v>0</v>
      </c>
      <c r="F16" s="73">
        <f>'DOE25'!I17</f>
        <v>0</v>
      </c>
      <c r="G16" s="73">
        <f>'DOE25'!J17</f>
        <v>0</v>
      </c>
      <c r="H16" s="13">
        <f t="shared" si="0"/>
        <v>38092.97</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2492206.5</v>
      </c>
      <c r="D18" s="38">
        <f>SUM(D8:D17)</f>
        <v>50310.549999999996</v>
      </c>
      <c r="E18" s="38">
        <f>SUM(E8:E17)</f>
        <v>769688.03</v>
      </c>
      <c r="F18" s="38">
        <f>SUM(F8:F17)</f>
        <v>0</v>
      </c>
      <c r="G18" s="38">
        <f>SUM(G8:G17)</f>
        <v>916227.17</v>
      </c>
      <c r="H18" s="38">
        <f t="shared" si="0"/>
        <v>4228432.25</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422845.91</v>
      </c>
      <c r="F21" s="73">
        <f>'DOE25'!I22</f>
        <v>0</v>
      </c>
      <c r="G21" s="73">
        <f>'DOE25'!J22</f>
        <v>0</v>
      </c>
      <c r="H21" s="13">
        <f t="shared" ref="H21:H31" si="1">SUM(C21:G21)</f>
        <v>422845.91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357372.74</v>
      </c>
      <c r="D23" s="73">
        <f>'DOE25'!G24</f>
        <v>37987.11</v>
      </c>
      <c r="E23" s="73">
        <f>'DOE25'!H24</f>
        <v>56459.79</v>
      </c>
      <c r="F23" s="73">
        <f>'DOE25'!I24</f>
        <v>0</v>
      </c>
      <c r="G23" s="73">
        <f>'DOE25'!J24</f>
        <v>0</v>
      </c>
      <c r="H23" s="13">
        <f t="shared" si="1"/>
        <v>451819.63999999996</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105228.23</v>
      </c>
      <c r="D27" s="73">
        <f>'DOE25'!G28</f>
        <v>0</v>
      </c>
      <c r="E27" s="73">
        <f>'DOE25'!H28</f>
        <v>0</v>
      </c>
      <c r="F27" s="73">
        <f>'DOE25'!I28</f>
        <v>0</v>
      </c>
      <c r="G27" s="23" t="s">
        <v>288</v>
      </c>
      <c r="H27" s="13">
        <f t="shared" si="1"/>
        <v>105228.23</v>
      </c>
      <c r="I27" s="90"/>
    </row>
    <row r="28" spans="1:9" x14ac:dyDescent="0.2">
      <c r="A28" s="1" t="s">
        <v>157</v>
      </c>
      <c r="B28" s="6">
        <v>470</v>
      </c>
      <c r="C28" s="73">
        <f>'DOE25'!F29</f>
        <v>68300.89</v>
      </c>
      <c r="D28" s="73">
        <f>'DOE25'!G29</f>
        <v>0</v>
      </c>
      <c r="E28" s="73">
        <f>'DOE25'!H29</f>
        <v>5103.47</v>
      </c>
      <c r="F28" s="73">
        <f>'DOE25'!I29</f>
        <v>0</v>
      </c>
      <c r="G28" s="23" t="s">
        <v>288</v>
      </c>
      <c r="H28" s="13">
        <f t="shared" si="1"/>
        <v>73404.36</v>
      </c>
      <c r="I28" s="90"/>
    </row>
    <row r="29" spans="1:9" x14ac:dyDescent="0.2">
      <c r="A29" s="1" t="s">
        <v>158</v>
      </c>
      <c r="B29" s="6">
        <v>480</v>
      </c>
      <c r="C29" s="73">
        <f>'DOE25'!F30</f>
        <v>0</v>
      </c>
      <c r="D29" s="73">
        <f>'DOE25'!G30</f>
        <v>1330</v>
      </c>
      <c r="E29" s="73">
        <f>'DOE25'!H30</f>
        <v>65868.13</v>
      </c>
      <c r="F29" s="73">
        <f>'DOE25'!I30</f>
        <v>0</v>
      </c>
      <c r="G29" s="23" t="s">
        <v>288</v>
      </c>
      <c r="H29" s="13">
        <f t="shared" si="1"/>
        <v>67198.13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530901.86</v>
      </c>
      <c r="D31" s="38">
        <f>SUM(D21:D30)</f>
        <v>39317.11</v>
      </c>
      <c r="E31" s="38">
        <f>SUM(E21:E30)</f>
        <v>550277.29999999993</v>
      </c>
      <c r="F31" s="38">
        <f>SUM(F21:F30)</f>
        <v>0</v>
      </c>
      <c r="G31" s="38">
        <f>SUM(G21:G30)</f>
        <v>0</v>
      </c>
      <c r="H31" s="38">
        <f t="shared" si="1"/>
        <v>1120496.27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38092.97</v>
      </c>
      <c r="D35" s="73">
        <f>'DOE25'!G36</f>
        <v>0</v>
      </c>
      <c r="E35" s="73">
        <f>'DOE25'!H36</f>
        <v>0</v>
      </c>
      <c r="F35" s="73">
        <f>'DOE25'!I36</f>
        <v>0</v>
      </c>
      <c r="G35" s="23" t="s">
        <v>288</v>
      </c>
      <c r="H35" s="13">
        <f t="shared" si="2"/>
        <v>38092.97</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10993.439999999944</v>
      </c>
      <c r="E39" s="23" t="s">
        <v>288</v>
      </c>
      <c r="F39" s="23" t="s">
        <v>288</v>
      </c>
      <c r="G39" s="23" t="s">
        <v>288</v>
      </c>
      <c r="H39" s="13">
        <f t="shared" si="2"/>
        <v>10993.439999999944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187286.53</v>
      </c>
      <c r="F42" s="73">
        <f>'DOE25'!I43</f>
        <v>0</v>
      </c>
      <c r="G42" s="73">
        <f>'DOE25'!J43</f>
        <v>0</v>
      </c>
      <c r="H42" s="13">
        <f t="shared" si="2"/>
        <v>187286.53</v>
      </c>
      <c r="I42" s="90"/>
    </row>
    <row r="43" spans="1:9" x14ac:dyDescent="0.2">
      <c r="A43" s="1" t="s">
        <v>862</v>
      </c>
      <c r="B43" s="6">
        <v>755</v>
      </c>
      <c r="C43" s="73">
        <f>'DOE25'!F44</f>
        <v>125000</v>
      </c>
      <c r="D43" s="73">
        <f>'DOE25'!G44</f>
        <v>0</v>
      </c>
      <c r="E43" s="73">
        <f>'DOE25'!H44</f>
        <v>0</v>
      </c>
      <c r="F43" s="73">
        <f>'DOE25'!I44</f>
        <v>0</v>
      </c>
      <c r="G43" s="23" t="s">
        <v>288</v>
      </c>
      <c r="H43" s="13">
        <f t="shared" si="2"/>
        <v>125000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612840</v>
      </c>
      <c r="D45" s="23" t="s">
        <v>288</v>
      </c>
      <c r="E45" s="23" t="s">
        <v>288</v>
      </c>
      <c r="F45" s="23" t="s">
        <v>288</v>
      </c>
      <c r="G45" s="23" t="s">
        <v>288</v>
      </c>
      <c r="H45" s="13">
        <f t="shared" si="2"/>
        <v>612840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32124.19999999975</v>
      </c>
      <c r="F47" s="73">
        <f>'DOE25'!I48</f>
        <v>0</v>
      </c>
      <c r="G47" s="73">
        <f>'DOE25'!J48</f>
        <v>916227.17</v>
      </c>
      <c r="H47" s="13">
        <f t="shared" si="2"/>
        <v>948351.36999999976</v>
      </c>
      <c r="I47" s="90"/>
    </row>
    <row r="48" spans="1:9" x14ac:dyDescent="0.2">
      <c r="A48" s="1" t="s">
        <v>881</v>
      </c>
      <c r="B48" s="6">
        <v>753</v>
      </c>
      <c r="C48" s="73">
        <f>'DOE25'!F49</f>
        <v>503574.95</v>
      </c>
      <c r="D48" s="73">
        <f>'DOE25'!G49</f>
        <v>0</v>
      </c>
      <c r="E48" s="73">
        <f>'DOE25'!H49</f>
        <v>0</v>
      </c>
      <c r="F48" s="73">
        <f>'DOE25'!I49</f>
        <v>0</v>
      </c>
      <c r="G48" s="73">
        <f>'DOE25'!J49</f>
        <v>0</v>
      </c>
      <c r="H48" s="13">
        <f t="shared" si="2"/>
        <v>503574.95</v>
      </c>
      <c r="I48" s="90"/>
    </row>
    <row r="49" spans="1:9" ht="12" thickBot="1" x14ac:dyDescent="0.25">
      <c r="A49" s="28" t="s">
        <v>882</v>
      </c>
      <c r="B49" s="56">
        <v>770</v>
      </c>
      <c r="C49" s="73">
        <f>'DOE25'!F50</f>
        <v>681796.72000000067</v>
      </c>
      <c r="D49" s="23" t="s">
        <v>288</v>
      </c>
      <c r="E49" s="23" t="s">
        <v>288</v>
      </c>
      <c r="F49" s="23" t="s">
        <v>288</v>
      </c>
      <c r="G49" s="23" t="s">
        <v>288</v>
      </c>
      <c r="H49" s="13">
        <f t="shared" si="2"/>
        <v>681796.72000000067</v>
      </c>
      <c r="I49" s="90"/>
    </row>
    <row r="50" spans="1:9" ht="12.75" thickTop="1" thickBot="1" x14ac:dyDescent="0.25">
      <c r="A50" s="35" t="s">
        <v>883</v>
      </c>
      <c r="B50" s="44"/>
      <c r="C50" s="38">
        <f>SUM(C34:C49)</f>
        <v>1961304.6400000006</v>
      </c>
      <c r="D50" s="38">
        <f>SUM(D34:D49)</f>
        <v>10993.439999999944</v>
      </c>
      <c r="E50" s="38">
        <f>SUM(E34:E49)</f>
        <v>219410.72999999975</v>
      </c>
      <c r="F50" s="38">
        <f>SUM(F34:F49)</f>
        <v>0</v>
      </c>
      <c r="G50" s="38">
        <f>SUM(G34:G49)</f>
        <v>916227.17</v>
      </c>
      <c r="H50" s="38">
        <f t="shared" si="2"/>
        <v>3107935.9800000004</v>
      </c>
      <c r="I50" s="90"/>
    </row>
    <row r="51" spans="1:9" ht="12" thickTop="1" x14ac:dyDescent="0.2">
      <c r="A51" s="35" t="s">
        <v>884</v>
      </c>
      <c r="B51" s="2"/>
      <c r="C51" s="38">
        <f>C50+C31</f>
        <v>2492206.5000000005</v>
      </c>
      <c r="D51" s="38">
        <f>D50+D31</f>
        <v>50310.549999999945</v>
      </c>
      <c r="E51" s="38">
        <f>E50+E31</f>
        <v>769688.02999999968</v>
      </c>
      <c r="F51" s="38">
        <f>F50+F31</f>
        <v>0</v>
      </c>
      <c r="G51" s="38">
        <f>G50+G31</f>
        <v>916227.17</v>
      </c>
      <c r="H51" s="38">
        <f t="shared" si="2"/>
        <v>4228432.25</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24513617</v>
      </c>
      <c r="D56" s="73">
        <f>'DOE25'!G60</f>
        <v>0</v>
      </c>
      <c r="E56" s="73">
        <f>'DOE25'!H60</f>
        <v>0</v>
      </c>
      <c r="F56" s="73">
        <f>'DOE25'!I60</f>
        <v>0</v>
      </c>
      <c r="G56" s="73">
        <f>'DOE25'!J60</f>
        <v>0</v>
      </c>
      <c r="H56" s="13">
        <f t="shared" ref="H56:H63" si="3">SUM(C56:G56)</f>
        <v>24513617</v>
      </c>
      <c r="I56"/>
    </row>
    <row r="57" spans="1:9" x14ac:dyDescent="0.2">
      <c r="A57" s="1" t="s">
        <v>164</v>
      </c>
      <c r="B57" s="6" t="s">
        <v>165</v>
      </c>
      <c r="C57" s="73">
        <f>'DOE25'!F79</f>
        <v>3638136.85</v>
      </c>
      <c r="D57" s="23" t="s">
        <v>288</v>
      </c>
      <c r="E57" s="73">
        <f>'DOE25'!H79</f>
        <v>33957</v>
      </c>
      <c r="F57" s="23" t="s">
        <v>288</v>
      </c>
      <c r="G57" s="23" t="s">
        <v>288</v>
      </c>
      <c r="H57" s="13">
        <f t="shared" si="3"/>
        <v>3672093.85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134740.59</v>
      </c>
      <c r="D59" s="73">
        <f>'DOE25'!G96</f>
        <v>0</v>
      </c>
      <c r="E59" s="73">
        <f>'DOE25'!H96</f>
        <v>0</v>
      </c>
      <c r="F59" s="73">
        <f>'DOE25'!I96</f>
        <v>0</v>
      </c>
      <c r="G59" s="73">
        <f>'DOE25'!J96</f>
        <v>26644.080000000002</v>
      </c>
      <c r="H59" s="13">
        <f t="shared" si="3"/>
        <v>161384.66999999998</v>
      </c>
      <c r="I59"/>
    </row>
    <row r="60" spans="1:9" x14ac:dyDescent="0.2">
      <c r="A60" s="1" t="s">
        <v>170</v>
      </c>
      <c r="B60" s="22" t="s">
        <v>171</v>
      </c>
      <c r="C60" s="23" t="s">
        <v>288</v>
      </c>
      <c r="D60" s="73">
        <f>'DOE25'!G97</f>
        <v>496831.48</v>
      </c>
      <c r="E60" s="23" t="s">
        <v>288</v>
      </c>
      <c r="F60" s="23" t="s">
        <v>288</v>
      </c>
      <c r="G60" s="23" t="s">
        <v>288</v>
      </c>
      <c r="H60" s="13">
        <f t="shared" si="3"/>
        <v>496831.48</v>
      </c>
      <c r="I60"/>
    </row>
    <row r="61" spans="1:9" ht="12" thickBot="1" x14ac:dyDescent="0.25">
      <c r="A61" s="1" t="s">
        <v>172</v>
      </c>
      <c r="B61" s="22" t="s">
        <v>173</v>
      </c>
      <c r="C61" s="73">
        <f>SUM('DOE25'!F98:F110)</f>
        <v>109297.34</v>
      </c>
      <c r="D61" s="73">
        <f>SUM('DOE25'!G98:G110)</f>
        <v>192</v>
      </c>
      <c r="E61" s="73">
        <f>SUM('DOE25'!H98:H110)</f>
        <v>233602.7</v>
      </c>
      <c r="F61" s="73">
        <f>SUM('DOE25'!I98:I110)</f>
        <v>0</v>
      </c>
      <c r="G61" s="73">
        <f>SUM('DOE25'!J98:J110)</f>
        <v>0</v>
      </c>
      <c r="H61" s="13">
        <f t="shared" si="3"/>
        <v>343092.04000000004</v>
      </c>
      <c r="I61"/>
    </row>
    <row r="62" spans="1:9" ht="12.75" thickTop="1" thickBot="1" x14ac:dyDescent="0.25">
      <c r="A62" s="28" t="s">
        <v>174</v>
      </c>
      <c r="B62" s="6"/>
      <c r="C62" s="93">
        <f>SUM(C57:C61)</f>
        <v>3882174.78</v>
      </c>
      <c r="D62" s="93">
        <f>SUM(D57:D61)</f>
        <v>497023.48</v>
      </c>
      <c r="E62" s="93">
        <f>SUM(E57:E61)</f>
        <v>267559.7</v>
      </c>
      <c r="F62" s="93">
        <f>SUM(F57:F61)</f>
        <v>0</v>
      </c>
      <c r="G62" s="93">
        <f>SUM(G57:G61)</f>
        <v>26644.080000000002</v>
      </c>
      <c r="H62" s="13">
        <f t="shared" si="3"/>
        <v>4673402.04</v>
      </c>
      <c r="I62"/>
    </row>
    <row r="63" spans="1:9" ht="12" thickTop="1" x14ac:dyDescent="0.2">
      <c r="A63" s="28" t="s">
        <v>175</v>
      </c>
      <c r="B63" s="6"/>
      <c r="C63" s="21">
        <f>C56+C62</f>
        <v>28395791.780000001</v>
      </c>
      <c r="D63" s="21">
        <f>D56+D62</f>
        <v>497023.48</v>
      </c>
      <c r="E63" s="21">
        <f>E56+E62</f>
        <v>267559.7</v>
      </c>
      <c r="F63" s="21">
        <f>F56+F62</f>
        <v>0</v>
      </c>
      <c r="G63" s="21">
        <f>G56+G62</f>
        <v>26644.080000000002</v>
      </c>
      <c r="H63" s="13">
        <f t="shared" si="3"/>
        <v>29187019.039999999</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3711442.74</v>
      </c>
      <c r="D66" s="23" t="s">
        <v>288</v>
      </c>
      <c r="E66" s="23" t="s">
        <v>288</v>
      </c>
      <c r="F66" s="23" t="s">
        <v>288</v>
      </c>
      <c r="G66" s="23" t="s">
        <v>288</v>
      </c>
      <c r="H66" s="13">
        <f t="shared" ref="H66:H81" si="4">SUM(C66:G66)</f>
        <v>3711442.74</v>
      </c>
      <c r="I66"/>
    </row>
    <row r="67" spans="1:9" x14ac:dyDescent="0.2">
      <c r="A67" s="1" t="s">
        <v>770</v>
      </c>
      <c r="B67" s="6">
        <v>3112</v>
      </c>
      <c r="C67" s="73">
        <f>'DOE25'!F118</f>
        <v>1967191</v>
      </c>
      <c r="D67" s="23"/>
      <c r="E67" s="23"/>
      <c r="F67" s="23"/>
      <c r="G67" s="23"/>
      <c r="H67" s="13">
        <f t="shared" si="4"/>
        <v>1967191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169941.91</v>
      </c>
      <c r="D69" s="73">
        <f>'DOE25'!G120</f>
        <v>0</v>
      </c>
      <c r="E69" s="73">
        <f>'DOE25'!H120</f>
        <v>0</v>
      </c>
      <c r="F69" s="73">
        <f>'DOE25'!I120</f>
        <v>0</v>
      </c>
      <c r="G69" s="73">
        <f>'DOE25'!J120</f>
        <v>0</v>
      </c>
      <c r="H69" s="13">
        <f t="shared" si="4"/>
        <v>169941.91</v>
      </c>
      <c r="I69"/>
    </row>
    <row r="70" spans="1:9" ht="12" thickTop="1" x14ac:dyDescent="0.2">
      <c r="A70" s="28" t="s">
        <v>252</v>
      </c>
      <c r="B70" s="2"/>
      <c r="C70" s="97">
        <f>SUM(C66:C69)</f>
        <v>5848575.6500000004</v>
      </c>
      <c r="D70" s="97">
        <f>D69</f>
        <v>0</v>
      </c>
      <c r="E70" s="97">
        <f>E69</f>
        <v>0</v>
      </c>
      <c r="F70" s="97">
        <f>F69</f>
        <v>0</v>
      </c>
      <c r="G70" s="97">
        <f>G69</f>
        <v>0</v>
      </c>
      <c r="H70" s="13">
        <f t="shared" si="4"/>
        <v>5848575.6500000004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469212.96</v>
      </c>
      <c r="D72" s="23" t="s">
        <v>288</v>
      </c>
      <c r="E72" s="23" t="s">
        <v>288</v>
      </c>
      <c r="F72" s="73">
        <f>'DOE25'!I123</f>
        <v>0</v>
      </c>
      <c r="G72" s="23" t="s">
        <v>288</v>
      </c>
      <c r="H72" s="13">
        <f t="shared" si="4"/>
        <v>469212.96</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327124.32</v>
      </c>
      <c r="D75" s="23" t="s">
        <v>288</v>
      </c>
      <c r="E75" s="23" t="s">
        <v>288</v>
      </c>
      <c r="F75" s="23" t="s">
        <v>288</v>
      </c>
      <c r="G75" s="23" t="s">
        <v>288</v>
      </c>
      <c r="H75" s="13">
        <f t="shared" si="4"/>
        <v>327124.32</v>
      </c>
      <c r="I75"/>
    </row>
    <row r="76" spans="1:9" x14ac:dyDescent="0.2">
      <c r="A76" s="1" t="s">
        <v>257</v>
      </c>
      <c r="B76" s="6" t="s">
        <v>179</v>
      </c>
      <c r="C76" s="73">
        <f>SUM('DOE25'!F127:F130)</f>
        <v>14669.4</v>
      </c>
      <c r="D76" s="23" t="s">
        <v>288</v>
      </c>
      <c r="E76" s="73">
        <f>SUM('DOE25'!H127:H130)</f>
        <v>0</v>
      </c>
      <c r="F76" s="73">
        <f>SUM('DOE25'!I127:I130)</f>
        <v>0</v>
      </c>
      <c r="G76" s="23" t="s">
        <v>288</v>
      </c>
      <c r="H76" s="13">
        <f t="shared" si="4"/>
        <v>14669.4</v>
      </c>
      <c r="I76"/>
    </row>
    <row r="77" spans="1:9" ht="12" thickBot="1" x14ac:dyDescent="0.25">
      <c r="A77" s="1" t="s">
        <v>258</v>
      </c>
      <c r="B77" s="6" t="s">
        <v>180</v>
      </c>
      <c r="C77" s="73">
        <f>SUM('DOE25'!F131:F135)</f>
        <v>0</v>
      </c>
      <c r="D77" s="73">
        <f>SUM('DOE25'!G131:G135)</f>
        <v>9107.08</v>
      </c>
      <c r="E77" s="73">
        <f>SUM('DOE25'!H131:H135)</f>
        <v>0</v>
      </c>
      <c r="F77" s="73">
        <f>SUM('DOE25'!I131:I135)</f>
        <v>0</v>
      </c>
      <c r="G77" s="73">
        <f>SUM('DOE25'!J131:J135)</f>
        <v>0</v>
      </c>
      <c r="H77" s="13">
        <f t="shared" si="4"/>
        <v>9107.08</v>
      </c>
      <c r="I77"/>
    </row>
    <row r="78" spans="1:9" ht="12.75" thickTop="1" thickBot="1" x14ac:dyDescent="0.25">
      <c r="A78" s="28" t="s">
        <v>259</v>
      </c>
      <c r="B78" s="6"/>
      <c r="C78" s="93">
        <f>SUM(C72:C77)</f>
        <v>811006.68</v>
      </c>
      <c r="D78" s="93">
        <f>SUM(D72:D77)</f>
        <v>9107.08</v>
      </c>
      <c r="E78" s="93">
        <f>SUM(E72:E77)</f>
        <v>0</v>
      </c>
      <c r="F78" s="93">
        <f>SUM(F72:F77)</f>
        <v>0</v>
      </c>
      <c r="G78" s="93">
        <f>SUM(G72:G77)</f>
        <v>0</v>
      </c>
      <c r="H78" s="13">
        <f t="shared" si="4"/>
        <v>820113.76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6659582.3300000001</v>
      </c>
      <c r="D81" s="93">
        <f>SUM(D79:D80)+D78+D70</f>
        <v>9107.08</v>
      </c>
      <c r="E81" s="93">
        <f>SUM(E79:E80)+E78+E70</f>
        <v>0</v>
      </c>
      <c r="F81" s="93">
        <f>SUM(F79:F80)+F78+F70</f>
        <v>0</v>
      </c>
      <c r="G81" s="93">
        <f>SUM(G79:G80)+G78+G70</f>
        <v>0</v>
      </c>
      <c r="H81" s="93">
        <f t="shared" si="4"/>
        <v>6668689.4100000001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68500.41</v>
      </c>
      <c r="D88" s="253">
        <f>SUM('DOE25'!G153:G162)</f>
        <v>240252.04</v>
      </c>
      <c r="E88" s="253">
        <f>SUM('DOE25'!H153:H162)</f>
        <v>1563970.52</v>
      </c>
      <c r="F88" s="253">
        <f>SUM('DOE25'!I153:I162)</f>
        <v>0</v>
      </c>
      <c r="G88" s="23" t="s">
        <v>288</v>
      </c>
      <c r="H88" s="13">
        <f t="shared" si="5"/>
        <v>1872722.97</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68500.41</v>
      </c>
      <c r="D91" s="94">
        <f>SUM(D85:D90)</f>
        <v>240252.04</v>
      </c>
      <c r="E91" s="94">
        <f>SUM(E85:E90)</f>
        <v>1563970.52</v>
      </c>
      <c r="F91" s="94">
        <f>SUM(F85:F90)</f>
        <v>0</v>
      </c>
      <c r="G91" s="23" t="s">
        <v>288</v>
      </c>
      <c r="H91" s="13">
        <f t="shared" si="5"/>
        <v>1872722.97</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175000</v>
      </c>
      <c r="H96" s="13">
        <f t="shared" si="5"/>
        <v>175000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175000</v>
      </c>
      <c r="H103" s="68">
        <f t="shared" si="5"/>
        <v>175000</v>
      </c>
    </row>
    <row r="104" spans="1:8" ht="12.75" thickTop="1" thickBot="1" x14ac:dyDescent="0.25">
      <c r="A104" s="32" t="s">
        <v>761</v>
      </c>
      <c r="C104" s="68">
        <f>C63+C81+C91+C103</f>
        <v>35123874.519999996</v>
      </c>
      <c r="D104" s="68">
        <f>D63+D81+D91+D103</f>
        <v>746382.6</v>
      </c>
      <c r="E104" s="68">
        <f>E63+E81+E91+E103</f>
        <v>1831530.22</v>
      </c>
      <c r="F104" s="68">
        <f>F63+F81+F91+F103</f>
        <v>0</v>
      </c>
      <c r="G104" s="68">
        <f>G63+G81+G103</f>
        <v>201644.08000000002</v>
      </c>
      <c r="H104" s="68">
        <f t="shared" si="5"/>
        <v>37903431.419999994</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13287162.369999999</v>
      </c>
      <c r="D109" s="23" t="s">
        <v>288</v>
      </c>
      <c r="E109" s="73">
        <f>('DOE25'!L277)+('DOE25'!L296)+('DOE25'!L315)</f>
        <v>879899.25999999989</v>
      </c>
      <c r="F109" s="23" t="s">
        <v>288</v>
      </c>
      <c r="G109" s="23" t="s">
        <v>288</v>
      </c>
      <c r="H109" s="13">
        <f t="shared" ref="H109:H115" si="6">SUM(C109:G109)</f>
        <v>14167061.629999999</v>
      </c>
    </row>
    <row r="110" spans="1:8" x14ac:dyDescent="0.2">
      <c r="A110" t="s">
        <v>198</v>
      </c>
      <c r="B110" s="31" t="s">
        <v>199</v>
      </c>
      <c r="C110" s="73">
        <f>('DOE25'!L199)+('DOE25'!L217)+('DOE25'!L235)</f>
        <v>6520702.75</v>
      </c>
      <c r="D110" s="23" t="s">
        <v>288</v>
      </c>
      <c r="E110" s="73">
        <f>('DOE25'!L278)+('DOE25'!L297)+('DOE25'!L316)</f>
        <v>538997.10000000009</v>
      </c>
      <c r="F110" s="23" t="s">
        <v>288</v>
      </c>
      <c r="G110" s="23" t="s">
        <v>288</v>
      </c>
      <c r="H110" s="13">
        <f t="shared" si="6"/>
        <v>7059699.8499999996</v>
      </c>
    </row>
    <row r="111" spans="1:8" x14ac:dyDescent="0.2">
      <c r="A111" t="s">
        <v>200</v>
      </c>
      <c r="B111" s="31" t="s">
        <v>165</v>
      </c>
      <c r="C111" s="73">
        <f>('DOE25'!L200)+('DOE25'!L218)+('DOE25'!L236)</f>
        <v>248723.94</v>
      </c>
      <c r="D111" s="23" t="s">
        <v>288</v>
      </c>
      <c r="E111" s="73">
        <f>('DOE25'!L279)+('DOE25'!L298)+('DOE25'!L317)</f>
        <v>0</v>
      </c>
      <c r="F111" s="23" t="s">
        <v>288</v>
      </c>
      <c r="G111" s="23" t="s">
        <v>288</v>
      </c>
      <c r="H111" s="13">
        <f t="shared" si="6"/>
        <v>248723.94</v>
      </c>
    </row>
    <row r="112" spans="1:8" x14ac:dyDescent="0.2">
      <c r="A112" t="s">
        <v>201</v>
      </c>
      <c r="B112" s="31" t="s">
        <v>167</v>
      </c>
      <c r="C112" s="73">
        <f>('DOE25'!L201)+('DOE25'!L219)+('DOE25'!L237)</f>
        <v>550195.53</v>
      </c>
      <c r="D112" s="23" t="s">
        <v>288</v>
      </c>
      <c r="E112" s="73">
        <f>+('DOE25'!L280)+('DOE25'!L299)+('DOE25'!L318)</f>
        <v>17690</v>
      </c>
      <c r="F112" s="23" t="s">
        <v>288</v>
      </c>
      <c r="G112" s="23" t="s">
        <v>288</v>
      </c>
      <c r="H112" s="13">
        <f t="shared" si="6"/>
        <v>567885.53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33861.620000000003</v>
      </c>
      <c r="F114" s="23" t="s">
        <v>288</v>
      </c>
      <c r="G114" s="23" t="s">
        <v>288</v>
      </c>
      <c r="H114" s="13">
        <f t="shared" si="6"/>
        <v>33861.620000000003</v>
      </c>
    </row>
    <row r="115" spans="1:8" ht="12.75" thickTop="1" thickBot="1" x14ac:dyDescent="0.25">
      <c r="A115" s="32" t="s">
        <v>205</v>
      </c>
      <c r="C115" s="68">
        <f>SUM(C109:C114)</f>
        <v>20606784.59</v>
      </c>
      <c r="D115" s="68">
        <f>SUM(D109:D114)</f>
        <v>0</v>
      </c>
      <c r="E115" s="68">
        <f>SUM(E109:E114)</f>
        <v>1470447.98</v>
      </c>
      <c r="F115" s="68">
        <f>SUM(F109:F114)</f>
        <v>0</v>
      </c>
      <c r="G115" s="68">
        <f>SUM(G109:G114)</f>
        <v>0</v>
      </c>
      <c r="H115" s="68">
        <f t="shared" si="6"/>
        <v>22077232.57</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2803248.68</v>
      </c>
      <c r="D118" s="23" t="s">
        <v>288</v>
      </c>
      <c r="E118" s="73">
        <f>+('DOE25'!L282)+('DOE25'!L301)+('DOE25'!L320)</f>
        <v>251825.94</v>
      </c>
      <c r="F118" s="23" t="s">
        <v>288</v>
      </c>
      <c r="G118" s="23" t="s">
        <v>288</v>
      </c>
      <c r="H118" s="13">
        <f t="shared" ref="H118:H145" si="7">SUM(C118:G118)</f>
        <v>3055074.62</v>
      </c>
    </row>
    <row r="119" spans="1:8" x14ac:dyDescent="0.2">
      <c r="A119" t="s">
        <v>208</v>
      </c>
      <c r="B119" s="31" t="s">
        <v>209</v>
      </c>
      <c r="C119" s="73">
        <f>('DOE25'!L204)+('DOE25'!L222)+('DOE25'!L240)</f>
        <v>458647.62999999995</v>
      </c>
      <c r="D119" s="23" t="s">
        <v>288</v>
      </c>
      <c r="E119" s="73">
        <f>+('DOE25'!L283)+('DOE25'!L302)+('DOE25'!L321)</f>
        <v>88723.34</v>
      </c>
      <c r="F119" s="23" t="s">
        <v>288</v>
      </c>
      <c r="G119" s="23" t="s">
        <v>288</v>
      </c>
      <c r="H119" s="13">
        <f t="shared" si="7"/>
        <v>547370.97</v>
      </c>
    </row>
    <row r="120" spans="1:8" x14ac:dyDescent="0.2">
      <c r="A120" t="s">
        <v>210</v>
      </c>
      <c r="B120" s="31" t="s">
        <v>211</v>
      </c>
      <c r="C120" s="73">
        <f>('DOE25'!L205)+('DOE25'!L223)+('DOE25'!L241)</f>
        <v>1156703.8400000001</v>
      </c>
      <c r="D120" s="23" t="s">
        <v>288</v>
      </c>
      <c r="E120" s="73">
        <f>+('DOE25'!L284)+('DOE25'!L303)+('DOE25'!L322)</f>
        <v>0</v>
      </c>
      <c r="F120" s="23" t="s">
        <v>288</v>
      </c>
      <c r="G120" s="23" t="s">
        <v>288</v>
      </c>
      <c r="H120" s="13">
        <f t="shared" si="7"/>
        <v>1156703.8400000001</v>
      </c>
    </row>
    <row r="121" spans="1:8" x14ac:dyDescent="0.2">
      <c r="A121" t="s">
        <v>212</v>
      </c>
      <c r="B121" s="31" t="s">
        <v>213</v>
      </c>
      <c r="C121" s="73">
        <f>('DOE25'!L206)+('DOE25'!L224)+('DOE25'!L242)</f>
        <v>2196792.33</v>
      </c>
      <c r="D121" s="23" t="s">
        <v>288</v>
      </c>
      <c r="E121" s="73">
        <f>+('DOE25'!L285)+('DOE25'!L304)+('DOE25'!L323)</f>
        <v>0</v>
      </c>
      <c r="F121" s="23" t="s">
        <v>288</v>
      </c>
      <c r="G121" s="23" t="s">
        <v>288</v>
      </c>
      <c r="H121" s="13">
        <f t="shared" si="7"/>
        <v>2196792.33</v>
      </c>
    </row>
    <row r="122" spans="1:8" x14ac:dyDescent="0.2">
      <c r="A122" t="s">
        <v>214</v>
      </c>
      <c r="B122" s="31" t="s">
        <v>215</v>
      </c>
      <c r="C122" s="73">
        <f>('DOE25'!L207)+('DOE25'!L225)+('DOE25'!L243)</f>
        <v>519531.94999999995</v>
      </c>
      <c r="D122" s="23" t="s">
        <v>288</v>
      </c>
      <c r="E122" s="73">
        <f>+('DOE25'!L286)+('DOE25'!L305)+('DOE25'!L324)</f>
        <v>0</v>
      </c>
      <c r="F122" s="23" t="s">
        <v>288</v>
      </c>
      <c r="G122" s="23" t="s">
        <v>288</v>
      </c>
      <c r="H122" s="13">
        <f t="shared" si="7"/>
        <v>519531.94999999995</v>
      </c>
    </row>
    <row r="123" spans="1:8" x14ac:dyDescent="0.2">
      <c r="A123" t="s">
        <v>216</v>
      </c>
      <c r="B123" s="31" t="s">
        <v>217</v>
      </c>
      <c r="C123" s="73">
        <f>('DOE25'!L208)+('DOE25'!L226)+('DOE25'!L244)</f>
        <v>3229479.82</v>
      </c>
      <c r="D123" s="23" t="s">
        <v>288</v>
      </c>
      <c r="E123" s="73">
        <f>+('DOE25'!L287)+('DOE25'!L306)+('DOE25'!L325)</f>
        <v>14000</v>
      </c>
      <c r="F123" s="23" t="s">
        <v>288</v>
      </c>
      <c r="G123" s="23" t="s">
        <v>288</v>
      </c>
      <c r="H123" s="13">
        <f t="shared" si="7"/>
        <v>3243479.82</v>
      </c>
    </row>
    <row r="124" spans="1:8" x14ac:dyDescent="0.2">
      <c r="A124" t="s">
        <v>218</v>
      </c>
      <c r="B124" s="31" t="s">
        <v>219</v>
      </c>
      <c r="C124" s="73">
        <f>('DOE25'!L209)+('DOE25'!L227)+('DOE25'!L245+'DOE25'!L255)</f>
        <v>1490692.25</v>
      </c>
      <c r="D124" s="23" t="s">
        <v>288</v>
      </c>
      <c r="E124" s="73">
        <f>+('DOE25'!L288)+('DOE25'!L307)+('DOE25'!L326)</f>
        <v>0</v>
      </c>
      <c r="F124" s="23" t="s">
        <v>288</v>
      </c>
      <c r="G124" s="23" t="s">
        <v>288</v>
      </c>
      <c r="H124" s="13">
        <f t="shared" si="7"/>
        <v>1490692.25</v>
      </c>
    </row>
    <row r="125" spans="1:8" x14ac:dyDescent="0.2">
      <c r="A125" t="s">
        <v>220</v>
      </c>
      <c r="B125" s="31" t="s">
        <v>221</v>
      </c>
      <c r="C125" s="73">
        <f>('DOE25'!L210)+('DOE25'!L228)+('DOE25'!L246)</f>
        <v>788214.80999999994</v>
      </c>
      <c r="D125" s="23" t="s">
        <v>288</v>
      </c>
      <c r="E125" s="73">
        <f>+('DOE25'!L289)+('DOE25'!L308)+('DOE25'!L327)</f>
        <v>0</v>
      </c>
      <c r="F125" s="23" t="s">
        <v>288</v>
      </c>
      <c r="G125" s="23" t="s">
        <v>288</v>
      </c>
      <c r="H125" s="13">
        <f t="shared" si="7"/>
        <v>788214.80999999994</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841293.15</v>
      </c>
      <c r="E127" s="23" t="s">
        <v>288</v>
      </c>
      <c r="F127" s="23" t="s">
        <v>288</v>
      </c>
      <c r="G127" s="23" t="s">
        <v>288</v>
      </c>
      <c r="H127" s="13">
        <f t="shared" si="7"/>
        <v>841293.15</v>
      </c>
    </row>
    <row r="128" spans="1:8" ht="12.75" thickTop="1" thickBot="1" x14ac:dyDescent="0.25">
      <c r="A128" s="32" t="s">
        <v>226</v>
      </c>
      <c r="C128" s="68">
        <f>SUM(C118:C127)</f>
        <v>12643311.310000001</v>
      </c>
      <c r="D128" s="68">
        <f>SUM(D118:D127)</f>
        <v>841293.15</v>
      </c>
      <c r="E128" s="68">
        <f>SUM(E118:E127)</f>
        <v>354549.28</v>
      </c>
      <c r="F128" s="68">
        <f>SUM(F118:F127)</f>
        <v>0</v>
      </c>
      <c r="G128" s="68">
        <f>SUM(G118:G127)</f>
        <v>0</v>
      </c>
      <c r="H128" s="68">
        <f t="shared" si="7"/>
        <v>13839153.74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373637.93</v>
      </c>
      <c r="D130" s="23" t="s">
        <v>288</v>
      </c>
      <c r="E130" s="92">
        <f>'DOE25'!L337</f>
        <v>0</v>
      </c>
      <c r="F130" s="92">
        <f>SUM('DOE25'!L375:'DOE25'!L381)</f>
        <v>0</v>
      </c>
      <c r="G130" s="23" t="s">
        <v>288</v>
      </c>
      <c r="H130" s="13">
        <f t="shared" si="7"/>
        <v>373637.93</v>
      </c>
    </row>
    <row r="131" spans="1:8" x14ac:dyDescent="0.2">
      <c r="A131" t="s">
        <v>229</v>
      </c>
      <c r="B131" s="31">
        <v>5110</v>
      </c>
      <c r="C131" s="73">
        <f>'DOE25'!L261</f>
        <v>959842.42</v>
      </c>
      <c r="D131" s="23" t="s">
        <v>288</v>
      </c>
      <c r="E131" s="92">
        <f>'DOE25'!L342</f>
        <v>0</v>
      </c>
      <c r="F131" s="23" t="s">
        <v>288</v>
      </c>
      <c r="G131" s="23" t="s">
        <v>288</v>
      </c>
      <c r="H131" s="13">
        <f t="shared" si="7"/>
        <v>959842.42</v>
      </c>
    </row>
    <row r="132" spans="1:8" x14ac:dyDescent="0.2">
      <c r="A132" t="s">
        <v>230</v>
      </c>
      <c r="B132" s="31">
        <v>5120</v>
      </c>
      <c r="C132" s="73">
        <f>'DOE25'!L262</f>
        <v>1340546.58</v>
      </c>
      <c r="D132" s="23" t="s">
        <v>288</v>
      </c>
      <c r="E132" s="92">
        <f>'DOE25'!L343</f>
        <v>0</v>
      </c>
      <c r="F132" s="23" t="s">
        <v>288</v>
      </c>
      <c r="G132" s="23" t="s">
        <v>288</v>
      </c>
      <c r="H132" s="13">
        <f t="shared" si="7"/>
        <v>1340546.58</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117161.58</v>
      </c>
      <c r="D138" s="23" t="s">
        <v>288</v>
      </c>
      <c r="E138" s="23" t="s">
        <v>288</v>
      </c>
      <c r="F138" s="23" t="s">
        <v>288</v>
      </c>
      <c r="G138" s="23" t="s">
        <v>288</v>
      </c>
      <c r="H138" s="13">
        <f t="shared" si="7"/>
        <v>117161.58</v>
      </c>
    </row>
    <row r="139" spans="1:8" x14ac:dyDescent="0.2">
      <c r="A139" t="s">
        <v>239</v>
      </c>
      <c r="B139" s="31">
        <v>5252</v>
      </c>
      <c r="C139" s="73">
        <f>'DOE25'!L402</f>
        <v>84482.5</v>
      </c>
      <c r="D139" s="23" t="s">
        <v>288</v>
      </c>
      <c r="E139" s="23" t="s">
        <v>288</v>
      </c>
      <c r="F139" s="23" t="s">
        <v>288</v>
      </c>
      <c r="G139" s="23" t="s">
        <v>288</v>
      </c>
      <c r="H139" s="13">
        <f t="shared" si="7"/>
        <v>84482.5</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-26644.080000000016</v>
      </c>
      <c r="D141" s="23" t="s">
        <v>288</v>
      </c>
      <c r="E141" s="23" t="s">
        <v>288</v>
      </c>
      <c r="F141" s="23" t="s">
        <v>288</v>
      </c>
      <c r="G141" s="23" t="s">
        <v>288</v>
      </c>
      <c r="H141" s="13">
        <f t="shared" si="7"/>
        <v>-26644.080000000016</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2849026.93</v>
      </c>
      <c r="D144" s="98">
        <f>SUM(D130:D143)</f>
        <v>0</v>
      </c>
      <c r="E144" s="98">
        <f>SUM(E130:E143)</f>
        <v>0</v>
      </c>
      <c r="F144" s="98">
        <f>SUM(F130:F143)</f>
        <v>0</v>
      </c>
      <c r="G144" s="98">
        <f>SUM(G130:G143)</f>
        <v>0</v>
      </c>
      <c r="H144" s="98">
        <f t="shared" si="7"/>
        <v>2849026.93</v>
      </c>
    </row>
    <row r="145" spans="1:9" ht="12.75" thickTop="1" thickBot="1" x14ac:dyDescent="0.25">
      <c r="A145" s="32" t="s">
        <v>244</v>
      </c>
      <c r="C145" s="68">
        <f>(C115+C128+C144)</f>
        <v>36099122.829999998</v>
      </c>
      <c r="D145" s="68">
        <f>(D115+D128+D144)</f>
        <v>841293.15</v>
      </c>
      <c r="E145" s="68">
        <f>(E115+E128+E144)</f>
        <v>1824997.26</v>
      </c>
      <c r="F145" s="68">
        <f>(F115+F128+F144)</f>
        <v>0</v>
      </c>
      <c r="G145" s="68">
        <f>(G115+G128+G144)</f>
        <v>0</v>
      </c>
      <c r="H145" s="68">
        <f t="shared" si="7"/>
        <v>38765413.239999995</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02/15/2005</v>
      </c>
      <c r="C152" s="109">
        <f>'DOE25'!G492</f>
        <v>0</v>
      </c>
      <c r="D152" s="109">
        <f>'DOE25'!H492</f>
        <v>0</v>
      </c>
      <c r="E152" s="109">
        <f>'DOE25'!I492</f>
        <v>0</v>
      </c>
      <c r="F152" s="109">
        <f>'DOE25'!J492</f>
        <v>0</v>
      </c>
      <c r="G152" s="23" t="s">
        <v>288</v>
      </c>
    </row>
    <row r="153" spans="1:9" x14ac:dyDescent="0.2">
      <c r="A153" s="21" t="s">
        <v>29</v>
      </c>
      <c r="B153" s="109" t="str">
        <f>'DOE25'!F493</f>
        <v>08/15/2024</v>
      </c>
      <c r="C153" s="109">
        <f>'DOE25'!G493</f>
        <v>0</v>
      </c>
      <c r="D153" s="109">
        <f>'DOE25'!H493</f>
        <v>0</v>
      </c>
      <c r="E153" s="109">
        <f>'DOE25'!I493</f>
        <v>0</v>
      </c>
      <c r="F153" s="109">
        <f>'DOE25'!J493</f>
        <v>0</v>
      </c>
      <c r="G153" s="23" t="s">
        <v>288</v>
      </c>
    </row>
    <row r="154" spans="1:9" x14ac:dyDescent="0.2">
      <c r="A154" s="21" t="s">
        <v>30</v>
      </c>
      <c r="B154" s="19">
        <f>'DOE25'!F494</f>
        <v>29770200</v>
      </c>
      <c r="C154" s="19">
        <f>'DOE25'!G494</f>
        <v>0</v>
      </c>
      <c r="D154" s="19">
        <f>'DOE25'!H494</f>
        <v>0</v>
      </c>
      <c r="E154" s="19">
        <f>'DOE25'!I494</f>
        <v>0</v>
      </c>
      <c r="F154" s="19">
        <f>'DOE25'!J494</f>
        <v>0</v>
      </c>
      <c r="G154" s="23" t="s">
        <v>288</v>
      </c>
    </row>
    <row r="155" spans="1:9" x14ac:dyDescent="0.2">
      <c r="A155" s="21" t="s">
        <v>31</v>
      </c>
      <c r="B155" s="19">
        <f>'DOE25'!F495</f>
        <v>4.54</v>
      </c>
      <c r="C155" s="19">
        <f>'DOE25'!G495</f>
        <v>0</v>
      </c>
      <c r="D155" s="19">
        <f>'DOE25'!H495</f>
        <v>0</v>
      </c>
      <c r="E155" s="19">
        <f>'DOE25'!I495</f>
        <v>0</v>
      </c>
      <c r="F155" s="19">
        <f>'DOE25'!J495</f>
        <v>0</v>
      </c>
      <c r="G155" s="23" t="s">
        <v>288</v>
      </c>
    </row>
    <row r="156" spans="1:9" x14ac:dyDescent="0.2">
      <c r="A156" s="21" t="s">
        <v>32</v>
      </c>
      <c r="B156" s="19">
        <f>'DOE25'!F496</f>
        <v>2744942.4</v>
      </c>
      <c r="C156" s="19">
        <f>'DOE25'!G496</f>
        <v>0</v>
      </c>
      <c r="D156" s="19">
        <f>'DOE25'!H496</f>
        <v>0</v>
      </c>
      <c r="E156" s="19">
        <f>'DOE25'!I496</f>
        <v>0</v>
      </c>
      <c r="F156" s="19">
        <f>'DOE25'!J496</f>
        <v>0</v>
      </c>
      <c r="G156" s="96">
        <f>SUM(B156:F156)</f>
        <v>2744942.4</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959842.42</v>
      </c>
      <c r="C158" s="19">
        <f>'DOE25'!G498</f>
        <v>0</v>
      </c>
      <c r="D158" s="19">
        <f>'DOE25'!H498</f>
        <v>0</v>
      </c>
      <c r="E158" s="19">
        <f>'DOE25'!I498</f>
        <v>0</v>
      </c>
      <c r="F158" s="19">
        <f>'DOE25'!J498</f>
        <v>0</v>
      </c>
      <c r="G158" s="96">
        <f t="shared" si="8"/>
        <v>959842.42</v>
      </c>
    </row>
    <row r="159" spans="1:9" x14ac:dyDescent="0.2">
      <c r="A159" s="21" t="s">
        <v>35</v>
      </c>
      <c r="B159" s="19">
        <f>'DOE25'!F499</f>
        <v>1785099.98</v>
      </c>
      <c r="C159" s="19">
        <f>'DOE25'!G499</f>
        <v>0</v>
      </c>
      <c r="D159" s="19">
        <f>'DOE25'!H499</f>
        <v>0</v>
      </c>
      <c r="E159" s="19">
        <f>'DOE25'!I499</f>
        <v>0</v>
      </c>
      <c r="F159" s="19">
        <f>'DOE25'!J499</f>
        <v>0</v>
      </c>
      <c r="G159" s="96">
        <f t="shared" si="8"/>
        <v>1785099.98</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1785099.98</v>
      </c>
      <c r="C161" s="19">
        <f>'DOE25'!G501</f>
        <v>0</v>
      </c>
      <c r="D161" s="19">
        <f>'DOE25'!H501</f>
        <v>0</v>
      </c>
      <c r="E161" s="19">
        <f>'DOE25'!I501</f>
        <v>0</v>
      </c>
      <c r="F161" s="19">
        <f>'DOE25'!J501</f>
        <v>0</v>
      </c>
      <c r="G161" s="96">
        <f t="shared" si="8"/>
        <v>1785099.98</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LC3lcJmLkrxG482xE/8E5ytJGVzSWrpJlR4G5DTNvBTw+8n/aqVUTszEQ/o7kIH1r4h+o05ZKHO5rlhIrp46DQ==" saltValue="VtDj/bRM/03QFfHJw0yyug=="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4" manualBreakCount="4">
    <brk id="52" max="16383" man="1"/>
    <brk id="81"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Sanborn Regional</v>
      </c>
    </row>
    <row r="3" spans="1:4" x14ac:dyDescent="0.2">
      <c r="B3" s="137" t="s">
        <v>1799</v>
      </c>
    </row>
    <row r="4" spans="1:4" x14ac:dyDescent="0.2">
      <c r="B4" t="s">
        <v>61</v>
      </c>
      <c r="C4" s="129">
        <f>IF('DOE25'!F666+'DOE25'!F671=0,0,ROUND('DOE25'!F673,0))</f>
        <v>24986</v>
      </c>
    </row>
    <row r="5" spans="1:4" x14ac:dyDescent="0.2">
      <c r="B5" t="s">
        <v>700</v>
      </c>
      <c r="C5" s="129">
        <f>IF('DOE25'!G666+'DOE25'!G671=0,0,ROUND('DOE25'!G673,0))</f>
        <v>22102</v>
      </c>
    </row>
    <row r="6" spans="1:4" x14ac:dyDescent="0.2">
      <c r="B6" t="s">
        <v>62</v>
      </c>
      <c r="C6" s="129">
        <f>IF('DOE25'!H666+'DOE25'!H671=0,0,ROUND('DOE25'!H673,0))</f>
        <v>23948</v>
      </c>
    </row>
    <row r="7" spans="1:4" x14ac:dyDescent="0.2">
      <c r="B7" t="s">
        <v>701</v>
      </c>
      <c r="C7" s="129">
        <f>IF('DOE25'!I666+'DOE25'!I671=0,0,ROUND('DOE25'!I673,0))</f>
        <v>24035</v>
      </c>
    </row>
    <row r="9" spans="1:4" x14ac:dyDescent="0.2">
      <c r="A9" s="136" t="s">
        <v>94</v>
      </c>
      <c r="B9" s="137" t="s">
        <v>1800</v>
      </c>
      <c r="C9" s="131" t="s">
        <v>720</v>
      </c>
      <c r="D9" s="131" t="s">
        <v>721</v>
      </c>
    </row>
    <row r="10" spans="1:4" x14ac:dyDescent="0.2">
      <c r="A10">
        <v>1100</v>
      </c>
      <c r="B10" t="s">
        <v>702</v>
      </c>
      <c r="C10" s="129">
        <f>ROUND('DOE25'!L198+'DOE25'!L216+'DOE25'!L234+'DOE25'!L277+'DOE25'!L296+'DOE25'!L315,0)</f>
        <v>14167062</v>
      </c>
      <c r="D10" s="132">
        <f>ROUND((C10/$C$28)*100,1)</f>
        <v>38.5</v>
      </c>
    </row>
    <row r="11" spans="1:4" x14ac:dyDescent="0.2">
      <c r="A11">
        <v>1200</v>
      </c>
      <c r="B11" t="s">
        <v>703</v>
      </c>
      <c r="C11" s="129">
        <f>ROUND('DOE25'!L199+'DOE25'!L217+'DOE25'!L235+'DOE25'!L278+'DOE25'!L297+'DOE25'!L316,0)</f>
        <v>7059700</v>
      </c>
      <c r="D11" s="132">
        <f>ROUND((C11/$C$28)*100,1)</f>
        <v>19.2</v>
      </c>
    </row>
    <row r="12" spans="1:4" x14ac:dyDescent="0.2">
      <c r="A12">
        <v>1300</v>
      </c>
      <c r="B12" t="s">
        <v>704</v>
      </c>
      <c r="C12" s="129">
        <f>ROUND('DOE25'!L200+'DOE25'!L218+'DOE25'!L236+'DOE25'!L279+'DOE25'!L298+'DOE25'!L317,0)</f>
        <v>248724</v>
      </c>
      <c r="D12" s="132">
        <f>ROUND((C12/$C$28)*100,1)</f>
        <v>0.7</v>
      </c>
    </row>
    <row r="13" spans="1:4" x14ac:dyDescent="0.2">
      <c r="A13">
        <v>1400</v>
      </c>
      <c r="B13" t="s">
        <v>705</v>
      </c>
      <c r="C13" s="129">
        <f>ROUND('DOE25'!L201+'DOE25'!L219+'DOE25'!L237+'DOE25'!L280+'DOE25'!L299+'DOE25'!L318,0)</f>
        <v>567886</v>
      </c>
      <c r="D13" s="132">
        <f>ROUND((C13/$C$28)*100,1)</f>
        <v>1.5</v>
      </c>
    </row>
    <row r="14" spans="1:4" x14ac:dyDescent="0.2">
      <c r="D14" s="132"/>
    </row>
    <row r="15" spans="1:4" x14ac:dyDescent="0.2">
      <c r="A15">
        <v>2100</v>
      </c>
      <c r="B15" t="s">
        <v>706</v>
      </c>
      <c r="C15" s="129">
        <f>ROUND('DOE25'!L203+'DOE25'!L221+'DOE25'!L239+'DOE25'!L282+'DOE25'!L301+'DOE25'!L320,0)</f>
        <v>3055075</v>
      </c>
      <c r="D15" s="132">
        <f t="shared" ref="D15:D27" si="0">ROUND((C15/$C$28)*100,1)</f>
        <v>8.3000000000000007</v>
      </c>
    </row>
    <row r="16" spans="1:4" x14ac:dyDescent="0.2">
      <c r="A16">
        <v>2200</v>
      </c>
      <c r="B16" t="s">
        <v>707</v>
      </c>
      <c r="C16" s="129">
        <f>ROUND('DOE25'!L204+'DOE25'!L222+'DOE25'!L240+'DOE25'!L283+'DOE25'!L302+'DOE25'!L321,0)</f>
        <v>547371</v>
      </c>
      <c r="D16" s="132">
        <f t="shared" si="0"/>
        <v>1.5</v>
      </c>
    </row>
    <row r="17" spans="1:4" x14ac:dyDescent="0.2">
      <c r="A17" s="133" t="s">
        <v>723</v>
      </c>
      <c r="B17" t="s">
        <v>738</v>
      </c>
      <c r="C17" s="129">
        <f>ROUND('DOE25'!L205+'DOE25'!L210+'DOE25'!L223+'DOE25'!L228+'DOE25'!L241+'DOE25'!L246+'DOE25'!L284+'DOE25'!L289+'DOE25'!L303+'DOE25'!L308+'DOE25'!L322+'DOE25'!L327,0)</f>
        <v>1944919</v>
      </c>
      <c r="D17" s="132">
        <f t="shared" si="0"/>
        <v>5.3</v>
      </c>
    </row>
    <row r="18" spans="1:4" x14ac:dyDescent="0.2">
      <c r="A18">
        <v>2400</v>
      </c>
      <c r="B18" t="s">
        <v>711</v>
      </c>
      <c r="C18" s="129">
        <f>ROUND('DOE25'!L206+'DOE25'!L224+'DOE25'!L242+'DOE25'!L285+'DOE25'!L304+'DOE25'!L323,0)</f>
        <v>2196792</v>
      </c>
      <c r="D18" s="132">
        <f t="shared" si="0"/>
        <v>6</v>
      </c>
    </row>
    <row r="19" spans="1:4" x14ac:dyDescent="0.2">
      <c r="A19">
        <v>2500</v>
      </c>
      <c r="B19" t="s">
        <v>708</v>
      </c>
      <c r="C19" s="129">
        <f>ROUND('DOE25'!L207+'DOE25'!L225+'DOE25'!L243+'DOE25'!L286+'DOE25'!L305+'DOE25'!L324,0)</f>
        <v>519532</v>
      </c>
      <c r="D19" s="132">
        <f t="shared" si="0"/>
        <v>1.4</v>
      </c>
    </row>
    <row r="20" spans="1:4" x14ac:dyDescent="0.2">
      <c r="A20">
        <v>2600</v>
      </c>
      <c r="B20" t="s">
        <v>709</v>
      </c>
      <c r="C20" s="129">
        <f>ROUND('DOE25'!L208+'DOE25'!L226+'DOE25'!L244+'DOE25'!L287+'DOE25'!L306+'DOE25'!L325,0)</f>
        <v>3243480</v>
      </c>
      <c r="D20" s="132">
        <f t="shared" si="0"/>
        <v>8.8000000000000007</v>
      </c>
    </row>
    <row r="21" spans="1:4" x14ac:dyDescent="0.2">
      <c r="A21">
        <v>2700</v>
      </c>
      <c r="B21" t="s">
        <v>710</v>
      </c>
      <c r="C21" s="129">
        <f>ROUND('DOE25'!L209+'DOE25'!L227+'DOE25'!L245+'DOE25'!L288+'DOE25'!L307+'DOE25'!L326,0)</f>
        <v>1490692</v>
      </c>
      <c r="D21" s="132">
        <f t="shared" si="0"/>
        <v>4.0999999999999996</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33862</v>
      </c>
      <c r="D24" s="132">
        <f t="shared" si="0"/>
        <v>0.1</v>
      </c>
    </row>
    <row r="25" spans="1:4" x14ac:dyDescent="0.2">
      <c r="A25">
        <v>5120</v>
      </c>
      <c r="B25" t="s">
        <v>716</v>
      </c>
      <c r="C25" s="129">
        <f>ROUND('DOE25'!L262+'DOE25'!L343,0)</f>
        <v>1340547</v>
      </c>
      <c r="D25" s="132">
        <f t="shared" si="0"/>
        <v>3.6</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344269.52</v>
      </c>
      <c r="D27" s="132">
        <f t="shared" si="0"/>
        <v>0.9</v>
      </c>
    </row>
    <row r="28" spans="1:4" x14ac:dyDescent="0.2">
      <c r="B28" s="136" t="s">
        <v>719</v>
      </c>
      <c r="C28" s="130">
        <f>SUM(C10:C27)</f>
        <v>36759911.520000003</v>
      </c>
      <c r="D28" s="134">
        <f>ROUND(SUM(D10:D27),0)</f>
        <v>100</v>
      </c>
    </row>
    <row r="29" spans="1:4" x14ac:dyDescent="0.2">
      <c r="A29">
        <v>4000</v>
      </c>
      <c r="B29" t="s">
        <v>724</v>
      </c>
      <c r="C29" s="129">
        <f>ROUND('DOE25'!L256+'DOE25'!L337+'DOE25'!L375+'DOE25'!L376+'DOE25'!L377+'DOE25'!L378+'DOE25'!L379+'DOE25'!L380+'DOE25'!L381,0)</f>
        <v>373638</v>
      </c>
    </row>
    <row r="30" spans="1:4" x14ac:dyDescent="0.2">
      <c r="B30" s="136" t="s">
        <v>725</v>
      </c>
      <c r="C30" s="130">
        <f>SUM(C28:C29)</f>
        <v>37133549.520000003</v>
      </c>
    </row>
    <row r="31" spans="1:4" x14ac:dyDescent="0.2">
      <c r="B31" s="32"/>
      <c r="C31" s="130"/>
    </row>
    <row r="32" spans="1:4" x14ac:dyDescent="0.2">
      <c r="A32">
        <v>5100</v>
      </c>
      <c r="B32" s="32" t="s">
        <v>726</v>
      </c>
      <c r="C32" s="130">
        <f>ROUND('DOE25'!L261+'DOE25'!L342,0)</f>
        <v>959842</v>
      </c>
    </row>
    <row r="34" spans="1:4" x14ac:dyDescent="0.2">
      <c r="A34" s="136" t="s">
        <v>94</v>
      </c>
      <c r="B34" s="137" t="s">
        <v>1801</v>
      </c>
      <c r="C34" s="131" t="s">
        <v>720</v>
      </c>
      <c r="D34" s="131" t="s">
        <v>721</v>
      </c>
    </row>
    <row r="35" spans="1:4" x14ac:dyDescent="0.2">
      <c r="A35">
        <v>1100</v>
      </c>
      <c r="B35" s="71" t="s">
        <v>727</v>
      </c>
      <c r="C35" s="129">
        <f>ROUND('DOE25'!F60+'DOE25'!G60+'DOE25'!H60+'DOE25'!I60+'DOE25'!J60,0)</f>
        <v>24513617</v>
      </c>
      <c r="D35" s="132">
        <f t="shared" ref="D35:D40" si="1">ROUND((C35/$C$41)*100,1)</f>
        <v>65.8</v>
      </c>
    </row>
    <row r="36" spans="1:4" x14ac:dyDescent="0.2">
      <c r="B36" s="71" t="s">
        <v>739</v>
      </c>
      <c r="C36" s="129">
        <f>SUM('DOE25'!F112:J112)-SUM('DOE25'!G97:G110)+('DOE25'!F175+'DOE25'!F176+'DOE25'!I175+'DOE25'!I176)-C35</f>
        <v>4176378.5599999987</v>
      </c>
      <c r="D36" s="132">
        <f t="shared" si="1"/>
        <v>11.2</v>
      </c>
    </row>
    <row r="37" spans="1:4" x14ac:dyDescent="0.2">
      <c r="A37" s="133" t="s">
        <v>834</v>
      </c>
      <c r="B37" s="71" t="s">
        <v>728</v>
      </c>
      <c r="C37" s="129">
        <f>ROUND('DOE25'!F117+'DOE25'!F118,0)</f>
        <v>5678634</v>
      </c>
      <c r="D37" s="132">
        <f t="shared" si="1"/>
        <v>15.3</v>
      </c>
    </row>
    <row r="38" spans="1:4" x14ac:dyDescent="0.2">
      <c r="A38" s="133" t="s">
        <v>734</v>
      </c>
      <c r="B38" s="71" t="s">
        <v>729</v>
      </c>
      <c r="C38" s="129">
        <f>ROUND(SUM('DOE25'!F140:J140)-SUM('DOE25'!F117:F119),0)</f>
        <v>990056</v>
      </c>
      <c r="D38" s="132">
        <f t="shared" si="1"/>
        <v>2.7</v>
      </c>
    </row>
    <row r="39" spans="1:4" x14ac:dyDescent="0.2">
      <c r="A39">
        <v>4000</v>
      </c>
      <c r="B39" s="71" t="s">
        <v>730</v>
      </c>
      <c r="C39" s="129">
        <f>ROUND('DOE25'!F170+'DOE25'!G170+'DOE25'!H170+'DOE25'!I170,0)</f>
        <v>1872723</v>
      </c>
      <c r="D39" s="132">
        <f t="shared" si="1"/>
        <v>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37231408.560000002</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Sanborn Regional</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58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61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f>IFERROR(SMALL(AE4:$AE$100,ROWS($AE$4:AE4)),"")</f>
        <v>82</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185</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f>IF('School Level Expenditures'!$B$2=A61,'School Tables'!H61,"")</f>
        <v>58</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f>IF('School Level Expenditures'!$B$2='School Tables'!L64,'School Tables'!S64,"")</f>
        <v>61</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f>IF('School Level Expenditures'!$B$2='School Tables'!W85,'School Tables'!AD85,"")</f>
        <v>82</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f>IF('School Level Expenditures'!$B$2=A188,'School Tables'!H188,"")</f>
        <v>185</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2023-08-11T22:04:01Z</cp:lastPrinted>
  <dcterms:created xsi:type="dcterms:W3CDTF">1997-12-04T19:04:30Z</dcterms:created>
  <dcterms:modified xsi:type="dcterms:W3CDTF">2023-12-29T14:22:18Z</dcterms:modified>
</cp:coreProperties>
</file>