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42E39A7-33FB-41CC-9D86-68533FBBC5B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4" l="1"/>
  <c r="G532" i="1" l="1"/>
  <c r="G522" i="1"/>
  <c r="I522" i="1"/>
  <c r="H522" i="1"/>
  <c r="F532" i="1"/>
  <c r="F522" i="1"/>
  <c r="I198" i="1"/>
  <c r="F473" i="1"/>
  <c r="K359" i="1"/>
  <c r="G473" i="1"/>
  <c r="G40" i="1"/>
  <c r="F50" i="1"/>
  <c r="G527" i="1"/>
  <c r="C21" i="12"/>
  <c r="C20" i="12"/>
  <c r="C19" i="12"/>
  <c r="C12" i="12"/>
  <c r="C11" i="12"/>
  <c r="C10" i="12"/>
  <c r="G204" i="1"/>
  <c r="C37" i="12" l="1"/>
  <c r="H22" i="1"/>
  <c r="F15" i="13"/>
  <c r="H605" i="1"/>
  <c r="H604" i="1"/>
  <c r="F527" i="1"/>
  <c r="B21" i="12"/>
  <c r="B20" i="12"/>
  <c r="B19" i="12"/>
  <c r="B39" i="12"/>
  <c r="B37" i="12"/>
  <c r="B12" i="12"/>
  <c r="B11" i="12"/>
  <c r="B10" i="12"/>
  <c r="E13" i="17"/>
  <c r="E9" i="17"/>
  <c r="I204" i="1"/>
  <c r="F201" i="1"/>
  <c r="I201" i="1"/>
  <c r="J198" i="1"/>
  <c r="I208" i="1"/>
  <c r="H209" i="1"/>
  <c r="H208" i="1"/>
  <c r="H205" i="1"/>
  <c r="H204" i="1"/>
  <c r="F204" i="1"/>
  <c r="F203" i="1"/>
  <c r="F28" i="1"/>
  <c r="F110" i="1"/>
  <c r="I284" i="1"/>
  <c r="H283" i="1"/>
  <c r="G280" i="1"/>
  <c r="F280" i="1"/>
  <c r="H28" i="1"/>
  <c r="G158" i="1"/>
  <c r="F368" i="1"/>
  <c r="F369" i="1"/>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C13" i="10" s="1"/>
  <c r="L282" i="1"/>
  <c r="L283" i="1"/>
  <c r="M2" i="14" s="1"/>
  <c r="M3" i="14" s="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H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H11" i="2" s="1"/>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H80" i="2" s="1"/>
  <c r="E80" i="2"/>
  <c r="C85" i="2"/>
  <c r="F85" i="2"/>
  <c r="C87" i="2"/>
  <c r="H87" i="2" s="1"/>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H112" i="2" s="1"/>
  <c r="D115" i="2"/>
  <c r="F115" i="2"/>
  <c r="G115"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25" i="2" l="1"/>
  <c r="H102" i="2"/>
  <c r="H100" i="2"/>
  <c r="H98" i="2"/>
  <c r="H73" i="2"/>
  <c r="H38" i="2"/>
  <c r="H43" i="2"/>
  <c r="H89" i="2"/>
  <c r="H34" i="2"/>
  <c r="H72" i="2"/>
  <c r="H29" i="2"/>
  <c r="H9" i="2"/>
  <c r="C119" i="2"/>
  <c r="H24" i="2"/>
  <c r="H8" i="2"/>
  <c r="J140" i="1"/>
  <c r="J194" i="1" s="1"/>
  <c r="G647" i="1" s="1"/>
  <c r="D18" i="13"/>
  <c r="C18" i="13" s="1"/>
  <c r="D15" i="13"/>
  <c r="C15" i="13" s="1"/>
  <c r="C121" i="2"/>
  <c r="C12" i="10"/>
  <c r="C120" i="2"/>
  <c r="H120" i="2" s="1"/>
  <c r="H96" i="2"/>
  <c r="H477" i="1"/>
  <c r="H625" i="1" s="1"/>
  <c r="H101" i="2"/>
  <c r="H99" i="2"/>
  <c r="H58" i="2"/>
  <c r="H132" i="2"/>
  <c r="H36" i="2"/>
  <c r="H42" i="2"/>
  <c r="H44" i="2"/>
  <c r="I409" i="1"/>
  <c r="H97" i="2"/>
  <c r="H61" i="2"/>
  <c r="H26" i="2"/>
  <c r="H22" i="2"/>
  <c r="J112" i="1"/>
  <c r="H57" i="2"/>
  <c r="E121" i="2"/>
  <c r="N2" i="14"/>
  <c r="N3" i="14" s="1"/>
  <c r="D144" i="2"/>
  <c r="H35" i="2"/>
  <c r="H13" i="2"/>
  <c r="H131" i="2"/>
  <c r="K2" i="14"/>
  <c r="K3" i="14" s="1"/>
  <c r="L2" i="14"/>
  <c r="L3" i="14" s="1"/>
  <c r="H48" i="2"/>
  <c r="H12" i="2"/>
  <c r="H59" i="2"/>
  <c r="H27" i="2"/>
  <c r="D78" i="2"/>
  <c r="H77" i="2"/>
  <c r="G662" i="1"/>
  <c r="G477" i="1"/>
  <c r="H624" i="1" s="1"/>
  <c r="J624" i="1" s="1"/>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H103" i="2" s="1"/>
  <c r="I140" i="1"/>
  <c r="A22" i="12"/>
  <c r="J653" i="1"/>
  <c r="G572" i="1"/>
  <c r="I435" i="1"/>
  <c r="G435" i="1"/>
  <c r="I664" i="1"/>
  <c r="H78" i="2" l="1"/>
  <c r="H21" i="2"/>
  <c r="L572" i="1"/>
  <c r="D81" i="2"/>
  <c r="D104" i="2" s="1"/>
  <c r="H134" i="2"/>
  <c r="H16" i="2"/>
  <c r="H121" i="2"/>
  <c r="H85" i="2"/>
  <c r="B33" i="16"/>
  <c r="H123" i="2"/>
  <c r="C81" i="2"/>
  <c r="F194" i="1"/>
  <c r="G628" i="1" s="1"/>
  <c r="J628" i="1" s="1"/>
  <c r="H50" i="2"/>
  <c r="E128" i="2"/>
  <c r="H118" i="2"/>
  <c r="H91" i="2"/>
  <c r="E51" i="2"/>
  <c r="H18" i="2"/>
  <c r="D63" i="2"/>
  <c r="H62" i="2"/>
  <c r="I662" i="1"/>
  <c r="D128" i="2"/>
  <c r="H127" i="2"/>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H51" i="2"/>
  <c r="H63" i="2"/>
  <c r="C144" i="2"/>
  <c r="C145" i="2" s="1"/>
  <c r="H141" i="2"/>
  <c r="H104"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<sst xmlns="http://schemas.openxmlformats.org/spreadsheetml/2006/main" count="6560" uniqueCount="1815">
  <si>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</si>
  <si>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</si>
  <si>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</si>
  <si>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</si>
  <si>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</si>
  <si>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</si>
  <si>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</si>
  <si>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</si>
  <si>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</si>
  <si>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</si>
  <si>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</si>
  <si>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</si>
  <si>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</si>
  <si>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</si>
  <si>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</si>
  <si>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</si>
  <si>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</si>
  <si>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</si>
  <si>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</si>
  <si>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</si>
  <si>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</si>
  <si>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</si>
  <si>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</si>
  <si>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</si>
  <si>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</si>
  <si>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</si>
  <si>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</si>
  <si>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</si>
  <si>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</si>
  <si>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</si>
  <si>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</si>
  <si>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</si>
  <si>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</si>
  <si>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</si>
  <si>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</si>
  <si>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</si>
  <si>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</si>
  <si>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</si>
  <si>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</si>
  <si>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</si>
  <si>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</si>
  <si>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</si>
  <si>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</si>
  <si>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</si>
  <si>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</si>
  <si>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</si>
  <si>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</si>
  <si>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</si>
  <si>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</si>
  <si>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</si>
  <si>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</si>
  <si>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</si>
  <si>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</si>
  <si>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</si>
  <si>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</si>
  <si>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</si>
  <si>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</si>
  <si>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</si>
  <si>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</si>
  <si>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</si>
  <si>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</si>
  <si>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</si>
  <si>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</si>
  <si>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</si>
  <si>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</si>
  <si>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</si>
  <si>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</si>
  <si>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</si>
  <si>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</si>
  <si>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</si>
  <si>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</si>
  <si>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</si>
  <si>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</si>
  <si>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</si>
  <si>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</si>
  <si>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</si>
  <si>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</si>
  <si>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</si>
  <si>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</si>
  <si>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</si>
  <si>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</si>
  <si>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</si>
  <si>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</si>
  <si>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</si>
  <si>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</si>
  <si>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</si>
  <si>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</si>
  <si>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</si>
  <si>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</si>
  <si>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</si>
  <si>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</si>
  <si>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</si>
  <si>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</si>
  <si>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</si>
  <si>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</si>
  <si>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</si>
  <si>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</si>
  <si>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</si>
  <si>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</si>
  <si>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</si>
  <si>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</si>
  <si>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</si>
  <si>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</si>
  <si>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</si>
  <si>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</si>
  <si>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</si>
  <si>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</si>
  <si>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</si>
  <si>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</si>
  <si>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</si>
  <si>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</si>
  <si>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</si>
  <si>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</si>
  <si>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</si>
  <si>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</si>
  <si>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</si>
  <si>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</si>
  <si>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</si>
  <si>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</si>
  <si>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</si>
  <si>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</si>
  <si>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</si>
  <si>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</si>
  <si>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</si>
  <si>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</si>
  <si>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</si>
  <si>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</si>
  <si>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</si>
  <si>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</si>
  <si>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</si>
  <si>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</si>
  <si>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</si>
  <si>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</si>
  <si>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</si>
  <si>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</si>
  <si>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</si>
  <si>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</si>
  <si>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</si>
  <si>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</si>
  <si>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</si>
  <si>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</si>
  <si>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</si>
  <si>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</si>
  <si>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</si>
  <si>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</si>
  <si>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</si>
  <si>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</si>
  <si>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</si>
  <si>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</si>
  <si>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</si>
  <si>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</si>
  <si>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</si>
  <si>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</si>
  <si>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</si>
  <si>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</si>
  <si>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</si>
  <si>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</si>
  <si>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</si>
  <si>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</si>
  <si>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</si>
  <si>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</si>
  <si>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</si>
  <si>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</si>
  <si>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</si>
  <si>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</si>
  <si>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</si>
  <si>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</si>
  <si>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</si>
  <si>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</si>
  <si>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</si>
  <si>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</si>
  <si>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</si>
  <si>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</si>
  <si>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</si>
  <si>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</si>
  <si>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</si>
  <si>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</si>
  <si>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</si>
  <si>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</si>
  <si>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</si>
  <si>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</si>
  <si>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</si>
  <si>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</si>
  <si>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</si>
  <si>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</si>
  <si>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</si>
  <si>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</si>
  <si>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</si>
  <si>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</si>
  <si>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</si>
  <si>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</si>
  <si>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</si>
  <si>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</si>
  <si>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</si>
  <si>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</si>
  <si>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</si>
  <si>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</si>
  <si>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</si>
  <si>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</si>
  <si>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</si>
  <si>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</si>
  <si>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</si>
  <si>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</si>
  <si>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</si>
  <si>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</si>
  <si>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</si>
  <si>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</si>
  <si>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</si>
  <si>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</si>
  <si>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</si>
  <si>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</si>
  <si>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</si>
  <si>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</si>
  <si>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</si>
  <si>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</si>
  <si>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</si>
  <si>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</si>
  <si>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</si>
  <si>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</si>
  <si>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</si>
  <si>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</si>
  <si>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</si>
  <si>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</si>
  <si>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</si>
  <si>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</si>
  <si>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</si>
  <si>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</si>
  <si>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</si>
  <si>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</si>
  <si>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</si>
  <si>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</si>
  <si>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</si>
  <si>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</si>
  <si>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</si>
  <si>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</si>
  <si>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</si>
  <si>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</si>
  <si>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</si>
  <si>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</si>
  <si>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</si>
  <si>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</si>
  <si>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</si>
  <si>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</si>
  <si>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</si>
  <si>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</si>
  <si>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</si>
  <si>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</si>
  <si>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</si>
  <si>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</si>
  <si>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</si>
  <si>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</si>
  <si>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</si>
  <si>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</si>
  <si>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</si>
  <si>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</si>
  <si>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</si>
  <si>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</si>
  <si>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</si>
  <si>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</si>
  <si>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</si>
  <si>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</si>
  <si>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</si>
  <si>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</si>
  <si>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</si>
  <si>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</si>
  <si>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</si>
  <si>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</si>
  <si>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</si>
  <si>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</si>
  <si>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</si>
  <si>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</si>
  <si>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</si>
  <si>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</si>
  <si>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</si>
  <si>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</si>
  <si>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</si>
  <si>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</si>
  <si>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</si>
  <si>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</si>
  <si>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</si>
  <si>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</si>
  <si>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</si>
  <si>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</si>
  <si>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</si>
  <si>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</si>
  <si>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</si>
  <si>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</si>
  <si>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</si>
  <si>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</si>
  <si>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</si>
  <si>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</si>
  <si>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</si>
  <si>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</si>
  <si>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</si>
  <si>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</si>
  <si>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</si>
  <si>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</si>
  <si>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</si>
  <si>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</si>
  <si>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</si>
  <si>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</si>
  <si>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</si>
  <si>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</si>
  <si>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</si>
  <si>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</si>
  <si>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</si>
  <si>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</si>
  <si>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</si>
  <si>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</si>
  <si>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</si>
  <si>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</si>
  <si>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</si>
  <si>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</si>
  <si>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</si>
  <si>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</si>
  <si>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</si>
  <si>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</si>
  <si>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</si>
  <si>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</si>
  <si>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</si>
  <si>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</si>
  <si>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</si>
  <si>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</si>
  <si>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</si>
  <si>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</si>
  <si>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</si>
  <si>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</si>
  <si>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</si>
  <si>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</si>
  <si>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</si>
  <si>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</si>
  <si>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</si>
  <si>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</si>
  <si>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</si>
  <si>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</si>
  <si>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</si>
  <si>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</si>
  <si>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</si>
  <si>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</si>
  <si>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</si>
  <si>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</si>
  <si>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</si>
  <si>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</si>
  <si>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</si>
  <si>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</si>
  <si>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</si>
  <si>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</si>
  <si>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</si>
  <si>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</si>
  <si>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</si>
  <si>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</si>
  <si>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</si>
  <si>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</si>
  <si>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</si>
  <si>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</si>
  <si>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</si>
  <si>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</si>
  <si>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</si>
  <si>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</si>
  <si>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</si>
  <si>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</si>
  <si>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</si>
  <si>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</si>
  <si>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</si>
  <si>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</si>
  <si>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</si>
  <si>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</si>
  <si>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</si>
  <si>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</si>
  <si>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</si>
  <si>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</si>
  <si>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</si>
  <si>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</si>
  <si>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</si>
  <si>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</si>
  <si>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</si>
  <si>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</si>
  <si>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</si>
  <si>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</si>
  <si>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</si>
  <si>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</si>
  <si>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</si>
  <si>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</si>
  <si>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</si>
  <si>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</si>
  <si>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</si>
  <si>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</si>
  <si>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</si>
  <si>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</si>
  <si>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</si>
  <si>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</si>
  <si>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</si>
  <si>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</si>
  <si>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</si>
  <si>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</si>
  <si>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</si>
  <si>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</si>
  <si>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</si>
  <si>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</si>
  <si>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</si>
  <si>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</si>
  <si>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</si>
  <si>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</si>
  <si>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</si>
  <si>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</si>
  <si>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</si>
  <si>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</si>
  <si>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</si>
  <si>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</si>
  <si>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</si>
  <si>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</si>
  <si>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</si>
  <si>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</si>
  <si>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</si>
  <si>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</si>
  <si>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</si>
  <si>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</si>
  <si>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</si>
  <si>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</si>
  <si>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</si>
  <si>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</si>
  <si>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</si>
  <si>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</si>
  <si>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</si>
  <si>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</si>
  <si>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</si>
  <si>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</si>
  <si>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</si>
  <si>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</si>
  <si>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</si>
  <si>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</si>
  <si>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</si>
  <si>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</si>
  <si>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</si>
  <si>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</si>
  <si>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</si>
  <si>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</si>
  <si>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</si>
  <si>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</si>
  <si>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</si>
  <si>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</si>
  <si>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</si>
  <si>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</si>
  <si>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</si>
  <si>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</si>
  <si>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</si>
  <si>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</si>
  <si>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</si>
  <si>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</si>
  <si>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</si>
  <si>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</si>
  <si>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</si>
  <si>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</si>
  <si>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</si>
  <si>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</si>
  <si>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</si>
  <si>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</si>
  <si>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</si>
  <si>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</si>
  <si>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</si>
  <si>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</si>
  <si>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</si>
  <si>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</si>
  <si>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</si>
  <si>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</si>
  <si>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</si>
  <si>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</si>
  <si>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</si>
  <si>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</si>
  <si>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</si>
  <si>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</si>
  <si>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</si>
  <si>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</si>
  <si>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</si>
  <si>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</si>
  <si>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</si>
  <si>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</si>
  <si>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</si>
  <si>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</si>
  <si>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</si>
  <si>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</si>
  <si>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</si>
  <si>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</si>
  <si>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</si>
  <si>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</si>
  <si>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</si>
  <si>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</si>
  <si>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</si>
  <si>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</si>
  <si>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</si>
  <si>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</si>
  <si>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</si>
  <si>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</si>
  <si>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</si>
  <si>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</si>
  <si>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</si>
  <si>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</si>
  <si>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</si>
  <si>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</si>
  <si>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</si>
  <si>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</si>
  <si>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</si>
  <si>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</si>
  <si>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</si>
  <si>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</si>
  <si>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</si>
  <si>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</si>
  <si>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</si>
  <si>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</si>
  <si>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</si>
  <si>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</si>
  <si>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</si>
  <si>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</si>
  <si>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</si>
  <si>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</si>
  <si>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</si>
  <si>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</si>
  <si>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</si>
  <si>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</si>
  <si>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</si>
  <si>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</si>
  <si>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</si>
  <si>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</si>
  <si>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</si>
  <si>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</si>
  <si>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</si>
  <si>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</si>
  <si>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</si>
  <si>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</si>
  <si>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</si>
  <si>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</si>
  <si>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</si>
  <si>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</si>
  <si>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</si>
  <si>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</si>
  <si>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</si>
  <si>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</si>
  <si>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</si>
  <si>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</si>
  <si>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</si>
  <si>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</si>
  <si>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</si>
  <si>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</si>
  <si>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</si>
  <si>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</si>
  <si>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</si>
  <si>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</si>
  <si>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</si>
  <si>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</si>
  <si>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</si>
  <si>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</si>
  <si>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</si>
  <si>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</si>
  <si>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</si>
  <si>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</si>
  <si>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</si>
  <si>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</si>
  <si>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</si>
  <si>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</si>
  <si>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</si>
  <si>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</si>
  <si>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</si>
  <si>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</si>
  <si>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</si>
  <si>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</si>
  <si>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</si>
  <si>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</si>
  <si>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</si>
  <si>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</si>
  <si>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</si>
  <si>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</si>
  <si>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</si>
  <si>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</si>
  <si>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</si>
  <si>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</si>
  <si>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</si>
  <si>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</si>
  <si>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</si>
  <si>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</si>
  <si>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</si>
  <si>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</si>
  <si>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</si>
  <si>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</si>
  <si>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</si>
  <si>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</si>
  <si>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</si>
  <si>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</si>
  <si>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</si>
  <si>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</si>
  <si>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</si>
  <si>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</si>
  <si>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</si>
  <si>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</si>
  <si>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</si>
  <si>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</si>
  <si>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</si>
  <si>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</si>
  <si>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</si>
  <si>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</si>
  <si>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</si>
  <si>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</si>
  <si>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</si>
  <si>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</si>
  <si>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</si>
  <si>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</si>
  <si>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</si>
  <si>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</si>
  <si>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</si>
  <si>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</si>
  <si>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</si>
  <si>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</si>
  <si>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</si>
  <si>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</si>
  <si>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</si>
  <si>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</si>
  <si>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</si>
  <si>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</si>
  <si>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</si>
  <si>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</si>
  <si>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</si>
  <si>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</si>
  <si>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</si>
  <si>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</si>
  <si>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</si>
  <si>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</si>
  <si>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</si>
  <si>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</si>
  <si>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</si>
  <si>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</si>
  <si>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</si>
  <si>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</si>
  <si>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</si>
  <si>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</si>
  <si>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</si>
  <si>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</si>
  <si>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</si>
  <si>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</si>
  <si>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</si>
  <si>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</si>
  <si>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</si>
  <si>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</si>
  <si>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</si>
  <si>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</si>
  <si>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</si>
  <si>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</si>
  <si>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</si>
  <si>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</si>
  <si>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</si>
  <si>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</si>
  <si>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</si>
  <si>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</si>
  <si>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</si>
  <si>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</si>
  <si>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</si>
  <si>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</si>
  <si>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</si>
  <si>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</si>
  <si>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</si>
  <si>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</si>
  <si>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</si>
  <si>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</si>
  <si>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</si>
  <si>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</si>
  <si>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</si>
  <si>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</si>
  <si>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</si>
  <si>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</si>
  <si>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</si>
  <si>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</si>
  <si>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</si>
  <si>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</si>
  <si>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</si>
  <si>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</si>
  <si>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</si>
  <si>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</si>
  <si>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</si>
  <si>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</si>
  <si>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</si>
  <si>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</si>
  <si>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</si>
  <si>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</si>
  <si>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</si>
  <si>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</si>
  <si>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</si>
  <si>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</si>
  <si>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</si>
  <si>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</si>
  <si>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</si>
  <si>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</si>
  <si>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</si>
  <si>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</si>
  <si>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</si>
  <si>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</si>
  <si>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</si>
  <si>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</si>
  <si>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</si>
  <si>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</si>
  <si>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</si>
  <si>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</si>
  <si>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</si>
  <si>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</si>
  <si>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</si>
  <si>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</si>
  <si>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</si>
  <si>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</si>
  <si>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</si>
  <si>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</si>
  <si>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</si>
  <si>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</si>
  <si>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</si>
  <si>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</si>
  <si>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</si>
  <si>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</si>
  <si>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</si>
  <si>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</si>
  <si>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</si>
  <si>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</si>
  <si>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</si>
  <si>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</si>
  <si>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</si>
  <si>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</si>
  <si>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</si>
  <si>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</si>
  <si>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</si>
  <si>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</si>
  <si>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</si>
  <si>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</si>
  <si>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</si>
  <si>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</si>
  <si>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</si>
  <si>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</si>
  <si>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</si>
  <si>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</si>
  <si>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</si>
  <si>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</si>
  <si>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</si>
  <si>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</si>
  <si>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</si>
  <si>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</si>
  <si>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</si>
  <si>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</si>
  <si>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</si>
  <si>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</si>
  <si>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</si>
  <si>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</si>
  <si>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</si>
  <si>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</si>
  <si>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</si>
  <si>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</si>
  <si>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</si>
  <si>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</si>
  <si>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</si>
  <si>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</si>
  <si>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</si>
  <si>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</si>
  <si>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</si>
  <si>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</si>
  <si>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</si>
  <si>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</si>
  <si>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</si>
  <si>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</si>
  <si>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</si>
  <si>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</si>
  <si>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</si>
  <si>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</si>
  <si>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</si>
  <si>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</si>
  <si>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</si>
  <si>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</si>
  <si>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</si>
  <si>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</si>
  <si>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</si>
  <si>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</si>
  <si>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</si>
  <si>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</si>
  <si>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</si>
  <si>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</si>
  <si>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</si>
  <si>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</si>
  <si>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</si>
  <si>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</si>
  <si>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</si>
  <si>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</si>
  <si>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</si>
  <si>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</si>
  <si>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</si>
  <si>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</si>
  <si>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</si>
  <si>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</si>
  <si>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</si>
  <si>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</si>
  <si>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</si>
  <si>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</si>
  <si>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</si>
  <si>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</si>
  <si>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</si>
  <si>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</si>
  <si>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</si>
  <si>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</si>
  <si>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</si>
  <si>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</si>
  <si>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</si>
  <si>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</si>
  <si>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</si>
  <si>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</si>
  <si>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</si>
  <si>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</si>
  <si>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</si>
  <si>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</si>
  <si>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</si>
  <si>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</si>
  <si>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</si>
  <si>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</si>
  <si>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</si>
  <si>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</si>
  <si>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</si>
  <si>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</si>
  <si>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</si>
  <si>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</si>
  <si>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</si>
  <si>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</si>
  <si>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</si>
  <si>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</si>
  <si>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</si>
  <si>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</si>
  <si>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</si>
  <si>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</si>
  <si>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</si>
  <si>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</si>
  <si>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</si>
  <si>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</si>
  <si>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</si>
  <si>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</si>
  <si>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</si>
  <si>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</si>
  <si>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</si>
  <si>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</si>
  <si>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</si>
  <si>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</si>
  <si>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</si>
  <si>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</si>
  <si>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</si>
  <si>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</si>
  <si>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</si>
  <si>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</si>
  <si>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</si>
  <si>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</si>
  <si>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</si>
  <si>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</si>
  <si>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</si>
  <si>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</si>
  <si>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</si>
  <si>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</si>
  <si>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</si>
  <si>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</si>
  <si>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</si>
  <si>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</si>
  <si>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</si>
  <si>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</si>
  <si>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</si>
  <si>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</si>
  <si>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</si>
  <si>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</si>
  <si>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</si>
  <si>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</si>
  <si>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</si>
  <si>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</si>
  <si>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</si>
  <si>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</si>
  <si>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</si>
  <si>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</si>
  <si>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</si>
  <si>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</si>
  <si>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</si>
  <si>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</si>
  <si>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</si>
  <si>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</si>
  <si>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</si>
  <si>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</si>
  <si>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</si>
  <si>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</si>
  <si>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</si>
  <si>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</si>
  <si>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</si>
  <si>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</si>
  <si>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</si>
  <si>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</si>
  <si>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</si>
  <si>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</si>
  <si>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</si>
  <si>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</si>
  <si>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</si>
  <si>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</si>
  <si>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</si>
  <si>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</si>
  <si>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</si>
  <si>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</si>
  <si>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</si>
  <si>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</si>
  <si>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</si>
  <si>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</si>
  <si>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</si>
  <si>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</si>
  <si>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</si>
  <si>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</si>
  <si>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</si>
  <si>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</si>
  <si>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</si>
  <si>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</si>
  <si>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</si>
  <si>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</si>
  <si>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</si>
  <si>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</si>
  <si>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</si>
  <si>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</si>
  <si>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</si>
  <si>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</si>
  <si>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</si>
  <si>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</si>
  <si>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</si>
  <si>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</si>
  <si>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</si>
  <si>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</si>
  <si>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</si>
  <si>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</si>
  <si>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</si>
  <si>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</si>
  <si>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</si>
  <si>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</si>
  <si>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</si>
  <si>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</si>
  <si>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</si>
  <si>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</si>
  <si>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</si>
  <si>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</si>
  <si>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</si>
  <si>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</si>
  <si>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</si>
  <si>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</si>
  <si>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</si>
  <si>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</si>
  <si>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</si>
  <si>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</si>
  <si>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</si>
  <si>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</si>
  <si>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</si>
  <si>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</si>
  <si>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</si>
  <si>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</si>
  <si>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</si>
  <si>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</si>
  <si>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</si>
  <si>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</si>
  <si>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</si>
  <si>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</si>
  <si>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</si>
  <si>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</si>
  <si>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</si>
  <si>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</si>
  <si>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</si>
  <si>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</si>
  <si>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</si>
  <si>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</si>
  <si>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</si>
  <si>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</si>
  <si>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</si>
  <si>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</si>
  <si>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</si>
  <si>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</si>
  <si>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</si>
  <si>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</si>
  <si>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</si>
  <si>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</si>
  <si>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</si>
  <si>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</si>
  <si>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</si>
  <si>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</si>
  <si>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</si>
  <si>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</si>
  <si>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</si>
  <si>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</si>
  <si>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</si>
  <si>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</si>
  <si>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</si>
  <si>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</si>
  <si>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</si>
  <si>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</si>
  <si>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</si>
  <si>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</si>
  <si>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</si>
  <si>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</si>
  <si>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</si>
  <si>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</si>
  <si>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</si>
  <si>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</si>
  <si>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</si>
  <si>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</si>
  <si>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</si>
  <si>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</si>
  <si>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</si>
  <si>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</si>
  <si>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</si>
  <si>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</si>
  <si>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</si>
  <si>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</si>
  <si>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</si>
  <si>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</si>
  <si>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</si>
  <si>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</si>
  <si>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</si>
  <si>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</si>
  <si>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</si>
  <si>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</si>
  <si>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</si>
  <si>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</si>
  <si>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</si>
  <si>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</si>
  <si>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</si>
  <si>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</si>
  <si>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</si>
  <si>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</si>
  <si>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</si>
  <si>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</si>
  <si>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</si>
  <si>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</si>
  <si>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</si>
  <si>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</si>
  <si>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</si>
  <si>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</si>
  <si>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</si>
  <si>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</si>
  <si>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</si>
  <si>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</si>
  <si>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</si>
  <si>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</si>
  <si>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</si>
  <si>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</si>
  <si>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</si>
  <si>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</si>
  <si>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</si>
  <si>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</si>
  <si>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</si>
  <si>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</si>
  <si>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</si>
  <si>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</si>
  <si>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</si>
  <si>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</si>
  <si>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</si>
  <si>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</si>
  <si>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</si>
  <si>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</si>
  <si>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</si>
  <si>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</si>
  <si>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</si>
  <si>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</si>
  <si>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</si>
  <si>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</si>
  <si>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</si>
  <si>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</si>
  <si>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</si>
  <si>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</si>
  <si>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</si>
  <si>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</si>
  <si>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</si>
  <si>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</si>
  <si>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</si>
  <si>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</si>
  <si>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</si>
  <si>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</si>
  <si>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</si>
  <si>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</si>
  <si>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</si>
  <si>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</si>
  <si>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</si>
  <si>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</si>
  <si>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</si>
  <si>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</si>
  <si>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</si>
  <si>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</si>
  <si>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</si>
  <si>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</si>
  <si>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</si>
  <si>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</si>
  <si>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</si>
  <si>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</si>
  <si>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</si>
  <si>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</si>
  <si>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</si>
  <si>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</si>
  <si>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</si>
  <si>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</si>
  <si>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</si>
  <si>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</si>
  <si>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</si>
  <si>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</si>
  <si>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</si>
  <si>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</si>
  <si>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</si>
  <si>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</si>
  <si>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</si>
  <si>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</si>
  <si>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</si>
  <si>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</si>
  <si>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</si>
  <si>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</si>
  <si>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</si>
  <si>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</si>
  <si>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</si>
  <si>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</si>
  <si>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</si>
  <si>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</si>
  <si>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</si>
  <si>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</si>
  <si>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</si>
  <si>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</si>
  <si>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</si>
  <si>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</si>
  <si>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</si>
  <si>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</si>
  <si>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</si>
  <si>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</si>
  <si>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</si>
  <si>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</si>
  <si>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</si>
  <si>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</si>
  <si>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</si>
  <si>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</si>
  <si>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</si>
  <si>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</si>
  <si>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</si>
  <si>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</si>
  <si>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</si>
  <si>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</si>
  <si>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</si>
  <si>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</si>
  <si>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</si>
  <si>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</si>
  <si>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</si>
  <si>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</si>
  <si>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</si>
  <si>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</si>
  <si>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</si>
  <si>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</si>
  <si>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</si>
  <si>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</si>
  <si>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</si>
  <si>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</si>
  <si>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</si>
  <si>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</si>
  <si>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</si>
  <si>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</si>
  <si>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</si>
  <si>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</si>
  <si>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</si>
  <si>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</si>
  <si>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</si>
  <si>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</si>
  <si>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</si>
  <si>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</si>
  <si>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</si>
  <si>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</si>
  <si>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</si>
  <si>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</si>
  <si>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</si>
  <si>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</si>
  <si>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</si>
  <si>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</si>
  <si>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</si>
  <si>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</si>
  <si>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</si>
  <si>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</si>
  <si>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</si>
  <si>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</si>
  <si>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</si>
  <si>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</si>
  <si>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</si>
  <si>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</si>
  <si>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</si>
  <si>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</si>
  <si>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</si>
  <si>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</si>
  <si>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</si>
  <si>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</si>
  <si>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</si>
  <si>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</si>
  <si>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</si>
  <si>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</si>
  <si>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</si>
  <si>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</si>
  <si>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</si>
  <si>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</si>
  <si>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</si>
  <si>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</si>
  <si>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</si>
  <si>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</si>
  <si>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</si>
  <si>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</si>
  <si>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</si>
  <si>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</si>
  <si>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</si>
  <si>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</si>
  <si>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</si>
  <si>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</si>
  <si>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</si>
  <si>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</si>
  <si>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</si>
  <si>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</si>
  <si>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</si>
  <si>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</si>
  <si>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</si>
  <si>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</si>
  <si>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</si>
  <si>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</si>
  <si>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</si>
  <si>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</si>
  <si>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</si>
  <si>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</si>
  <si>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</si>
  <si>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</si>
  <si>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</si>
  <si>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</si>
  <si>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</si>
  <si>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</si>
  <si>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</si>
  <si>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</si>
  <si>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</si>
  <si>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</si>
  <si>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</si>
  <si>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</si>
  <si>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</si>
  <si>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</si>
  <si>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</si>
  <si>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</si>
  <si>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</si>
  <si>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</si>
  <si>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</si>
  <si>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</si>
  <si>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</si>
  <si>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</si>
  <si>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</si>
  <si>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</si>
  <si>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</si>
  <si>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</si>
  <si>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</si>
  <si>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</si>
  <si>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</si>
  <si>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</si>
  <si>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</si>
  <si>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</si>
  <si>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</si>
  <si>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</si>
  <si>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</si>
  <si>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</si>
  <si>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</si>
  <si>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</si>
  <si>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</si>
  <si>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</si>
  <si>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</si>
  <si>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</si>
  <si>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</si>
  <si>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</si>
  <si>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</si>
  <si>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</si>
  <si>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</si>
  <si>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</si>
  <si>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</si>
  <si>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</si>
  <si>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</si>
  <si>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</si>
  <si>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</si>
  <si>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</si>
  <si>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</si>
  <si>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</si>
  <si>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</si>
  <si>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</si>
  <si>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</si>
  <si>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</si>
  <si>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</si>
  <si>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</si>
  <si>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</si>
  <si>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</si>
  <si>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</si>
  <si>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</si>
  <si>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</si>
  <si>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</si>
  <si>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</si>
  <si>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</si>
  <si>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</si>
  <si>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</si>
  <si>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</si>
  <si>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</si>
  <si>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</si>
  <si>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</si>
  <si>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</si>
  <si>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</si>
  <si>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</si>
  <si>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</si>
  <si>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</si>
  <si>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</si>
  <si>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</si>
  <si>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</si>
  <si>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</si>
  <si>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</si>
  <si>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</si>
  <si>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</si>
  <si>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</si>
  <si>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</si>
  <si>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</si>
  <si>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</si>
  <si>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</si>
  <si>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</si>
  <si>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</si>
  <si>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</si>
  <si>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</si>
  <si>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</si>
  <si>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</si>
  <si>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</si>
  <si>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</si>
  <si>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</si>
  <si>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</si>
  <si>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</si>
  <si>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</si>
  <si>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</si>
  <si>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</si>
  <si>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</si>
  <si>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</si>
  <si>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</si>
  <si>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</si>
  <si>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</si>
  <si>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</si>
  <si>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</si>
  <si>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</si>
  <si>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</si>
  <si>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</si>
  <si>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</si>
  <si>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</si>
  <si>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</si>
  <si>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</si>
  <si>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</si>
  <si>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</si>
  <si>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</si>
  <si>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</si>
  <si>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</si>
  <si>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</si>
  <si>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</si>
  <si>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</si>
  <si>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</si>
  <si>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</si>
  <si>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</si>
  <si>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</si>
  <si>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</si>
  <si>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</si>
  <si>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</si>
  <si>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</si>
  <si>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</si>
  <si>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</si>
  <si>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</si>
  <si>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</si>
  <si>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</si>
  <si>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</si>
  <si>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</si>
  <si>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</si>
  <si>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</si>
  <si>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</si>
  <si>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</si>
  <si>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</si>
  <si>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</si>
  <si>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</si>
  <si>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</si>
  <si>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</si>
  <si>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</si>
  <si>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</si>
  <si>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</si>
  <si>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</si>
  <si>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</si>
  <si>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</si>
  <si>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</si>
  <si>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</si>
  <si>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</si>
  <si>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</si>
  <si>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</si>
  <si>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</si>
  <si>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</si>
  <si>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</si>
  <si>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</si>
  <si>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</si>
  <si>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</si>
  <si>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</si>
  <si>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</si>
  <si>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</si>
  <si>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</si>
  <si>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</si>
  <si>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</si>
  <si>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</si>
  <si>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</si>
  <si>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</si>
  <si>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</si>
  <si>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</si>
  <si>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</si>
  <si>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</si>
  <si>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</si>
  <si>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</si>
  <si>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</si>
  <si>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</si>
  <si>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</si>
  <si>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</si>
  <si>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</si>
  <si>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</si>
  <si>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</si>
  <si>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</si>
  <si>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</si>
  <si>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</si>
  <si>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</si>
  <si>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</si>
  <si>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</si>
  <si>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</si>
  <si>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</si>
  <si>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</si>
  <si>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</si>
  <si>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</si>
  <si>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</si>
  <si>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</si>
  <si>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</si>
  <si>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</si>
  <si>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</si>
  <si>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</si>
  <si>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</si>
  <si>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</si>
  <si>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</si>
  <si>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</si>
  <si>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</si>
  <si>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</si>
  <si>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</si>
  <si>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</si>
  <si>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</si>
  <si>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</si>
  <si>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</si>
  <si>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</si>
  <si>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</si>
  <si>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</si>
  <si>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</si>
  <si>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</si>
  <si>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</si>
  <si>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</si>
  <si>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</si>
  <si>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</si>
  <si>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</si>
  <si>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</si>
  <si>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</si>
  <si>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</si>
  <si>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</si>
  <si>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</si>
  <si>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</si>
  <si>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</si>
  <si>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</si>
  <si>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</si>
  <si>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</si>
  <si>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</si>
  <si>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</si>
  <si>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</si>
  <si>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</si>
  <si>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</si>
  <si>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</si>
  <si>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</si>
  <si>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</si>
  <si>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</si>
  <si>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</si>
  <si>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</si>
  <si>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</si>
  <si>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</si>
  <si>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</si>
  <si>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</si>
  <si>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</si>
  <si>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</si>
  <si>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</si>
  <si>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</si>
  <si>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</si>
  <si>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</si>
  <si>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</si>
  <si>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</si>
  <si>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</si>
  <si>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</si>
  <si>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</si>
  <si>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</si>
  <si>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</si>
  <si>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</si>
  <si>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</si>
  <si>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</si>
  <si>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</si>
  <si>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</si>
  <si>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</si>
  <si>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</si>
  <si>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</si>
  <si>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</si>
  <si>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</si>
  <si>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</si>
  <si>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</si>
  <si>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</si>
  <si>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</si>
  <si>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</si>
  <si>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</si>
  <si>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</si>
  <si>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</si>
  <si>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</si>
  <si>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</si>
  <si>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</si>
  <si>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</si>
  <si>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</si>
  <si>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</si>
  <si>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</si>
  <si>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</si>
  <si>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</si>
  <si>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</si>
  <si>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</si>
  <si>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</si>
  <si>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</si>
  <si>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</si>
  <si>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</si>
  <si>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</si>
  <si>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</si>
  <si>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</si>
  <si>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</si>
  <si>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</si>
  <si>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</si>
  <si>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</si>
  <si>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</si>
  <si>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</si>
  <si>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</si>
  <si>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</si>
  <si>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</si>
  <si>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</si>
  <si>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</si>
  <si>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</si>
  <si>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</si>
  <si>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</si>
  <si>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</si>
  <si>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</si>
  <si>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</si>
  <si>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</si>
  <si>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</si>
  <si>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</si>
  <si>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</si>
  <si>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</si>
  <si>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</si>
  <si>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</si>
  <si>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</si>
  <si>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</si>
  <si>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</si>
  <si>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</si>
  <si>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</si>
  <si>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</si>
  <si>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</si>
  <si>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</si>
  <si>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</si>
  <si>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</si>
  <si>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</si>
  <si>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</si>
  <si>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</si>
  <si>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</si>
  <si>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</si>
  <si>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</si>
  <si>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</si>
  <si>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</si>
  <si>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</si>
  <si>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</si>
  <si>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</si>
  <si>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</si>
  <si>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</si>
  <si>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</si>
  <si>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</si>
  <si>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</si>
  <si>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</si>
  <si>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</si>
  <si>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</si>
  <si>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</si>
  <si>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</si>
  <si>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</si>
  <si>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</si>
  <si>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</si>
  <si>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</si>
  <si>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</si>
  <si>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</si>
  <si>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</si>
  <si>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</si>
  <si>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</si>
  <si>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</si>
  <si>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</si>
  <si>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</si>
  <si>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</si>
  <si>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</si>
  <si>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</si>
  <si>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</si>
  <si>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</si>
  <si>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</si>
  <si>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</si>
  <si>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</si>
  <si>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</si>
  <si>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</si>
  <si>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</si>
  <si>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</si>
  <si>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</si>
  <si>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</si>
  <si>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</si>
  <si>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</si>
  <si>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</si>
  <si>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</si>
  <si>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</si>
  <si>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</si>
  <si>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</si>
  <si>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</si>
  <si>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</si>
  <si>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</si>
  <si>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</si>
  <si>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</si>
  <si>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</si>
  <si>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</si>
  <si>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</si>
  <si>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</si>
  <si>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</si>
  <si>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</si>
  <si>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</si>
  <si>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</si>
  <si>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</si>
  <si>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</si>
  <si>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</si>
  <si>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</si>
  <si>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</si>
  <si>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</si>
  <si>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</si>
  <si>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</si>
  <si>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</si>
  <si>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</si>
  <si>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</si>
  <si>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</si>
  <si>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</si>
  <si>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</si>
  <si>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</si>
  <si>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</si>
  <si>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</si>
  <si>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</si>
  <si>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</si>
  <si>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</si>
  <si>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</si>
  <si>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</si>
  <si>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</si>
  <si>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</si>
  <si>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</si>
  <si>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</si>
  <si>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</si>
  <si>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</si>
  <si>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</si>
  <si>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</si>
  <si>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</si>
  <si>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</si>
  <si>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</si>
  <si>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</si>
  <si>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</si>
  <si>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</si>
  <si>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</si>
  <si>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</si>
  <si>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</si>
  <si>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</si>
  <si>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</si>
  <si>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</si>
  <si>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</si>
  <si>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</si>
  <si>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</si>
  <si>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</si>
  <si>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</si>
  <si>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</si>
  <si>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</si>
  <si>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</si>
  <si>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</si>
  <si>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</si>
  <si>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</si>
  <si>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</si>
  <si>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</si>
  <si>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</si>
  <si>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</si>
  <si>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</si>
  <si>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</si>
  <si>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</si>
  <si>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</si>
  <si>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</si>
  <si>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</si>
  <si>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</si>
  <si>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</si>
  <si>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</si>
  <si>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</si>
  <si>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</si>
  <si>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</si>
  <si>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</si>
  <si>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</si>
  <si>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</si>
  <si>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</si>
  <si>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</si>
  <si>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</si>
  <si>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</si>
  <si>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</si>
  <si>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</si>
  <si>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</si>
  <si>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</si>
  <si>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</si>
  <si>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</si>
  <si>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</si>
  <si>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</si>
  <si>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</si>
  <si>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</si>
  <si>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</si>
  <si>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</si>
  <si>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</si>
  <si>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</si>
  <si>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</si>
  <si>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</si>
  <si>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</si>
  <si>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</si>
  <si>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</si>
  <si>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</si>
  <si>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</si>
  <si>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</si>
  <si>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</si>
  <si>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</si>
  <si>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</si>
  <si>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</si>
  <si>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</si>
  <si>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</si>
  <si>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</si>
  <si>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</si>
  <si>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</si>
  <si>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</si>
  <si>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</si>
  <si>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</si>
  <si>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</si>
  <si>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</si>
  <si>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</si>
  <si>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</si>
  <si>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</si>
  <si>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</si>
  <si>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</si>
  <si>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</si>
  <si>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</si>
  <si>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</si>
  <si>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</si>
  <si>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</si>
  <si>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</si>
  <si>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</si>
  <si>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</si>
  <si>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</si>
  <si>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</si>
  <si>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</si>
  <si>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</si>
  <si>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</si>
  <si>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</si>
  <si>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</si>
  <si>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</si>
  <si>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</si>
  <si>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</si>
  <si>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</si>
  <si>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</si>
  <si>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</si>
  <si>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</si>
  <si>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</si>
  <si>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</si>
  <si>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</si>
  <si>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</si>
  <si>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</si>
  <si>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</si>
  <si>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</si>
  <si>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</si>
  <si>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</si>
  <si>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</si>
  <si>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</si>
  <si>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</si>
  <si>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</si>
  <si>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</si>
  <si>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</si>
  <si>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</si>
  <si>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</si>
  <si>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</si>
  <si>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</si>
  <si>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</si>
  <si>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</si>
  <si>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</si>
  <si>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</si>
  <si>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</si>
  <si>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</si>
  <si>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</si>
  <si>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</si>
  <si>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</si>
  <si>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</si>
  <si>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</si>
  <si>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</si>
  <si>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</si>
  <si>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</si>
  <si>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</si>
  <si>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</si>
  <si>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</si>
  <si>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</si>
  <si>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</si>
  <si>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</si>
  <si>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</si>
  <si>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</si>
  <si>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</si>
  <si>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</si>
  <si>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</si>
  <si>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</si>
  <si>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</si>
  <si>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</si>
  <si>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</si>
  <si>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</si>
  <si>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</si>
  <si>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</si>
  <si>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April 2010</t>
  </si>
  <si>
    <t>April 2024</t>
  </si>
  <si>
    <t xml:space="preserve">Food Service expenditures under ESSR Grant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</si>
</sst>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0" zoomScale="125" zoomScaleNormal="125" workbookViewId="0">
      <selection activeCell="F667" sqref="F667"/>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1399</v>
      </c>
      <c r="B2">
        <f>INDEX('School Tables'!$AH$3:$AH$209,MATCH('DOE25'!A2,'School Tables'!$AJ$3:$AJ$209,0))</f>
        <v>485</v>
      </c>
      <c r="C2">
        <f>INDEX('School Tables'!$AI$3:$AI$209,MATCH('DOE25'!A2,'School Tables'!$AJ$3:$AJ$209,0))</f>
        <v>485</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v>74366.7</v>
      </c>
      <c r="G9" s="18"/>
      <c r="H9" s="18"/>
      <c r="I9" s="18"/>
      <c r="J9" s="13">
        <f>SUM(I440)</f>
        <v>0</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503428.61</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v>23912</v>
      </c>
      <c r="G12" s="18">
        <v>291326.83</v>
      </c>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24264.37</v>
      </c>
      <c r="G13" s="18"/>
      <c r="H13" s="18">
        <v>318230.86</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8845.11</v>
      </c>
      <c r="G14" s="18"/>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v>8564.98</v>
      </c>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v>49969</v>
      </c>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181357.18</v>
      </c>
      <c r="G19" s="38">
        <f>SUM(G9:G18)</f>
        <v>299891.81</v>
      </c>
      <c r="H19" s="38">
        <f>SUM(H9:H18)</f>
        <v>318230.86</v>
      </c>
      <c r="I19" s="38">
        <f>SUM(I9:I18)</f>
        <v>0</v>
      </c>
      <c r="J19" s="38">
        <f>SUM(J9:J18)</f>
        <v>503428.61</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c r="G22" s="18"/>
      <c r="H22" s="18">
        <f>315239.18-0.03</f>
        <v>315239.14999999997</v>
      </c>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v>84338.8</v>
      </c>
      <c r="G24" s="18">
        <v>84.61</v>
      </c>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f>31713.23+2237.22+3733.45</f>
        <v>37683.899999999994</v>
      </c>
      <c r="G28" s="18">
        <v>439.01</v>
      </c>
      <c r="H28" s="18">
        <f>2549.36+154.54+287.81</f>
        <v>2991.71</v>
      </c>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v>4613.47</v>
      </c>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122022.7</v>
      </c>
      <c r="G32" s="38">
        <f>SUM(G22:G31)</f>
        <v>5137.09</v>
      </c>
      <c r="H32" s="38">
        <f>SUM(H22:H31)</f>
        <v>318230.86</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v>8564.98</v>
      </c>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f>286189+0.74</f>
        <v>286189.74</v>
      </c>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3765.38</v>
      </c>
      <c r="G48" s="18"/>
      <c r="H48" s="18"/>
      <c r="I48" s="18"/>
      <c r="J48" s="13">
        <f>SUM(I460)</f>
        <v>503428.61</v>
      </c>
      <c r="K48" s="23" t="s">
        <v>288</v>
      </c>
      <c r="L48" s="23" t="s">
        <v>288</v>
      </c>
      <c r="M48" s="8"/>
      <c r="N48" s="165"/>
    </row>
    <row r="49" spans="1:14" s="3" customFormat="1" ht="12.4" customHeight="1" x14ac:dyDescent="0.15">
      <c r="A49" s="1" t="s">
        <v>858</v>
      </c>
      <c r="B49" s="2" t="s">
        <v>289</v>
      </c>
      <c r="C49" s="6">
        <v>34</v>
      </c>
      <c r="D49" s="2"/>
      <c r="E49" s="6">
        <v>753</v>
      </c>
      <c r="F49" s="18">
        <v>48984.79</v>
      </c>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f>6585-0.69</f>
        <v>6584.31</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59334.479999999996</v>
      </c>
      <c r="G51" s="38">
        <f>SUM(G35:G50)</f>
        <v>294754.71999999997</v>
      </c>
      <c r="H51" s="38">
        <f>SUM(H35:H50)</f>
        <v>0</v>
      </c>
      <c r="I51" s="38">
        <f>SUM(I35:I50)</f>
        <v>0</v>
      </c>
      <c r="J51" s="38">
        <f>SUM(J35:J50)</f>
        <v>503428.61</v>
      </c>
      <c r="K51" s="42" t="s">
        <v>288</v>
      </c>
      <c r="L51" s="42" t="s">
        <v>288</v>
      </c>
      <c r="N51" s="131"/>
    </row>
    <row r="52" spans="1:14" s="3" customFormat="1" ht="12.4" customHeight="1" thickTop="1" x14ac:dyDescent="0.15">
      <c r="A52" s="35" t="s">
        <v>455</v>
      </c>
      <c r="B52" s="36" t="s">
        <v>289</v>
      </c>
      <c r="C52" s="6">
        <v>37</v>
      </c>
      <c r="D52" s="36" t="s">
        <v>653</v>
      </c>
      <c r="E52" s="36"/>
      <c r="F52" s="38">
        <f>F51+F32</f>
        <v>181357.18</v>
      </c>
      <c r="G52" s="38">
        <f>G51+G32</f>
        <v>299891.81</v>
      </c>
      <c r="H52" s="38">
        <f>H51+H32</f>
        <v>318230.86</v>
      </c>
      <c r="I52" s="38">
        <f>I51+I32</f>
        <v>0</v>
      </c>
      <c r="J52" s="38">
        <f>J51+J32</f>
        <v>503428.61</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11699175</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11699175</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38808.26</v>
      </c>
      <c r="G96" s="18"/>
      <c r="H96" s="18"/>
      <c r="I96" s="18"/>
      <c r="J96" s="18">
        <v>16679.27</v>
      </c>
      <c r="K96" s="23" t="s">
        <v>288</v>
      </c>
      <c r="L96" s="23" t="s">
        <v>288</v>
      </c>
      <c r="M96" s="8"/>
      <c r="N96" s="165"/>
    </row>
    <row r="97" spans="1:14" s="3" customFormat="1" ht="12.4" customHeight="1" x14ac:dyDescent="0.15">
      <c r="A97" s="1" t="s">
        <v>503</v>
      </c>
      <c r="B97" s="2" t="s">
        <v>315</v>
      </c>
      <c r="C97" s="6">
        <v>12</v>
      </c>
      <c r="D97" s="2" t="s">
        <v>430</v>
      </c>
      <c r="E97" s="6">
        <v>1600</v>
      </c>
      <c r="F97" s="23" t="s">
        <v>288</v>
      </c>
      <c r="G97" s="18">
        <v>78131.990000000005</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v>8340</v>
      </c>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3255.78+18477.37</f>
        <v>21733.149999999998</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68881.41</v>
      </c>
      <c r="G111" s="38">
        <f>SUM(G96:G110)</f>
        <v>78131.990000000005</v>
      </c>
      <c r="H111" s="38">
        <f>SUM(H96:H110)</f>
        <v>0</v>
      </c>
      <c r="I111" s="38">
        <f>SUM(I96:I110)</f>
        <v>0</v>
      </c>
      <c r="J111" s="38">
        <f>SUM(J96:J110)</f>
        <v>16679.27</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11768056.41</v>
      </c>
      <c r="G112" s="38">
        <f>G60+G111</f>
        <v>78131.990000000005</v>
      </c>
      <c r="H112" s="38">
        <f>H60+H79+H94+H111</f>
        <v>0</v>
      </c>
      <c r="I112" s="38">
        <f>I60+I111</f>
        <v>0</v>
      </c>
      <c r="J112" s="38">
        <f>J60+J111</f>
        <v>16679.27</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1753307.47</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1620102</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v>101012.44</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3474421.9099999997</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v>42701.86</v>
      </c>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75188.539999999994</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4680.6499999999996</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117890.4</v>
      </c>
      <c r="G136" s="38">
        <f>SUM(G123:G135)</f>
        <v>4680.6499999999996</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3592312.3099999996</v>
      </c>
      <c r="G140" s="38">
        <f>G121+SUM(G136:G137)</f>
        <v>4680.6499999999996</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435397.97</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116396.05</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f>280591.24+39367.68</f>
        <v>319958.92</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188499.14</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59894.93</v>
      </c>
      <c r="G160" s="23" t="s">
        <v>288</v>
      </c>
      <c r="H160" s="18">
        <v>8402.52</v>
      </c>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v>1091410.52</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59894.93</v>
      </c>
      <c r="G163" s="38">
        <f>SUM(G150:G162)</f>
        <v>319958.92</v>
      </c>
      <c r="H163" s="38">
        <f>SUM(H150:H162)</f>
        <v>1840106.2000000002</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v>35243.9</v>
      </c>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59894.93</v>
      </c>
      <c r="G170" s="38">
        <f>G147+G163+SUM(G164:G169)</f>
        <v>355202.82</v>
      </c>
      <c r="H170" s="38">
        <f>H147+H163+SUM(H164:H169)</f>
        <v>1840106.2000000002</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v>9619</v>
      </c>
      <c r="H180" s="18"/>
      <c r="I180" s="18"/>
      <c r="J180" s="18"/>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9619</v>
      </c>
      <c r="H184" s="38">
        <f>SUM(H180:H183)</f>
        <v>0</v>
      </c>
      <c r="I184" s="38">
        <f>SUM(I180:I183)</f>
        <v>0</v>
      </c>
      <c r="J184" s="38">
        <f>SUM(J180:J183)</f>
        <v>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9619</v>
      </c>
      <c r="H193" s="38">
        <f>+H184+SUM(H189:H192)</f>
        <v>0</v>
      </c>
      <c r="I193" s="38">
        <f>I178+I184+SUM(I189:I192)</f>
        <v>0</v>
      </c>
      <c r="J193" s="38">
        <f>J184</f>
        <v>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15420263.649999999</v>
      </c>
      <c r="G194" s="38">
        <f>G112+G140+G170+G193</f>
        <v>447634.46</v>
      </c>
      <c r="H194" s="38">
        <f>H112+H140+H170+H193</f>
        <v>1840106.2000000002</v>
      </c>
      <c r="I194" s="38">
        <f>I112+I140+I170+I193</f>
        <v>0</v>
      </c>
      <c r="J194" s="38">
        <f>J112+J140+J193</f>
        <v>16679.27</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v>4558385.6500000004</v>
      </c>
      <c r="G198" s="18">
        <v>2348971.38</v>
      </c>
      <c r="H198" s="18">
        <v>24765.24</v>
      </c>
      <c r="I198" s="18">
        <f>84459.49+1011.05-0.88</f>
        <v>85469.66</v>
      </c>
      <c r="J198" s="18">
        <f>5409.71+1540.73</f>
        <v>6950.4400000000005</v>
      </c>
      <c r="K198" s="18"/>
      <c r="L198" s="13">
        <f>SUM(F198:K198)</f>
        <v>7024542.370000001</v>
      </c>
      <c r="M198" s="8"/>
      <c r="N198" s="165"/>
    </row>
    <row r="199" spans="1:14" s="3" customFormat="1" ht="12.4" customHeight="1" x14ac:dyDescent="0.15">
      <c r="A199" s="1" t="s">
        <v>439</v>
      </c>
      <c r="B199" s="2" t="s">
        <v>341</v>
      </c>
      <c r="C199" s="2" t="s">
        <v>291</v>
      </c>
      <c r="D199" s="2" t="s">
        <v>431</v>
      </c>
      <c r="E199" s="6">
        <v>1200</v>
      </c>
      <c r="F199" s="18">
        <v>1782021.53</v>
      </c>
      <c r="G199" s="18">
        <v>598106.53</v>
      </c>
      <c r="H199" s="18">
        <v>915176.86</v>
      </c>
      <c r="I199" s="18">
        <v>3105.06</v>
      </c>
      <c r="J199" s="18">
        <v>4537.8500000000004</v>
      </c>
      <c r="K199" s="18">
        <v>755</v>
      </c>
      <c r="L199" s="13">
        <f>SUM(F199:K199)</f>
        <v>3303702.83</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f>45104+2400</f>
        <v>47504</v>
      </c>
      <c r="G201" s="18">
        <v>3653.42</v>
      </c>
      <c r="H201" s="18">
        <v>2500</v>
      </c>
      <c r="I201" s="18">
        <f>5931.08+3376.87</f>
        <v>9307.9500000000007</v>
      </c>
      <c r="J201" s="18">
        <v>593.88</v>
      </c>
      <c r="K201" s="18">
        <v>8500</v>
      </c>
      <c r="L201" s="13">
        <f>SUM(F201:K201)</f>
        <v>72059.25</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178792+149986+241346.94</f>
        <v>570124.93999999994</v>
      </c>
      <c r="G203" s="18">
        <v>264972.86</v>
      </c>
      <c r="H203" s="18">
        <v>691</v>
      </c>
      <c r="I203" s="18">
        <v>2871.25</v>
      </c>
      <c r="J203" s="18">
        <v>3532</v>
      </c>
      <c r="K203" s="18"/>
      <c r="L203" s="13">
        <f t="shared" ref="L203:L209" si="0">SUM(F203:K203)</f>
        <v>842192.04999999993</v>
      </c>
      <c r="M203" s="8"/>
      <c r="N203" s="165"/>
    </row>
    <row r="204" spans="1:14" s="3" customFormat="1" ht="12.4" customHeight="1" x14ac:dyDescent="0.15">
      <c r="A204" s="1" t="s">
        <v>443</v>
      </c>
      <c r="B204" s="2" t="s">
        <v>341</v>
      </c>
      <c r="C204" s="2" t="s">
        <v>295</v>
      </c>
      <c r="D204" s="2" t="s">
        <v>431</v>
      </c>
      <c r="E204" s="6">
        <v>2200</v>
      </c>
      <c r="F204" s="18">
        <f>97747+179153+195947.5</f>
        <v>472847.5</v>
      </c>
      <c r="G204" s="18">
        <f>15336.1+211311.25</f>
        <v>226647.35</v>
      </c>
      <c r="H204" s="18">
        <f>25113.59+1829.9+86702.25</f>
        <v>113645.74</v>
      </c>
      <c r="I204" s="18">
        <f>1327.7+14130.98+83168.87+1010.08</f>
        <v>99637.62999999999</v>
      </c>
      <c r="J204" s="18">
        <v>59045.16</v>
      </c>
      <c r="K204" s="18"/>
      <c r="L204" s="13">
        <f t="shared" si="0"/>
        <v>971823.38</v>
      </c>
      <c r="M204" s="8"/>
      <c r="N204" s="165"/>
    </row>
    <row r="205" spans="1:14" s="3" customFormat="1" ht="12.4" customHeight="1" x14ac:dyDescent="0.15">
      <c r="A205" s="1" t="s">
        <v>444</v>
      </c>
      <c r="B205" s="2" t="s">
        <v>341</v>
      </c>
      <c r="C205" s="2" t="s">
        <v>296</v>
      </c>
      <c r="D205" s="2" t="s">
        <v>431</v>
      </c>
      <c r="E205" s="6">
        <v>2300</v>
      </c>
      <c r="F205" s="18">
        <v>27385</v>
      </c>
      <c r="G205" s="18">
        <v>2218.19</v>
      </c>
      <c r="H205" s="18">
        <f>27144.41+633475</f>
        <v>660619.41</v>
      </c>
      <c r="I205" s="18"/>
      <c r="J205" s="18"/>
      <c r="K205" s="18">
        <v>7897.04</v>
      </c>
      <c r="L205" s="13">
        <f t="shared" si="0"/>
        <v>698119.64</v>
      </c>
      <c r="M205" s="8"/>
      <c r="N205" s="165"/>
    </row>
    <row r="206" spans="1:14" s="3" customFormat="1" ht="12.4" customHeight="1" x14ac:dyDescent="0.15">
      <c r="A206" s="1" t="s">
        <v>445</v>
      </c>
      <c r="B206" s="2" t="s">
        <v>341</v>
      </c>
      <c r="C206" s="2" t="s">
        <v>297</v>
      </c>
      <c r="D206" s="2" t="s">
        <v>431</v>
      </c>
      <c r="E206" s="6">
        <v>2400</v>
      </c>
      <c r="F206" s="18">
        <v>604751.51</v>
      </c>
      <c r="G206" s="18">
        <v>225940.46</v>
      </c>
      <c r="H206" s="18">
        <v>5240.6000000000004</v>
      </c>
      <c r="I206" s="18">
        <v>1474.53</v>
      </c>
      <c r="J206" s="18"/>
      <c r="K206" s="18">
        <v>5710.51</v>
      </c>
      <c r="L206" s="13">
        <f t="shared" si="0"/>
        <v>843117.61</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v>479655.95</v>
      </c>
      <c r="G208" s="18">
        <v>165175.78</v>
      </c>
      <c r="H208" s="18">
        <f>135279.73+59852.36+3374.2</f>
        <v>198506.29000000004</v>
      </c>
      <c r="I208" s="18">
        <f>209504.39+5597.78</f>
        <v>215102.17</v>
      </c>
      <c r="J208" s="18">
        <v>27608.12</v>
      </c>
      <c r="K208" s="18"/>
      <c r="L208" s="13">
        <f t="shared" si="0"/>
        <v>1086048.31</v>
      </c>
      <c r="M208" s="8"/>
      <c r="N208" s="165"/>
    </row>
    <row r="209" spans="1:14" s="3" customFormat="1" ht="12.4" customHeight="1" x14ac:dyDescent="0.15">
      <c r="A209" s="1" t="s">
        <v>448</v>
      </c>
      <c r="B209" s="2" t="s">
        <v>341</v>
      </c>
      <c r="C209" s="2" t="s">
        <v>300</v>
      </c>
      <c r="D209" s="2" t="s">
        <v>431</v>
      </c>
      <c r="E209" s="6">
        <v>2700</v>
      </c>
      <c r="F209" s="18"/>
      <c r="G209" s="18"/>
      <c r="H209" s="18">
        <f>676270.67+135142.24+8276.98+6816.57+11449.15</f>
        <v>837955.61</v>
      </c>
      <c r="I209" s="18"/>
      <c r="J209" s="18"/>
      <c r="K209" s="18"/>
      <c r="L209" s="13">
        <f t="shared" si="0"/>
        <v>837955.61</v>
      </c>
      <c r="M209" s="8"/>
      <c r="N209" s="165"/>
    </row>
    <row r="210" spans="1:14" s="3" customFormat="1" ht="12.4" customHeight="1" x14ac:dyDescent="0.15">
      <c r="A210" s="1" t="s">
        <v>449</v>
      </c>
      <c r="B210" s="2" t="s">
        <v>341</v>
      </c>
      <c r="C210" s="2" t="s">
        <v>343</v>
      </c>
      <c r="D210" s="2" t="s">
        <v>431</v>
      </c>
      <c r="E210" s="6">
        <v>2800</v>
      </c>
      <c r="F210" s="18"/>
      <c r="G210" s="18">
        <v>5724.84</v>
      </c>
      <c r="H210" s="18"/>
      <c r="I210" s="18"/>
      <c r="J210" s="18"/>
      <c r="K210" s="18">
        <v>1772.75</v>
      </c>
      <c r="L210" s="13">
        <f>SUM(F210:K210)</f>
        <v>7497.59</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8542676.0800000001</v>
      </c>
      <c r="G212" s="38">
        <f t="shared" si="1"/>
        <v>3841410.8099999996</v>
      </c>
      <c r="H212" s="38">
        <f t="shared" si="1"/>
        <v>2759100.75</v>
      </c>
      <c r="I212" s="38">
        <f t="shared" si="1"/>
        <v>416968.25</v>
      </c>
      <c r="J212" s="38">
        <f t="shared" si="1"/>
        <v>102267.45</v>
      </c>
      <c r="K212" s="38">
        <f t="shared" si="1"/>
        <v>24635.300000000003</v>
      </c>
      <c r="L212" s="38">
        <f t="shared" si="1"/>
        <v>15687058.640000002</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4"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v>1079</v>
      </c>
      <c r="K254" s="18"/>
      <c r="L254" s="13">
        <f t="shared" si="6"/>
        <v>1079</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1079</v>
      </c>
      <c r="K257" s="38">
        <f t="shared" si="7"/>
        <v>0</v>
      </c>
      <c r="L257" s="38">
        <f>SUM(F257:K257)</f>
        <v>1079</v>
      </c>
      <c r="M257" s="8"/>
      <c r="N257" s="165"/>
    </row>
    <row r="258" spans="1:14" s="3" customFormat="1" ht="12.4" customHeight="1" thickTop="1" x14ac:dyDescent="0.15">
      <c r="A258" s="35" t="s">
        <v>462</v>
      </c>
      <c r="B258" s="37">
        <v>10</v>
      </c>
      <c r="C258" s="37">
        <v>8</v>
      </c>
      <c r="D258" s="36" t="s">
        <v>431</v>
      </c>
      <c r="E258" s="37"/>
      <c r="F258" s="38">
        <f t="shared" ref="F258:L258" si="8">F212+F230+F248+F257</f>
        <v>8542676.0800000001</v>
      </c>
      <c r="G258" s="38">
        <f t="shared" si="8"/>
        <v>3841410.8099999996</v>
      </c>
      <c r="H258" s="38">
        <f t="shared" si="8"/>
        <v>2759100.75</v>
      </c>
      <c r="I258" s="38">
        <f t="shared" si="8"/>
        <v>416968.25</v>
      </c>
      <c r="J258" s="38">
        <f t="shared" si="8"/>
        <v>103346.45</v>
      </c>
      <c r="K258" s="38">
        <f t="shared" si="8"/>
        <v>24635.300000000003</v>
      </c>
      <c r="L258" s="38">
        <f t="shared" si="8"/>
        <v>15688137.640000002</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138672.87</v>
      </c>
      <c r="L261" s="13">
        <f>SUM(F261:K261)</f>
        <v>138672.87</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5611.69</v>
      </c>
      <c r="L262" s="13">
        <f>SUM(F262:K262)</f>
        <v>5611.69</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9619</v>
      </c>
      <c r="L264" s="13">
        <f>SUM(F264:K264)</f>
        <v>9619</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153903.56</v>
      </c>
      <c r="L271" s="38">
        <f t="shared" si="9"/>
        <v>153903.56</v>
      </c>
      <c r="M271" s="8"/>
      <c r="N271" s="165"/>
    </row>
    <row r="272" spans="1:14" s="33" customFormat="1" ht="12.4" customHeight="1" thickTop="1" x14ac:dyDescent="0.2">
      <c r="A272" s="40" t="s">
        <v>464</v>
      </c>
      <c r="B272" s="37">
        <v>10</v>
      </c>
      <c r="C272" s="37">
        <v>18</v>
      </c>
      <c r="D272" s="36" t="s">
        <v>431</v>
      </c>
      <c r="E272" s="37"/>
      <c r="F272" s="39">
        <f t="shared" ref="F272:L272" si="11">F258+F271</f>
        <v>8542676.0800000001</v>
      </c>
      <c r="G272" s="39">
        <f t="shared" si="11"/>
        <v>3841410.8099999996</v>
      </c>
      <c r="H272" s="39">
        <f t="shared" si="11"/>
        <v>2759100.75</v>
      </c>
      <c r="I272" s="39">
        <f t="shared" si="11"/>
        <v>416968.25</v>
      </c>
      <c r="J272" s="39">
        <f t="shared" si="11"/>
        <v>103346.45</v>
      </c>
      <c r="K272" s="39">
        <f t="shared" si="11"/>
        <v>178538.86</v>
      </c>
      <c r="L272" s="39">
        <f t="shared" si="11"/>
        <v>15842041.200000003</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v>415728.53</v>
      </c>
      <c r="G277" s="18">
        <v>143577.38</v>
      </c>
      <c r="H277" s="18">
        <v>26620</v>
      </c>
      <c r="I277" s="18">
        <v>197415.06</v>
      </c>
      <c r="J277" s="18">
        <v>4931.68</v>
      </c>
      <c r="K277" s="18"/>
      <c r="L277" s="13">
        <f>SUM(F277:K277)</f>
        <v>788272.65</v>
      </c>
      <c r="M277" s="8"/>
      <c r="N277" s="165"/>
    </row>
    <row r="278" spans="1:14" s="3" customFormat="1" ht="12.4" customHeight="1" x14ac:dyDescent="0.15">
      <c r="A278" s="1" t="s">
        <v>439</v>
      </c>
      <c r="B278" s="2" t="s">
        <v>357</v>
      </c>
      <c r="C278" s="2" t="s">
        <v>291</v>
      </c>
      <c r="D278" s="2" t="s">
        <v>431</v>
      </c>
      <c r="E278" s="6">
        <v>1200</v>
      </c>
      <c r="F278" s="18">
        <v>86820.95</v>
      </c>
      <c r="G278" s="18">
        <v>52282.61</v>
      </c>
      <c r="H278" s="18">
        <v>119622.3</v>
      </c>
      <c r="I278" s="18">
        <v>27647.85</v>
      </c>
      <c r="J278" s="18"/>
      <c r="K278" s="18"/>
      <c r="L278" s="13">
        <f>SUM(F278:K278)</f>
        <v>286373.70999999996</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f>1968+50450</f>
        <v>52418</v>
      </c>
      <c r="G280" s="18">
        <f>564.23+11042.47</f>
        <v>11606.699999999999</v>
      </c>
      <c r="H280" s="18">
        <v>7500</v>
      </c>
      <c r="I280" s="18">
        <v>4072</v>
      </c>
      <c r="J280" s="18"/>
      <c r="K280" s="18"/>
      <c r="L280" s="13">
        <f>SUM(F280:K280)</f>
        <v>75596.7</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v>83165</v>
      </c>
      <c r="G282" s="18">
        <v>51067.08</v>
      </c>
      <c r="H282" s="18">
        <v>12500</v>
      </c>
      <c r="I282" s="18"/>
      <c r="J282" s="18"/>
      <c r="K282" s="18"/>
      <c r="L282" s="13">
        <f t="shared" ref="L282:L288" si="12">SUM(F282:K282)</f>
        <v>146732.08000000002</v>
      </c>
      <c r="M282" s="8"/>
      <c r="N282" s="165"/>
    </row>
    <row r="283" spans="1:14" s="3" customFormat="1" ht="12.4" customHeight="1" x14ac:dyDescent="0.15">
      <c r="A283" s="1" t="s">
        <v>443</v>
      </c>
      <c r="B283" s="2" t="s">
        <v>357</v>
      </c>
      <c r="C283" s="2" t="s">
        <v>295</v>
      </c>
      <c r="D283" s="2" t="s">
        <v>431</v>
      </c>
      <c r="E283" s="6">
        <v>2200</v>
      </c>
      <c r="F283" s="18">
        <v>12300</v>
      </c>
      <c r="G283" s="18">
        <v>3526.39</v>
      </c>
      <c r="H283" s="18">
        <f>112400.63+52500</f>
        <v>164900.63</v>
      </c>
      <c r="I283" s="18"/>
      <c r="J283" s="18">
        <v>81658</v>
      </c>
      <c r="K283" s="18"/>
      <c r="L283" s="13">
        <f t="shared" si="12"/>
        <v>262385.02</v>
      </c>
      <c r="M283" s="8"/>
      <c r="N283" s="165"/>
    </row>
    <row r="284" spans="1:14" s="3" customFormat="1" ht="12.4" customHeight="1" x14ac:dyDescent="0.15">
      <c r="A284" s="1" t="s">
        <v>444</v>
      </c>
      <c r="B284" s="2" t="s">
        <v>357</v>
      </c>
      <c r="C284" s="2" t="s">
        <v>296</v>
      </c>
      <c r="D284" s="2" t="s">
        <v>431</v>
      </c>
      <c r="E284" s="6">
        <v>2300</v>
      </c>
      <c r="F284" s="18">
        <v>500</v>
      </c>
      <c r="G284" s="18">
        <v>143.35</v>
      </c>
      <c r="H284" s="18"/>
      <c r="I284" s="18">
        <f>35571.08+39817.53+919.95</f>
        <v>76308.56</v>
      </c>
      <c r="J284" s="18"/>
      <c r="K284" s="18">
        <v>38911.31</v>
      </c>
      <c r="L284" s="13">
        <f t="shared" si="12"/>
        <v>115863.22</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v>19931</v>
      </c>
      <c r="I287" s="18"/>
      <c r="J287" s="18">
        <v>114316.86</v>
      </c>
      <c r="K287" s="18"/>
      <c r="L287" s="13">
        <f t="shared" si="12"/>
        <v>134247.85999999999</v>
      </c>
      <c r="M287" s="8"/>
      <c r="N287" s="165"/>
    </row>
    <row r="288" spans="1:14" s="3" customFormat="1" ht="12.4" customHeight="1" x14ac:dyDescent="0.15">
      <c r="A288" s="1" t="s">
        <v>448</v>
      </c>
      <c r="B288" s="2" t="s">
        <v>357</v>
      </c>
      <c r="C288" s="2" t="s">
        <v>300</v>
      </c>
      <c r="D288" s="2" t="s">
        <v>431</v>
      </c>
      <c r="E288" s="6">
        <v>2700</v>
      </c>
      <c r="F288" s="18"/>
      <c r="G288" s="18"/>
      <c r="H288" s="18">
        <v>16033</v>
      </c>
      <c r="I288" s="18"/>
      <c r="J288" s="18"/>
      <c r="K288" s="18"/>
      <c r="L288" s="13">
        <f t="shared" si="12"/>
        <v>16033</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650932.47999999998</v>
      </c>
      <c r="G291" s="39">
        <f t="shared" si="13"/>
        <v>262203.51</v>
      </c>
      <c r="H291" s="39">
        <f t="shared" si="13"/>
        <v>367106.93</v>
      </c>
      <c r="I291" s="39">
        <f t="shared" si="13"/>
        <v>305443.46999999997</v>
      </c>
      <c r="J291" s="39">
        <f t="shared" si="13"/>
        <v>200906.53999999998</v>
      </c>
      <c r="K291" s="39">
        <f t="shared" si="13"/>
        <v>38911.31</v>
      </c>
      <c r="L291" s="38">
        <f t="shared" si="13"/>
        <v>1825504.2399999998</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v>11760.03</v>
      </c>
      <c r="J333" s="18"/>
      <c r="K333" s="18"/>
      <c r="L333" s="13">
        <f t="shared" ref="L333:L338" si="18">SUM(F333:K333)</f>
        <v>11760.03</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11760.03</v>
      </c>
      <c r="J338" s="38">
        <f t="shared" si="19"/>
        <v>0</v>
      </c>
      <c r="K338" s="38">
        <f t="shared" si="19"/>
        <v>0</v>
      </c>
      <c r="L338" s="38">
        <f t="shared" si="18"/>
        <v>11760.03</v>
      </c>
      <c r="M338" s="8"/>
      <c r="N338" s="165"/>
    </row>
    <row r="339" spans="1:43" s="3" customFormat="1" ht="12.4" customHeight="1" thickTop="1" x14ac:dyDescent="0.15">
      <c r="A339" s="35" t="s">
        <v>468</v>
      </c>
      <c r="B339" s="37">
        <v>14</v>
      </c>
      <c r="C339" s="37">
        <v>7</v>
      </c>
      <c r="D339" s="36" t="s">
        <v>431</v>
      </c>
      <c r="E339" s="37"/>
      <c r="F339" s="38">
        <f t="shared" ref="F339:L339" si="20">F291+F310+F329+F338</f>
        <v>650932.47999999998</v>
      </c>
      <c r="G339" s="38">
        <f t="shared" si="20"/>
        <v>262203.51</v>
      </c>
      <c r="H339" s="38">
        <f t="shared" si="20"/>
        <v>367106.93</v>
      </c>
      <c r="I339" s="38">
        <f t="shared" si="20"/>
        <v>317203.5</v>
      </c>
      <c r="J339" s="38">
        <f t="shared" si="20"/>
        <v>200906.53999999998</v>
      </c>
      <c r="K339" s="38">
        <f t="shared" si="20"/>
        <v>38911.31</v>
      </c>
      <c r="L339" s="38">
        <f t="shared" si="20"/>
        <v>1837264.2699999998</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650932.47999999998</v>
      </c>
      <c r="G353" s="38">
        <f>G339</f>
        <v>262203.51</v>
      </c>
      <c r="H353" s="38">
        <f>H339</f>
        <v>367106.93</v>
      </c>
      <c r="I353" s="38">
        <f>I339</f>
        <v>317203.5</v>
      </c>
      <c r="J353" s="38">
        <f>J339</f>
        <v>200906.53999999998</v>
      </c>
      <c r="K353" s="38">
        <f>K339+K352</f>
        <v>38911.31</v>
      </c>
      <c r="L353" s="38">
        <f>L339+L352</f>
        <v>1837264.2699999998</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v>192472.84</v>
      </c>
      <c r="G359" s="18">
        <v>55292.9</v>
      </c>
      <c r="H359" s="18">
        <v>6107.23</v>
      </c>
      <c r="I359" s="18">
        <v>198934.88</v>
      </c>
      <c r="J359" s="18">
        <v>9642.1200000000008</v>
      </c>
      <c r="K359" s="18">
        <f>1643.19+0.13</f>
        <v>1643.3200000000002</v>
      </c>
      <c r="L359" s="13">
        <f>SUM(F359:K359)</f>
        <v>464093.29</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192472.84</v>
      </c>
      <c r="G363" s="38">
        <f t="shared" si="22"/>
        <v>55292.9</v>
      </c>
      <c r="H363" s="38">
        <f t="shared" si="22"/>
        <v>6107.23</v>
      </c>
      <c r="I363" s="38">
        <f t="shared" si="22"/>
        <v>198934.88</v>
      </c>
      <c r="J363" s="38">
        <f t="shared" si="22"/>
        <v>9642.1200000000008</v>
      </c>
      <c r="K363" s="38">
        <f t="shared" si="22"/>
        <v>1643.3200000000002</v>
      </c>
      <c r="L363" s="38">
        <f t="shared" si="22"/>
        <v>464093.29</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f>119340.94+35243.9+24992.7</f>
        <v>179577.54</v>
      </c>
      <c r="G368" s="18"/>
      <c r="H368" s="18"/>
      <c r="I368" s="13">
        <f>SUM(F368:H368)</f>
        <v>179577.54</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f>14453.62+2168.52+2735.2</f>
        <v>19357.34</v>
      </c>
      <c r="G369" s="53"/>
      <c r="H369" s="53"/>
      <c r="I369" s="13">
        <f>SUM(F369:H369)</f>
        <v>19357.34</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198934.88</v>
      </c>
      <c r="G370" s="38">
        <f>SUM(G368:G369)</f>
        <v>0</v>
      </c>
      <c r="H370" s="38">
        <f>SUM(H368:H369)</f>
        <v>0</v>
      </c>
      <c r="I370" s="38">
        <f>SUM(I368:I369)</f>
        <v>198934.88</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4" customHeight="1" x14ac:dyDescent="0.15">
      <c r="A397" s="62" t="s">
        <v>557</v>
      </c>
      <c r="B397" s="2" t="s">
        <v>381</v>
      </c>
      <c r="C397" s="6">
        <v>9</v>
      </c>
      <c r="D397" s="2" t="s">
        <v>432</v>
      </c>
      <c r="E397" s="6"/>
      <c r="F397" s="18"/>
      <c r="G397" s="18"/>
      <c r="H397" s="18">
        <v>10634.56</v>
      </c>
      <c r="I397" s="18"/>
      <c r="J397" s="23" t="s">
        <v>288</v>
      </c>
      <c r="K397" s="23" t="s">
        <v>288</v>
      </c>
      <c r="L397" s="13">
        <f t="shared" si="26"/>
        <v>10634.56</v>
      </c>
      <c r="M397" s="8"/>
      <c r="N397" s="165"/>
    </row>
    <row r="398" spans="1:14" s="3" customFormat="1" ht="12.4" customHeight="1" x14ac:dyDescent="0.15">
      <c r="A398" s="62" t="s">
        <v>515</v>
      </c>
      <c r="B398" s="2" t="s">
        <v>381</v>
      </c>
      <c r="C398" s="6">
        <v>10</v>
      </c>
      <c r="D398" s="2" t="s">
        <v>432</v>
      </c>
      <c r="E398" s="6"/>
      <c r="F398" s="18"/>
      <c r="G398" s="18"/>
      <c r="H398" s="18">
        <v>6044.71</v>
      </c>
      <c r="I398" s="18"/>
      <c r="J398" s="23" t="s">
        <v>288</v>
      </c>
      <c r="K398" s="23" t="s">
        <v>288</v>
      </c>
      <c r="L398" s="13">
        <f t="shared" si="26"/>
        <v>6044.71</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0</v>
      </c>
      <c r="H402" s="38">
        <f>SUM(H396:H401)</f>
        <v>16679.27</v>
      </c>
      <c r="I402" s="38">
        <f>SUM(I396:I401)</f>
        <v>0</v>
      </c>
      <c r="J402" s="42" t="s">
        <v>288</v>
      </c>
      <c r="K402" s="42" t="s">
        <v>288</v>
      </c>
      <c r="L402" s="38">
        <f>SUM(L396:L401)</f>
        <v>16679.27</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0</v>
      </c>
      <c r="H409" s="38">
        <f>H394+H402+H408</f>
        <v>16679.27</v>
      </c>
      <c r="I409" s="38">
        <f>I394+I402+I408</f>
        <v>0</v>
      </c>
      <c r="J409" s="23" t="s">
        <v>288</v>
      </c>
      <c r="K409" s="23" t="s">
        <v>288</v>
      </c>
      <c r="L409" s="38">
        <f>L394+L402+L408</f>
        <v>16679.27</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v>503428.61</v>
      </c>
      <c r="H441" s="18"/>
      <c r="I441" s="13">
        <f t="shared" si="33"/>
        <v>503428.61</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0</v>
      </c>
      <c r="G447" s="13">
        <f>SUM(G440:G446)</f>
        <v>503428.61</v>
      </c>
      <c r="H447" s="13">
        <f>SUM(H440:H446)</f>
        <v>0</v>
      </c>
      <c r="I447" s="13">
        <f>SUM(I440:I446)</f>
        <v>503428.61</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503428.61</v>
      </c>
      <c r="H460" s="18"/>
      <c r="I460" s="13">
        <f t="shared" si="34"/>
        <v>503428.61</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0</v>
      </c>
      <c r="G461" s="65">
        <f>SUM(G455:G460)</f>
        <v>503428.61</v>
      </c>
      <c r="H461" s="65">
        <f>SUM(H455:H460)</f>
        <v>0</v>
      </c>
      <c r="I461" s="65">
        <f>SUM(I455:I460)</f>
        <v>503428.61</v>
      </c>
      <c r="J461" s="23" t="s">
        <v>288</v>
      </c>
      <c r="K461" s="23" t="s">
        <v>288</v>
      </c>
      <c r="L461" s="23" t="s">
        <v>288</v>
      </c>
      <c r="N461" s="131"/>
    </row>
    <row r="462" spans="1:86" ht="12.4" customHeight="1" thickTop="1" x14ac:dyDescent="0.2">
      <c r="A462" s="40" t="s">
        <v>424</v>
      </c>
      <c r="B462" s="41">
        <v>18</v>
      </c>
      <c r="C462" s="64">
        <v>21</v>
      </c>
      <c r="D462" s="114" t="s">
        <v>432</v>
      </c>
      <c r="E462" s="64"/>
      <c r="F462" s="39">
        <f>F453+F461</f>
        <v>0</v>
      </c>
      <c r="G462" s="39">
        <f>G453+G461</f>
        <v>503428.61</v>
      </c>
      <c r="H462" s="39">
        <f>H453+H461</f>
        <v>0</v>
      </c>
      <c r="I462" s="39">
        <f>I453+I461</f>
        <v>503428.61</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481112.03</v>
      </c>
      <c r="G466" s="18">
        <v>311213.55</v>
      </c>
      <c r="H466" s="18">
        <v>0</v>
      </c>
      <c r="I466" s="18"/>
      <c r="J466" s="18">
        <v>486749.34</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15420263.65</v>
      </c>
      <c r="G469" s="18">
        <v>447634.46</v>
      </c>
      <c r="H469" s="18">
        <v>1840106.2</v>
      </c>
      <c r="I469" s="18"/>
      <c r="J469" s="18">
        <v>16679.27</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15420263.65</v>
      </c>
      <c r="G471" s="19">
        <f>SUM(G469:G470)</f>
        <v>447634.46</v>
      </c>
      <c r="H471" s="19">
        <f>SUM(H469:H470)</f>
        <v>1840106.2</v>
      </c>
      <c r="I471" s="19">
        <f>SUM(I469:I470)</f>
        <v>0</v>
      </c>
      <c r="J471" s="19">
        <f>SUM(J469:J470)</f>
        <v>16679.27</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f>15828092.35+13949.73-0.88</f>
        <v>15842041.199999999</v>
      </c>
      <c r="G473" s="18">
        <f>464093.16+0.13</f>
        <v>464093.29</v>
      </c>
      <c r="H473" s="18">
        <v>1837264.27</v>
      </c>
      <c r="I473" s="18"/>
      <c r="J473" s="18">
        <v>0</v>
      </c>
      <c r="K473" s="23" t="s">
        <v>288</v>
      </c>
      <c r="L473" s="23" t="s">
        <v>288</v>
      </c>
      <c r="N473" s="131"/>
    </row>
    <row r="474" spans="1:14" ht="12.4" customHeight="1" x14ac:dyDescent="0.2">
      <c r="A474" s="71" t="s">
        <v>613</v>
      </c>
      <c r="B474" s="22">
        <v>19</v>
      </c>
      <c r="C474" s="31">
        <v>6</v>
      </c>
      <c r="D474" s="2" t="s">
        <v>432</v>
      </c>
      <c r="E474" s="31"/>
      <c r="F474" s="18"/>
      <c r="G474" s="18"/>
      <c r="H474" s="18">
        <v>2841.93</v>
      </c>
      <c r="I474" s="18"/>
      <c r="J474" s="18"/>
      <c r="K474" s="23" t="s">
        <v>288</v>
      </c>
      <c r="L474" s="23" t="s">
        <v>288</v>
      </c>
      <c r="N474" s="131"/>
    </row>
    <row r="475" spans="1:14" ht="12.4" customHeight="1" x14ac:dyDescent="0.2">
      <c r="A475" s="32" t="s">
        <v>426</v>
      </c>
      <c r="B475" s="22">
        <v>19</v>
      </c>
      <c r="C475" s="31">
        <v>7</v>
      </c>
      <c r="D475" s="2" t="s">
        <v>432</v>
      </c>
      <c r="E475" s="31"/>
      <c r="F475" s="19">
        <f>SUM(F473:F474)</f>
        <v>15842041.199999999</v>
      </c>
      <c r="G475" s="19">
        <f>SUM(G473:G474)</f>
        <v>464093.29</v>
      </c>
      <c r="H475" s="19">
        <f>SUM(H473:H474)</f>
        <v>1840106.2</v>
      </c>
      <c r="I475" s="19">
        <f>SUM(I473:I474)</f>
        <v>0</v>
      </c>
      <c r="J475" s="19">
        <f>SUM(J473:J474)</f>
        <v>0</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59334.480000000447</v>
      </c>
      <c r="G477" s="19">
        <f>(G466+G471)- G475</f>
        <v>294754.72000000003</v>
      </c>
      <c r="H477" s="19">
        <f>(H466+H471)- H475</f>
        <v>0</v>
      </c>
      <c r="I477" s="19">
        <f>(I466+I471)- I475</f>
        <v>0</v>
      </c>
      <c r="J477" s="19">
        <f>(J466+J471)- J475</f>
        <v>503428.61000000004</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t="s">
        <v>1814</v>
      </c>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15</v>
      </c>
      <c r="G491" s="111"/>
      <c r="H491" s="111"/>
      <c r="I491" s="111"/>
      <c r="J491" s="111"/>
      <c r="K491" s="23" t="s">
        <v>288</v>
      </c>
      <c r="L491" s="23" t="s">
        <v>288</v>
      </c>
      <c r="N491" s="131"/>
    </row>
    <row r="492" spans="1:14" ht="12.4"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4"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4" customHeight="1" x14ac:dyDescent="0.2">
      <c r="A494" s="21" t="s">
        <v>617</v>
      </c>
      <c r="B494" s="22">
        <v>20</v>
      </c>
      <c r="C494" s="22">
        <v>4</v>
      </c>
      <c r="D494" s="2" t="s">
        <v>432</v>
      </c>
      <c r="E494" s="22"/>
      <c r="F494" s="18">
        <v>1780093</v>
      </c>
      <c r="G494" s="18"/>
      <c r="H494" s="18"/>
      <c r="I494" s="18"/>
      <c r="J494" s="18"/>
      <c r="K494" s="23" t="s">
        <v>288</v>
      </c>
      <c r="L494" s="23" t="s">
        <v>288</v>
      </c>
      <c r="N494" s="131"/>
    </row>
    <row r="495" spans="1:14" ht="12.4" customHeight="1" x14ac:dyDescent="0.2">
      <c r="A495" s="21" t="s">
        <v>618</v>
      </c>
      <c r="B495" s="22">
        <v>20</v>
      </c>
      <c r="C495" s="22">
        <v>5</v>
      </c>
      <c r="D495" s="2" t="s">
        <v>432</v>
      </c>
      <c r="E495" s="22"/>
      <c r="F495" s="18">
        <v>1.26</v>
      </c>
      <c r="G495" s="18"/>
      <c r="H495" s="18"/>
      <c r="I495" s="18"/>
      <c r="J495" s="18"/>
      <c r="K495" s="23" t="s">
        <v>288</v>
      </c>
      <c r="L495" s="23" t="s">
        <v>288</v>
      </c>
      <c r="N495" s="131"/>
    </row>
    <row r="496" spans="1:14" ht="12.4" customHeight="1" x14ac:dyDescent="0.2">
      <c r="A496" s="21" t="s">
        <v>619</v>
      </c>
      <c r="B496" s="22">
        <v>20</v>
      </c>
      <c r="C496" s="22">
        <v>6</v>
      </c>
      <c r="D496" s="2" t="s">
        <v>432</v>
      </c>
      <c r="E496" s="22"/>
      <c r="F496" s="18">
        <v>282710.07</v>
      </c>
      <c r="G496" s="18"/>
      <c r="H496" s="18"/>
      <c r="I496" s="18"/>
      <c r="J496" s="18"/>
      <c r="K496" s="19">
        <f>SUM(F496:J496)</f>
        <v>282710.07</v>
      </c>
      <c r="L496" s="23" t="s">
        <v>288</v>
      </c>
      <c r="N496" s="131"/>
    </row>
    <row r="497" spans="1:14" ht="12.4"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143108.65</v>
      </c>
      <c r="G498" s="18"/>
      <c r="H498" s="18"/>
      <c r="I498" s="18"/>
      <c r="J498" s="18"/>
      <c r="K498" s="19">
        <f t="shared" si="35"/>
        <v>143108.65</v>
      </c>
      <c r="L498" s="23" t="s">
        <v>288</v>
      </c>
      <c r="N498" s="131"/>
    </row>
    <row r="499" spans="1:14" ht="12.4" customHeight="1" x14ac:dyDescent="0.2">
      <c r="A499" s="144" t="s">
        <v>622</v>
      </c>
      <c r="B499" s="145">
        <v>20</v>
      </c>
      <c r="C499" s="145">
        <v>9</v>
      </c>
      <c r="D499" s="146" t="s">
        <v>432</v>
      </c>
      <c r="E499" s="145"/>
      <c r="F499" s="147">
        <v>288074.40000000002</v>
      </c>
      <c r="G499" s="147"/>
      <c r="H499" s="147"/>
      <c r="I499" s="147"/>
      <c r="J499" s="147"/>
      <c r="K499" s="148">
        <f t="shared" si="35"/>
        <v>288074.40000000002</v>
      </c>
      <c r="L499" s="149" t="s">
        <v>288</v>
      </c>
      <c r="N499" s="131"/>
    </row>
    <row r="500" spans="1:14" ht="12.4" customHeight="1" thickBot="1" x14ac:dyDescent="0.25">
      <c r="A500" s="21" t="s">
        <v>623</v>
      </c>
      <c r="B500" s="22">
        <v>20</v>
      </c>
      <c r="C500" s="22">
        <v>10</v>
      </c>
      <c r="D500" s="2" t="s">
        <v>432</v>
      </c>
      <c r="E500" s="22"/>
      <c r="F500" s="18">
        <v>3595.94</v>
      </c>
      <c r="G500" s="18"/>
      <c r="H500" s="18"/>
      <c r="I500" s="18"/>
      <c r="J500" s="18"/>
      <c r="K500" s="19">
        <f t="shared" si="35"/>
        <v>3595.94</v>
      </c>
      <c r="L500" s="23" t="s">
        <v>288</v>
      </c>
      <c r="N500" s="131"/>
    </row>
    <row r="501" spans="1:14" ht="12.4" customHeight="1" thickTop="1" x14ac:dyDescent="0.2">
      <c r="A501" s="97" t="s">
        <v>624</v>
      </c>
      <c r="B501" s="41">
        <v>20</v>
      </c>
      <c r="C501" s="41">
        <v>11</v>
      </c>
      <c r="D501" s="36" t="s">
        <v>432</v>
      </c>
      <c r="E501" s="41"/>
      <c r="F501" s="39">
        <f>SUM(F499:F500)</f>
        <v>291670.34000000003</v>
      </c>
      <c r="G501" s="39">
        <f>SUM(G499:G500)</f>
        <v>0</v>
      </c>
      <c r="H501" s="39">
        <f>SUM(H499:H500)</f>
        <v>0</v>
      </c>
      <c r="I501" s="39">
        <f>SUM(I499:I500)</f>
        <v>0</v>
      </c>
      <c r="J501" s="39">
        <f>SUM(J499:J500)</f>
        <v>0</v>
      </c>
      <c r="K501" s="39">
        <f t="shared" si="35"/>
        <v>291670.34000000003</v>
      </c>
      <c r="L501" s="42" t="s">
        <v>288</v>
      </c>
      <c r="N501" s="131"/>
    </row>
    <row r="502" spans="1:14" ht="12.4" customHeight="1" x14ac:dyDescent="0.2">
      <c r="A502" s="144" t="s">
        <v>651</v>
      </c>
      <c r="B502" s="145">
        <v>20</v>
      </c>
      <c r="C502" s="145">
        <v>12</v>
      </c>
      <c r="D502" s="146" t="s">
        <v>432</v>
      </c>
      <c r="E502" s="145"/>
      <c r="F502" s="147">
        <v>138672.87</v>
      </c>
      <c r="G502" s="147"/>
      <c r="H502" s="147"/>
      <c r="I502" s="147"/>
      <c r="J502" s="147"/>
      <c r="K502" s="148">
        <f t="shared" si="35"/>
        <v>138672.87</v>
      </c>
      <c r="L502" s="149" t="s">
        <v>288</v>
      </c>
      <c r="N502" s="131"/>
    </row>
    <row r="503" spans="1:14" ht="12.4" customHeight="1" thickBot="1" x14ac:dyDescent="0.25">
      <c r="A503" s="21" t="s">
        <v>625</v>
      </c>
      <c r="B503" s="22">
        <v>20</v>
      </c>
      <c r="C503" s="22">
        <v>13</v>
      </c>
      <c r="D503" s="2" t="s">
        <v>432</v>
      </c>
      <c r="E503" s="22"/>
      <c r="F503" s="18">
        <v>2688.51</v>
      </c>
      <c r="G503" s="18"/>
      <c r="H503" s="18"/>
      <c r="I503" s="18"/>
      <c r="J503" s="18"/>
      <c r="K503" s="19">
        <f t="shared" si="35"/>
        <v>2688.51</v>
      </c>
      <c r="L503" s="23" t="s">
        <v>288</v>
      </c>
      <c r="N503" s="131"/>
    </row>
    <row r="504" spans="1:14" ht="12.4" customHeight="1" thickTop="1" x14ac:dyDescent="0.2">
      <c r="A504" s="97" t="s">
        <v>626</v>
      </c>
      <c r="B504" s="41">
        <v>20</v>
      </c>
      <c r="C504" s="41">
        <v>14</v>
      </c>
      <c r="D504" s="36" t="s">
        <v>432</v>
      </c>
      <c r="E504" s="41"/>
      <c r="F504" s="39">
        <f>SUM(F502:F503)</f>
        <v>141361.38</v>
      </c>
      <c r="G504" s="39">
        <f>SUM(G502:G503)</f>
        <v>0</v>
      </c>
      <c r="H504" s="39">
        <f>SUM(H502:H503)</f>
        <v>0</v>
      </c>
      <c r="I504" s="39">
        <f>SUM(I502:I503)</f>
        <v>0</v>
      </c>
      <c r="J504" s="39">
        <f>SUM(J502:J503)</f>
        <v>0</v>
      </c>
      <c r="K504" s="39">
        <f t="shared" si="35"/>
        <v>141361.38</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701795.24+494535.4+58948+10423.26</f>
        <v>1265701.9000000001</v>
      </c>
      <c r="G522" s="18">
        <f>303880.6+41936.6+43290.31+797.38</f>
        <v>389904.88999999996</v>
      </c>
      <c r="H522" s="18">
        <f>915176.86-26906.39+119622.3</f>
        <v>1007892.77</v>
      </c>
      <c r="I522" s="18">
        <f>3105.06+27647.85</f>
        <v>30752.91</v>
      </c>
      <c r="J522" s="18">
        <v>4537.8500000000004</v>
      </c>
      <c r="K522" s="18"/>
      <c r="L522" s="69">
        <f>SUM(F522:K522)</f>
        <v>2698790.3200000003</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1265701.9000000001</v>
      </c>
      <c r="G525" s="81">
        <f t="shared" ref="G525:L525" si="36">SUM(G522:G524)</f>
        <v>389904.88999999996</v>
      </c>
      <c r="H525" s="81">
        <f t="shared" si="36"/>
        <v>1007892.77</v>
      </c>
      <c r="I525" s="81">
        <f t="shared" si="36"/>
        <v>30752.91</v>
      </c>
      <c r="J525" s="81">
        <f t="shared" si="36"/>
        <v>4537.8500000000004</v>
      </c>
      <c r="K525" s="81">
        <f t="shared" si="36"/>
        <v>0</v>
      </c>
      <c r="L525" s="70">
        <f t="shared" si="36"/>
        <v>2698790.3200000003</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f>345236.62+95463.9+241346.94</f>
        <v>682047.46</v>
      </c>
      <c r="G527" s="18">
        <f>164116.8+23131.56+125612.35</f>
        <v>312860.70999999996</v>
      </c>
      <c r="H527" s="18"/>
      <c r="I527" s="18"/>
      <c r="J527" s="18"/>
      <c r="K527" s="18"/>
      <c r="L527" s="69">
        <f>SUM(F527:K527)</f>
        <v>994908.16999999993</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682047.46</v>
      </c>
      <c r="G530" s="70">
        <f t="shared" ref="G530:L530" si="37">SUM(G527:G529)</f>
        <v>312860.70999999996</v>
      </c>
      <c r="H530" s="70">
        <f t="shared" si="37"/>
        <v>0</v>
      </c>
      <c r="I530" s="70">
        <f t="shared" si="37"/>
        <v>0</v>
      </c>
      <c r="J530" s="70">
        <f t="shared" si="37"/>
        <v>0</v>
      </c>
      <c r="K530" s="70">
        <f t="shared" si="37"/>
        <v>0</v>
      </c>
      <c r="L530" s="70">
        <f t="shared" si="37"/>
        <v>994908.16999999993</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f>88335.29+56655.08+17449.69</f>
        <v>162440.06</v>
      </c>
      <c r="G532" s="18">
        <f>42921.91+22119.06+8194.92</f>
        <v>73235.89</v>
      </c>
      <c r="H532" s="18"/>
      <c r="I532" s="18"/>
      <c r="J532" s="18"/>
      <c r="K532" s="18">
        <v>755</v>
      </c>
      <c r="L532" s="69">
        <f>SUM(F532:K532)</f>
        <v>236430.95</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162440.06</v>
      </c>
      <c r="G535" s="70">
        <f t="shared" ref="G535:L535" si="38">SUM(G532:G534)</f>
        <v>73235.89</v>
      </c>
      <c r="H535" s="70">
        <f t="shared" si="38"/>
        <v>0</v>
      </c>
      <c r="I535" s="70">
        <f t="shared" si="38"/>
        <v>0</v>
      </c>
      <c r="J535" s="70">
        <f t="shared" si="38"/>
        <v>0</v>
      </c>
      <c r="K535" s="70">
        <f t="shared" si="38"/>
        <v>755</v>
      </c>
      <c r="L535" s="70">
        <f t="shared" si="38"/>
        <v>236430.95</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v>26906.39</v>
      </c>
      <c r="I537" s="18"/>
      <c r="J537" s="18"/>
      <c r="K537" s="18"/>
      <c r="L537" s="69">
        <f>SUM(F537:K537)</f>
        <v>26906.39</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26906.39</v>
      </c>
      <c r="I540" s="70">
        <f t="shared" si="39"/>
        <v>0</v>
      </c>
      <c r="J540" s="70">
        <f t="shared" si="39"/>
        <v>0</v>
      </c>
      <c r="K540" s="70">
        <f t="shared" si="39"/>
        <v>0</v>
      </c>
      <c r="L540" s="70">
        <f t="shared" si="39"/>
        <v>26906.39</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v>135142.24</v>
      </c>
      <c r="I542" s="18"/>
      <c r="J542" s="18"/>
      <c r="K542" s="18"/>
      <c r="L542" s="69">
        <f>SUM(F542:K542)</f>
        <v>135142.24</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135142.24</v>
      </c>
      <c r="I545" s="141">
        <f t="shared" si="40"/>
        <v>0</v>
      </c>
      <c r="J545" s="141">
        <f t="shared" si="40"/>
        <v>0</v>
      </c>
      <c r="K545" s="141">
        <f t="shared" si="40"/>
        <v>0</v>
      </c>
      <c r="L545" s="141">
        <f t="shared" si="40"/>
        <v>135142.24</v>
      </c>
      <c r="M545" s="8"/>
      <c r="N545" s="165"/>
    </row>
    <row r="546" spans="1:14" s="3" customFormat="1" ht="12.4" customHeight="1" thickTop="1" x14ac:dyDescent="0.15">
      <c r="A546" s="75" t="s">
        <v>72</v>
      </c>
      <c r="B546" s="41">
        <v>21</v>
      </c>
      <c r="C546" s="41">
        <v>21</v>
      </c>
      <c r="D546" s="115" t="s">
        <v>432</v>
      </c>
      <c r="E546" s="41"/>
      <c r="F546" s="70">
        <f>F525+F530+F535+F540+F545</f>
        <v>2110189.42</v>
      </c>
      <c r="G546" s="70">
        <f t="shared" ref="G546:L546" si="41">G525+G530+G535+G540+G545</f>
        <v>776001.48999999987</v>
      </c>
      <c r="H546" s="70">
        <f t="shared" si="41"/>
        <v>1169941.3999999999</v>
      </c>
      <c r="I546" s="70">
        <f t="shared" si="41"/>
        <v>30752.91</v>
      </c>
      <c r="J546" s="70">
        <f t="shared" si="41"/>
        <v>4537.8500000000004</v>
      </c>
      <c r="K546" s="70">
        <f t="shared" si="41"/>
        <v>755</v>
      </c>
      <c r="L546" s="70">
        <f t="shared" si="41"/>
        <v>4092178.0700000003</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2698790.3200000003</v>
      </c>
      <c r="G550" s="69">
        <f>L527</f>
        <v>994908.16999999993</v>
      </c>
      <c r="H550" s="69">
        <f>L532</f>
        <v>236430.95</v>
      </c>
      <c r="I550" s="69">
        <f>L537</f>
        <v>26906.39</v>
      </c>
      <c r="J550" s="69">
        <f>L542</f>
        <v>135142.24</v>
      </c>
      <c r="K550" s="69">
        <f>SUM(F550:J550)</f>
        <v>4092178.0700000003</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2698790.3200000003</v>
      </c>
      <c r="G553" s="70">
        <f t="shared" si="42"/>
        <v>994908.16999999993</v>
      </c>
      <c r="H553" s="70">
        <f t="shared" si="42"/>
        <v>236430.95</v>
      </c>
      <c r="I553" s="70">
        <f t="shared" si="42"/>
        <v>26906.39</v>
      </c>
      <c r="J553" s="70">
        <f t="shared" si="42"/>
        <v>135142.24</v>
      </c>
      <c r="K553" s="70">
        <f t="shared" si="42"/>
        <v>4092178.0700000003</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v>245299.16</v>
      </c>
      <c r="G583" s="18"/>
      <c r="H583" s="18"/>
      <c r="I583" s="69">
        <f t="shared" si="47"/>
        <v>245299.16</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v>481440.09</v>
      </c>
      <c r="G584" s="18"/>
      <c r="H584" s="18"/>
      <c r="I584" s="69">
        <f t="shared" si="47"/>
        <v>481440.09</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v>676270.67</v>
      </c>
      <c r="I592" s="18"/>
      <c r="J592" s="18"/>
      <c r="K592" s="80">
        <f t="shared" ref="K592:K598" si="48">SUM(H592:J592)</f>
        <v>676270.67</v>
      </c>
      <c r="L592" s="23" t="s">
        <v>288</v>
      </c>
      <c r="M592" s="8"/>
      <c r="N592" s="165"/>
    </row>
    <row r="593" spans="1:14" s="3" customFormat="1" ht="12.4" customHeight="1" x14ac:dyDescent="0.15">
      <c r="A593" s="3" t="s">
        <v>638</v>
      </c>
      <c r="B593" s="22">
        <v>23</v>
      </c>
      <c r="C593" s="22">
        <v>2</v>
      </c>
      <c r="D593" s="2" t="s">
        <v>432</v>
      </c>
      <c r="E593" s="22"/>
      <c r="F593" s="78">
        <v>2722</v>
      </c>
      <c r="G593" s="79" t="s">
        <v>97</v>
      </c>
      <c r="H593" s="18">
        <v>135142.24</v>
      </c>
      <c r="I593" s="18"/>
      <c r="J593" s="18"/>
      <c r="K593" s="80">
        <f t="shared" si="48"/>
        <v>135142.24</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v>8276.98</v>
      </c>
      <c r="I595" s="18"/>
      <c r="J595" s="18"/>
      <c r="K595" s="80">
        <f t="shared" si="48"/>
        <v>8276.98</v>
      </c>
      <c r="L595" s="23" t="s">
        <v>288</v>
      </c>
      <c r="M595" s="8"/>
      <c r="N595" s="165"/>
    </row>
    <row r="596" spans="1:14" s="3" customFormat="1" ht="12.4" customHeight="1" x14ac:dyDescent="0.15">
      <c r="A596" s="103" t="s">
        <v>652</v>
      </c>
      <c r="B596" s="22">
        <v>23</v>
      </c>
      <c r="C596" s="22">
        <v>5</v>
      </c>
      <c r="D596" s="2" t="s">
        <v>432</v>
      </c>
      <c r="E596" s="22"/>
      <c r="F596" s="78">
        <v>2725</v>
      </c>
      <c r="G596" s="79" t="s">
        <v>97</v>
      </c>
      <c r="H596" s="18">
        <v>6816.57</v>
      </c>
      <c r="I596" s="18"/>
      <c r="J596" s="18"/>
      <c r="K596" s="80">
        <f t="shared" si="48"/>
        <v>6816.57</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v>11449.15</v>
      </c>
      <c r="I598" s="18"/>
      <c r="J598" s="18"/>
      <c r="K598" s="80">
        <f t="shared" si="48"/>
        <v>11449.15</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837955.61</v>
      </c>
      <c r="I599" s="81">
        <f>SUM(I592:I598)</f>
        <v>0</v>
      </c>
      <c r="J599" s="81">
        <f>SUM(J592:J598)</f>
        <v>0</v>
      </c>
      <c r="K599" s="81">
        <f>SUM(K592:K598)</f>
        <v>837955.61</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f>114316.86+4543.46</f>
        <v>118860.32</v>
      </c>
      <c r="I604" s="18"/>
      <c r="J604" s="18"/>
      <c r="K604" s="80">
        <f>SUM(H604:J604)</f>
        <v>118860.32</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1540.73+1079+3532+4931.68+81658+5409.71+4537.85+593.88+59045.16+20485.72+2578.94</f>
        <v>185392.67</v>
      </c>
      <c r="I605" s="18"/>
      <c r="J605" s="18"/>
      <c r="K605" s="80">
        <f>SUM(H605:J605)</f>
        <v>185392.67</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304252.99</v>
      </c>
      <c r="I606" s="81">
        <f>SUM(I603:I605)</f>
        <v>0</v>
      </c>
      <c r="J606" s="81">
        <f>SUM(J603:J605)</f>
        <v>0</v>
      </c>
      <c r="K606" s="81">
        <f>SUM(K603:K605)</f>
        <v>304252.99</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181357.18</v>
      </c>
      <c r="H618" s="80">
        <f>SUM(F52)</f>
        <v>181357.18</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299891.81</v>
      </c>
      <c r="H619" s="80">
        <f>SUM(G52)</f>
        <v>299891.81</v>
      </c>
      <c r="I619" s="87" t="s">
        <v>875</v>
      </c>
      <c r="J619" s="80">
        <f>G619-H619</f>
        <v>0</v>
      </c>
      <c r="K619" s="80"/>
      <c r="L619" s="80"/>
      <c r="M619" s="8"/>
    </row>
    <row r="620" spans="1:14" s="3" customFormat="1" ht="12.4" customHeight="1" x14ac:dyDescent="0.15">
      <c r="A620" s="74"/>
      <c r="B620" s="22"/>
      <c r="C620" s="22"/>
      <c r="D620" s="22"/>
      <c r="E620" s="22"/>
      <c r="F620" s="87" t="s">
        <v>685</v>
      </c>
      <c r="G620" s="80">
        <f>SUM(H19)</f>
        <v>318230.86</v>
      </c>
      <c r="H620" s="80">
        <f>SUM(H52)</f>
        <v>318230.86</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503428.61</v>
      </c>
      <c r="H622" s="80">
        <f>SUM(J52)</f>
        <v>503428.61</v>
      </c>
      <c r="I622" s="87" t="s">
        <v>878</v>
      </c>
      <c r="J622" s="80">
        <f>G622-H622</f>
        <v>0</v>
      </c>
      <c r="K622" s="80"/>
      <c r="L622" s="80"/>
      <c r="M622" s="8"/>
    </row>
    <row r="623" spans="1:14" s="3" customFormat="1" ht="12.4" customHeight="1" x14ac:dyDescent="0.15">
      <c r="A623" s="74"/>
      <c r="B623" s="22"/>
      <c r="C623" s="22"/>
      <c r="D623" s="22"/>
      <c r="E623" s="22"/>
      <c r="F623" s="87" t="s">
        <v>864</v>
      </c>
      <c r="G623" s="80">
        <f>F51</f>
        <v>59334.479999999996</v>
      </c>
      <c r="H623" s="80">
        <f>F477</f>
        <v>59334.480000000447</v>
      </c>
      <c r="I623" s="87" t="s">
        <v>101</v>
      </c>
      <c r="J623" s="80">
        <f t="shared" ref="J623:J656" si="50">G623-H623</f>
        <v>-4.5110937207937241E-10</v>
      </c>
      <c r="K623" s="80"/>
      <c r="L623" s="80"/>
      <c r="M623" s="8"/>
    </row>
    <row r="624" spans="1:14" s="3" customFormat="1" ht="12.4" customHeight="1" x14ac:dyDescent="0.15">
      <c r="A624" s="74"/>
      <c r="B624" s="22"/>
      <c r="C624" s="85"/>
      <c r="D624" s="85"/>
      <c r="E624" s="85"/>
      <c r="F624" s="85" t="s">
        <v>865</v>
      </c>
      <c r="G624" s="80">
        <f>G51</f>
        <v>294754.71999999997</v>
      </c>
      <c r="H624" s="80">
        <f>G477</f>
        <v>294754.72000000003</v>
      </c>
      <c r="I624" s="87" t="s">
        <v>102</v>
      </c>
      <c r="J624" s="80">
        <f t="shared" si="50"/>
        <v>0</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503428.61</v>
      </c>
      <c r="H627" s="80">
        <f>J477</f>
        <v>503428.61000000004</v>
      </c>
      <c r="I627" s="87" t="s">
        <v>105</v>
      </c>
      <c r="J627" s="80">
        <f t="shared" si="50"/>
        <v>0</v>
      </c>
      <c r="K627" s="67"/>
      <c r="L627" s="69"/>
      <c r="M627" s="8"/>
    </row>
    <row r="628" spans="1:13" s="3" customFormat="1" ht="12.4" customHeight="1" x14ac:dyDescent="0.15">
      <c r="A628" s="21"/>
      <c r="B628" s="22"/>
      <c r="C628" s="22"/>
      <c r="D628" s="22"/>
      <c r="E628" s="22"/>
      <c r="F628" s="86" t="s">
        <v>658</v>
      </c>
      <c r="G628" s="80">
        <f>F194</f>
        <v>15420263.649999999</v>
      </c>
      <c r="H628" s="80">
        <f>SUM(F469)</f>
        <v>15420263.65</v>
      </c>
      <c r="I628" s="87" t="s">
        <v>106</v>
      </c>
      <c r="J628" s="80">
        <f>G628-H628</f>
        <v>0</v>
      </c>
      <c r="K628" s="67"/>
      <c r="L628" s="69"/>
      <c r="M628" s="8"/>
    </row>
    <row r="629" spans="1:13" s="3" customFormat="1" ht="12.4" customHeight="1" x14ac:dyDescent="0.15">
      <c r="A629" s="21"/>
      <c r="B629" s="22"/>
      <c r="C629" s="22"/>
      <c r="D629" s="22"/>
      <c r="E629" s="22"/>
      <c r="F629" s="86" t="s">
        <v>659</v>
      </c>
      <c r="G629" s="80">
        <f>G194</f>
        <v>447634.46</v>
      </c>
      <c r="H629" s="80">
        <f>SUM(G469)</f>
        <v>447634.46</v>
      </c>
      <c r="I629" s="87" t="s">
        <v>107</v>
      </c>
      <c r="J629" s="80">
        <f>G629-H629</f>
        <v>0</v>
      </c>
      <c r="K629" s="67"/>
      <c r="L629" s="69"/>
      <c r="M629" s="8"/>
    </row>
    <row r="630" spans="1:13" s="3" customFormat="1" ht="12.4" customHeight="1" x14ac:dyDescent="0.15">
      <c r="A630" s="21"/>
      <c r="B630" s="22"/>
      <c r="C630" s="22"/>
      <c r="D630" s="22"/>
      <c r="E630" s="22"/>
      <c r="F630" s="86" t="s">
        <v>660</v>
      </c>
      <c r="G630" s="80">
        <f>H194</f>
        <v>1840106.2000000002</v>
      </c>
      <c r="H630" s="80">
        <f>SUM(H469)</f>
        <v>1840106.2</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16679.27</v>
      </c>
      <c r="H632" s="80">
        <f>SUM(J469)</f>
        <v>16679.27</v>
      </c>
      <c r="I632" s="87" t="s">
        <v>110</v>
      </c>
      <c r="J632" s="80">
        <f>G632-H632</f>
        <v>0</v>
      </c>
      <c r="K632" s="67"/>
      <c r="L632" s="69"/>
      <c r="M632" s="8"/>
    </row>
    <row r="633" spans="1:13" s="3" customFormat="1" ht="12.4" customHeight="1" x14ac:dyDescent="0.15">
      <c r="A633" s="21"/>
      <c r="B633" s="22"/>
      <c r="C633" s="22"/>
      <c r="D633" s="22"/>
      <c r="E633" s="22"/>
      <c r="F633" s="86" t="s">
        <v>394</v>
      </c>
      <c r="G633" s="80">
        <f>SUM(L272)</f>
        <v>15842041.200000003</v>
      </c>
      <c r="H633" s="80">
        <f>SUM(F473)</f>
        <v>15842041.199999999</v>
      </c>
      <c r="I633" s="87" t="s">
        <v>111</v>
      </c>
      <c r="J633" s="80">
        <f t="shared" si="50"/>
        <v>0</v>
      </c>
      <c r="K633" s="67"/>
      <c r="L633" s="69"/>
      <c r="M633" s="8"/>
    </row>
    <row r="634" spans="1:13" s="3" customFormat="1" ht="12.4" customHeight="1" x14ac:dyDescent="0.15">
      <c r="A634" s="21"/>
      <c r="B634" s="22"/>
      <c r="C634" s="22"/>
      <c r="D634" s="22"/>
      <c r="E634" s="22"/>
      <c r="F634" s="86" t="s">
        <v>395</v>
      </c>
      <c r="G634" s="80">
        <f>SUM(L353)</f>
        <v>1837264.2699999998</v>
      </c>
      <c r="H634" s="80">
        <f>SUM(H473)</f>
        <v>1837264.27</v>
      </c>
      <c r="I634" s="87" t="s">
        <v>112</v>
      </c>
      <c r="J634" s="80">
        <f>G634-H634</f>
        <v>0</v>
      </c>
      <c r="K634" s="67"/>
      <c r="L634" s="69"/>
      <c r="M634" s="8"/>
    </row>
    <row r="635" spans="1:13" s="124" customFormat="1" ht="12.4" customHeight="1" x14ac:dyDescent="0.15">
      <c r="A635" s="21"/>
      <c r="B635" s="22"/>
      <c r="C635" s="22"/>
      <c r="D635" s="22"/>
      <c r="E635" s="22"/>
      <c r="F635" s="99" t="s">
        <v>247</v>
      </c>
      <c r="G635" s="80">
        <f>I363</f>
        <v>198934.88</v>
      </c>
      <c r="H635" s="80">
        <f>I370</f>
        <v>198934.88</v>
      </c>
      <c r="I635" s="100" t="s">
        <v>248</v>
      </c>
      <c r="J635" s="80">
        <f>G635-H635</f>
        <v>0</v>
      </c>
      <c r="K635" s="67"/>
      <c r="L635" s="69"/>
      <c r="M635" s="123"/>
    </row>
    <row r="636" spans="1:13" s="124" customFormat="1" ht="12.4" customHeight="1" x14ac:dyDescent="0.15">
      <c r="A636" s="21"/>
      <c r="B636" s="22"/>
      <c r="C636" s="22"/>
      <c r="D636" s="22"/>
      <c r="E636" s="22"/>
      <c r="F636" s="86" t="s">
        <v>113</v>
      </c>
      <c r="G636" s="80">
        <f>SUM(L363)</f>
        <v>464093.29</v>
      </c>
      <c r="H636" s="80">
        <f>SUM(G473)</f>
        <v>464093.29</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16679.27</v>
      </c>
      <c r="H638" s="108">
        <f>SUM(J469)</f>
        <v>16679.27</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4" customHeight="1" x14ac:dyDescent="0.15">
      <c r="A641" s="21"/>
      <c r="B641" s="22"/>
      <c r="C641" s="22"/>
      <c r="D641" s="22"/>
      <c r="E641" s="22"/>
      <c r="F641" s="86" t="s">
        <v>119</v>
      </c>
      <c r="G641" s="80">
        <f>SUM(G447)</f>
        <v>503428.61</v>
      </c>
      <c r="H641" s="80">
        <f>SUM(G462)</f>
        <v>503428.61</v>
      </c>
      <c r="I641" s="87" t="s">
        <v>841</v>
      </c>
      <c r="J641" s="80">
        <f t="shared" si="50"/>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4" customHeight="1" x14ac:dyDescent="0.15">
      <c r="A643" s="21"/>
      <c r="B643" s="22"/>
      <c r="C643" s="22"/>
      <c r="D643" s="22"/>
      <c r="E643" s="22"/>
      <c r="F643" s="86" t="s">
        <v>121</v>
      </c>
      <c r="G643" s="80">
        <f>SUM(I447)</f>
        <v>503428.61</v>
      </c>
      <c r="H643" s="80">
        <f>SUM(I462)</f>
        <v>503428.61</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16679.27</v>
      </c>
      <c r="H645" s="80">
        <f>H409</f>
        <v>16679.27</v>
      </c>
      <c r="I645" s="87" t="s">
        <v>480</v>
      </c>
      <c r="J645" s="80">
        <f t="shared" si="50"/>
        <v>0</v>
      </c>
      <c r="K645" s="67"/>
      <c r="L645" s="69"/>
      <c r="M645" s="8"/>
    </row>
    <row r="646" spans="1:13" s="3" customFormat="1" ht="12.4"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4" customHeight="1" x14ac:dyDescent="0.15">
      <c r="A647" s="21"/>
      <c r="B647" s="22"/>
      <c r="C647" s="22"/>
      <c r="D647" s="22"/>
      <c r="E647" s="22"/>
      <c r="F647" s="86" t="s">
        <v>662</v>
      </c>
      <c r="G647" s="80">
        <f>J194</f>
        <v>16679.27</v>
      </c>
      <c r="H647" s="80">
        <f>L409</f>
        <v>16679.27</v>
      </c>
      <c r="I647" s="87" t="s">
        <v>477</v>
      </c>
      <c r="J647" s="80">
        <f t="shared" si="50"/>
        <v>0</v>
      </c>
      <c r="K647" s="67"/>
      <c r="L647" s="69"/>
      <c r="M647" s="8"/>
    </row>
    <row r="648" spans="1:13" s="3" customFormat="1" ht="12.4" customHeight="1" x14ac:dyDescent="0.15">
      <c r="A648" s="21"/>
      <c r="B648" s="22"/>
      <c r="C648" s="22"/>
      <c r="D648" s="22"/>
      <c r="E648" s="22"/>
      <c r="F648" s="86" t="s">
        <v>51</v>
      </c>
      <c r="G648" s="80">
        <f>K599</f>
        <v>837955.61</v>
      </c>
      <c r="H648" s="80">
        <f>L209+L227+L245</f>
        <v>837955.61</v>
      </c>
      <c r="I648" s="87" t="s">
        <v>396</v>
      </c>
      <c r="J648" s="80">
        <f t="shared" si="50"/>
        <v>0</v>
      </c>
      <c r="K648" s="67"/>
      <c r="L648" s="69"/>
      <c r="M648" s="8"/>
    </row>
    <row r="649" spans="1:13" s="3" customFormat="1" ht="12.4" customHeight="1" x14ac:dyDescent="0.15">
      <c r="A649" s="21"/>
      <c r="B649" s="22"/>
      <c r="C649" s="22"/>
      <c r="D649" s="22"/>
      <c r="E649" s="22"/>
      <c r="F649" s="86" t="s">
        <v>52</v>
      </c>
      <c r="G649" s="80">
        <f>K606</f>
        <v>304252.99</v>
      </c>
      <c r="H649" s="80">
        <f>(J258+J339)-(J256+J337)</f>
        <v>304252.99</v>
      </c>
      <c r="I649" s="87" t="s">
        <v>699</v>
      </c>
      <c r="J649" s="80">
        <f t="shared" si="50"/>
        <v>0</v>
      </c>
      <c r="K649" s="67"/>
      <c r="L649" s="69"/>
      <c r="M649" s="8"/>
    </row>
    <row r="650" spans="1:13" s="3" customFormat="1" ht="12.4" customHeight="1" x14ac:dyDescent="0.15">
      <c r="A650" s="21"/>
      <c r="B650" s="22"/>
      <c r="C650" s="22"/>
      <c r="D650" s="22"/>
      <c r="E650" s="22"/>
      <c r="F650" s="86" t="s">
        <v>387</v>
      </c>
      <c r="G650" s="80">
        <f>L209</f>
        <v>837955.61</v>
      </c>
      <c r="H650" s="80">
        <f>H599</f>
        <v>837955.61</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4" customHeight="1" x14ac:dyDescent="0.15">
      <c r="A653" s="21"/>
      <c r="B653" s="22"/>
      <c r="C653" s="22"/>
      <c r="D653" s="22"/>
      <c r="E653" s="22"/>
      <c r="F653" s="86" t="s">
        <v>665</v>
      </c>
      <c r="G653" s="80">
        <f>G180+G182</f>
        <v>9619</v>
      </c>
      <c r="H653" s="80">
        <f>K264+K346</f>
        <v>9619</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17976656.170000002</v>
      </c>
      <c r="G661" s="13">
        <f>(L230+L310+L360)</f>
        <v>0</v>
      </c>
      <c r="H661" s="13">
        <f>(L248+L329+L361)</f>
        <v>0</v>
      </c>
      <c r="I661" s="13">
        <f>SUM(F661:H661)</f>
        <v>17976656.170000002</v>
      </c>
      <c r="J661" s="13"/>
      <c r="K661" s="13"/>
      <c r="L661" s="13"/>
      <c r="M661" s="9"/>
    </row>
    <row r="662" spans="1:13" s="3" customFormat="1" ht="12.4" customHeight="1" x14ac:dyDescent="0.2">
      <c r="A662" s="1" t="s">
        <v>127</v>
      </c>
      <c r="F662" s="13">
        <f>(L359/IF(SUM(L359:L361)=0,1,SUM(L359:L361))*(SUM(G97:G110)))</f>
        <v>78131.990000000005</v>
      </c>
      <c r="G662" s="13">
        <f>(L360/IF(SUM(L359:L361)=0,1,SUM(L359:L361))*(SUM(G97:G110)))</f>
        <v>0</v>
      </c>
      <c r="H662" s="13">
        <f>(L361/IF(SUM(L359:L361)=0,1,SUM(L359:L361))*(SUM(G97:G110)))</f>
        <v>0</v>
      </c>
      <c r="I662" s="13">
        <f>SUM(F662:H662)</f>
        <v>78131.990000000005</v>
      </c>
      <c r="J662"/>
      <c r="K662" s="13"/>
      <c r="L662" s="13"/>
      <c r="M662" s="8"/>
    </row>
    <row r="663" spans="1:13" s="3" customFormat="1" ht="12.4" customHeight="1" x14ac:dyDescent="0.2">
      <c r="A663" s="1" t="s">
        <v>128</v>
      </c>
      <c r="F663" s="13">
        <f>(L209+L288)-(J209+J288)</f>
        <v>853988.61</v>
      </c>
      <c r="G663" s="13">
        <f>(L227+L307)-(J227+J307)</f>
        <v>0</v>
      </c>
      <c r="H663" s="13">
        <f>(L245+L326)-(J245+J326)</f>
        <v>0</v>
      </c>
      <c r="I663" s="13">
        <f>SUM(F663:H663)</f>
        <v>853988.61</v>
      </c>
      <c r="J663"/>
      <c r="K663" s="13"/>
      <c r="L663" s="13"/>
      <c r="M663" s="9"/>
    </row>
    <row r="664" spans="1:13" s="3" customFormat="1" ht="12.4" customHeight="1" x14ac:dyDescent="0.15">
      <c r="A664" s="142" t="s">
        <v>129</v>
      </c>
      <c r="B664" s="124"/>
      <c r="C664" s="124"/>
      <c r="D664" s="124"/>
      <c r="E664" s="124"/>
      <c r="F664" s="143">
        <f>SUM(F576:F588)+SUM(H603:H605)+SUM(L612)</f>
        <v>1030992.24</v>
      </c>
      <c r="G664" s="143">
        <f>SUM(G576:G588)+SUM(I603:I605)+L613</f>
        <v>0</v>
      </c>
      <c r="H664" s="143">
        <f>SUM(H576:H588)+SUM(J603:J605)+L614</f>
        <v>0</v>
      </c>
      <c r="I664" s="13">
        <f>SUM(F664:H664)</f>
        <v>1030992.24</v>
      </c>
      <c r="J664" s="13"/>
      <c r="K664" s="13"/>
      <c r="L664" s="13"/>
      <c r="M664" s="9"/>
    </row>
    <row r="665" spans="1:13" s="3" customFormat="1" ht="12.4" customHeight="1" x14ac:dyDescent="0.15">
      <c r="A665" s="1" t="s">
        <v>130</v>
      </c>
      <c r="F665" s="13">
        <f>F661-SUM(F662:F664)</f>
        <v>16013543.330000002</v>
      </c>
      <c r="G665" s="13">
        <f>G661-SUM(G662:G664)</f>
        <v>0</v>
      </c>
      <c r="H665" s="13">
        <f>H661-SUM(H662:H664)</f>
        <v>0</v>
      </c>
      <c r="I665" s="13">
        <f>I661-SUM(I662:I664)</f>
        <v>16013543.330000002</v>
      </c>
      <c r="J665" s="13"/>
      <c r="K665" s="13"/>
      <c r="L665" s="13"/>
      <c r="M665" s="8"/>
    </row>
    <row r="666" spans="1:13" s="3" customFormat="1" ht="12.4" customHeight="1" x14ac:dyDescent="0.2">
      <c r="A666" s="1" t="s">
        <v>131</v>
      </c>
      <c r="F666" s="183">
        <v>641.48</v>
      </c>
      <c r="G666" s="184"/>
      <c r="H666" s="184"/>
      <c r="I666" s="13">
        <f>SUM(F666:H666)</f>
        <v>641.48</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24963.43</v>
      </c>
      <c r="G668" s="13" t="e">
        <f>ROUND(G665/G666,2)</f>
        <v>#DIV/0!</v>
      </c>
      <c r="H668" s="13" t="e">
        <f>ROUND(H665/H666,2)</f>
        <v>#DIV/0!</v>
      </c>
      <c r="I668" s="13">
        <f>ROUND(I665/I666,2)</f>
        <v>24963.43</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24963.43</v>
      </c>
      <c r="G673" s="13" t="e">
        <f>ROUND((G665+G670)/(G666+G671),2)</f>
        <v>#DIV/0!</v>
      </c>
      <c r="H673" s="13" t="e">
        <f>ROUND((H665+H670)/(H666+H671),2)</f>
        <v>#DIV/0!</v>
      </c>
      <c r="I673" s="13">
        <f>ROUND((I665+I670)/(I666+I671),2)</f>
        <v>24963.43</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116396.05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35497.38+20704.42+17625.68</f>
        <v>73827.48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5035.25+25680.28+11853.04</f>
        <v>42568.57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9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Seabrook</v>
      </c>
      <c r="C5" s="317"/>
      <c r="D5" s="317"/>
      <c r="E5" s="317"/>
      <c r="F5" s="317"/>
    </row>
    <row r="8" spans="1:9" ht="18" x14ac:dyDescent="0.25">
      <c r="A8" s="240" t="s">
        <v>1560</v>
      </c>
      <c r="F8" s="247" t="s">
        <v>1578</v>
      </c>
    </row>
    <row r="9" spans="1:9" ht="15" x14ac:dyDescent="0.2">
      <c r="A9" s="238" t="s">
        <v>1561</v>
      </c>
      <c r="B9" s="241">
        <f>'DOE25'!G97</f>
        <v>78131.990000000005</v>
      </c>
      <c r="F9" s="238" t="s">
        <v>1574</v>
      </c>
    </row>
    <row r="10" spans="1:9" ht="15" x14ac:dyDescent="0.2">
      <c r="A10" s="238" t="s">
        <v>1562</v>
      </c>
      <c r="B10" s="241">
        <f>'DOE25'!G112-'DOE25'!G97</f>
        <v>0</v>
      </c>
      <c r="F10" s="238" t="s">
        <v>1575</v>
      </c>
    </row>
    <row r="11" spans="1:9" ht="15" x14ac:dyDescent="0.2">
      <c r="A11" s="238" t="s">
        <v>1563</v>
      </c>
      <c r="B11" s="241">
        <f>'DOE25'!G140</f>
        <v>4680.6499999999996</v>
      </c>
      <c r="F11" s="238" t="s">
        <v>1576</v>
      </c>
    </row>
    <row r="12" spans="1:9" ht="15" x14ac:dyDescent="0.2">
      <c r="A12" s="238" t="s">
        <v>1564</v>
      </c>
      <c r="B12" s="241">
        <f>'DOE25'!G170</f>
        <v>355202.82</v>
      </c>
      <c r="F12" s="238" t="s">
        <v>1577</v>
      </c>
    </row>
    <row r="13" spans="1:9" ht="15" x14ac:dyDescent="0.2">
      <c r="A13" s="238" t="s">
        <v>1565</v>
      </c>
      <c r="B13" s="241">
        <f>'DOE25'!G193-'DOE25'!G180</f>
        <v>0</v>
      </c>
      <c r="F13" s="238" t="s">
        <v>1587</v>
      </c>
    </row>
    <row r="14" spans="1:9" ht="18" x14ac:dyDescent="0.25">
      <c r="A14" s="240" t="s">
        <v>732</v>
      </c>
      <c r="B14" s="242">
        <f>SUM(B9:B13)</f>
        <v>438015.46</v>
      </c>
    </row>
    <row r="16" spans="1:9" ht="18" x14ac:dyDescent="0.25">
      <c r="A16" s="240" t="s">
        <v>786</v>
      </c>
      <c r="F16" s="247" t="s">
        <v>1579</v>
      </c>
    </row>
    <row r="17" spans="1:6" ht="15" x14ac:dyDescent="0.2">
      <c r="A17" s="238" t="s">
        <v>1566</v>
      </c>
      <c r="B17" s="241">
        <f>'DOE25'!L363-'DOE25'!L362</f>
        <v>464093.29</v>
      </c>
      <c r="F17" s="238" t="s">
        <v>1580</v>
      </c>
    </row>
    <row r="18" spans="1:6" ht="15" x14ac:dyDescent="0.2">
      <c r="A18" s="238" t="s">
        <v>1567</v>
      </c>
      <c r="B18" s="251">
        <v>0</v>
      </c>
      <c r="F18" s="247" t="s">
        <v>1604</v>
      </c>
    </row>
    <row r="19" spans="1:6" ht="18" x14ac:dyDescent="0.25">
      <c r="A19" s="240" t="s">
        <v>725</v>
      </c>
      <c r="B19" s="242">
        <f>SUM(B17:B18)</f>
        <v>464093.29</v>
      </c>
    </row>
    <row r="21" spans="1:6" ht="18.75" thickBot="1" x14ac:dyDescent="0.3">
      <c r="A21" s="240" t="s">
        <v>1568</v>
      </c>
    </row>
    <row r="22" spans="1:6" ht="18.75" thickTop="1" x14ac:dyDescent="0.25">
      <c r="A22" s="240" t="s">
        <v>1569</v>
      </c>
      <c r="B22" s="246">
        <f>B14-B19</f>
        <v>-26077.829999999958</v>
      </c>
      <c r="F22" s="238" t="s">
        <v>1581</v>
      </c>
    </row>
    <row r="26" spans="1:6" ht="18" x14ac:dyDescent="0.25">
      <c r="A26" s="240" t="s">
        <v>186</v>
      </c>
    </row>
    <row r="27" spans="1:6" ht="15" x14ac:dyDescent="0.2">
      <c r="A27" s="238" t="s">
        <v>1570</v>
      </c>
      <c r="B27" s="241">
        <f>'DOE25'!G180</f>
        <v>9619</v>
      </c>
      <c r="F27" s="238" t="s">
        <v>1582</v>
      </c>
    </row>
    <row r="28" spans="1:6" ht="15" x14ac:dyDescent="0.2">
      <c r="A28" s="238" t="s">
        <v>1572</v>
      </c>
      <c r="B28" s="241">
        <f>'DOE25'!L362</f>
        <v>0</v>
      </c>
      <c r="F28" s="238" t="s">
        <v>1583</v>
      </c>
    </row>
    <row r="31" spans="1:6" ht="15" x14ac:dyDescent="0.2">
      <c r="A31" s="238" t="s">
        <v>1797</v>
      </c>
      <c r="B31" s="241">
        <f>'DOE25'!G466</f>
        <v>311213.55</v>
      </c>
      <c r="F31" s="238" t="s">
        <v>1584</v>
      </c>
    </row>
    <row r="33" spans="1:6" ht="15" x14ac:dyDescent="0.2">
      <c r="A33" s="238" t="s">
        <v>1798</v>
      </c>
      <c r="B33" s="241">
        <f>'DOE25'!G477</f>
        <v>294754.72000000003</v>
      </c>
      <c r="F33" s="238" t="s">
        <v>1585</v>
      </c>
    </row>
    <row r="36" spans="1:6" ht="15" x14ac:dyDescent="0.2">
      <c r="A36" s="238" t="s">
        <v>1571</v>
      </c>
      <c r="B36" s="252">
        <v>35243.9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Seabrook</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4974114.1800000006</v>
      </c>
      <c r="C9" s="167">
        <f>'DOE25'!G198+'DOE25'!G216+'DOE25'!G234+'DOE25'!G277+'DOE25'!G296+'DOE25'!G315</f>
        <v>2492548.7599999998</v>
      </c>
    </row>
    <row r="10" spans="1:3" x14ac:dyDescent="0.2">
      <c r="A10" t="s">
        <v>775</v>
      </c>
      <c r="B10" s="177">
        <f>2206584.92+1893862.81+1187.5+221989.67+94136.25</f>
        <v>4417761.1500000004</v>
      </c>
      <c r="C10" s="177">
        <f>93441.93+37652.72+2310709.08</f>
        <v>2441803.73</v>
      </c>
    </row>
    <row r="11" spans="1:3" x14ac:dyDescent="0.2">
      <c r="A11" t="s">
        <v>776</v>
      </c>
      <c r="B11" s="177">
        <f>283238.51+23482.19+998.17+42065.11</f>
        <v>349783.98</v>
      </c>
      <c r="C11" s="177">
        <f>3217.98+26094.56</f>
        <v>29312.54</v>
      </c>
    </row>
    <row r="12" spans="1:3" x14ac:dyDescent="0.2">
      <c r="A12" t="s">
        <v>777</v>
      </c>
      <c r="B12" s="177">
        <f>148869.05+1350+56350</f>
        <v>206569.05</v>
      </c>
      <c r="C12" s="177">
        <f>9264.75+12167.74</f>
        <v>21432.489999999998</v>
      </c>
    </row>
    <row r="13" spans="1:3" x14ac:dyDescent="0.2">
      <c r="A13" t="str">
        <f>IF(B9=B13,IF(C9=C13,"Check Total OK","Check Total Error"),"Check Total Error")</f>
        <v>Check Total OK</v>
      </c>
      <c r="B13" s="169">
        <f>SUM(B10:B12)</f>
        <v>4974114.1800000006</v>
      </c>
      <c r="C13" s="169">
        <f>SUM(C10:C12)</f>
        <v>2492548.7600000002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1868842.48</v>
      </c>
      <c r="C18" s="167">
        <f>'DOE25'!G199+'DOE25'!G217+'DOE25'!G235+'DOE25'!G278+'DOE25'!G297+'DOE25'!G316</f>
        <v>650389.14</v>
      </c>
    </row>
    <row r="19" spans="1:3" x14ac:dyDescent="0.2">
      <c r="A19" t="s">
        <v>775</v>
      </c>
      <c r="B19" s="177">
        <f>701795.24+58948</f>
        <v>760743.24</v>
      </c>
      <c r="C19" s="177">
        <f>43290.31+303880.6</f>
        <v>347170.91</v>
      </c>
    </row>
    <row r="20" spans="1:3" x14ac:dyDescent="0.2">
      <c r="A20" t="s">
        <v>776</v>
      </c>
      <c r="B20" s="177">
        <f>494535.4+10423.26</f>
        <v>504958.66000000003</v>
      </c>
      <c r="C20" s="177">
        <f>797.38+41936.6</f>
        <v>42733.979999999996</v>
      </c>
    </row>
    <row r="21" spans="1:3" x14ac:dyDescent="0.2">
      <c r="A21" t="s">
        <v>777</v>
      </c>
      <c r="B21" s="177">
        <f>88335.29+345236.62+56655.08+95463.9+17449.69</f>
        <v>603140.57999999996</v>
      </c>
      <c r="C21" s="177">
        <f>8194.92+42921.91+164116.8+22119.06+23131.56</f>
        <v>260484.25</v>
      </c>
    </row>
    <row r="22" spans="1:3" x14ac:dyDescent="0.2">
      <c r="A22" t="str">
        <f>IF(B18=B22,IF(C18=C22,"Check Total OK","Check Total Error"),"Check Total Error")</f>
        <v>Check Total OK</v>
      </c>
      <c r="B22" s="169">
        <f>SUM(B19:B21)</f>
        <v>1868842.48</v>
      </c>
      <c r="C22" s="169">
        <f>SUM(C19:C21)</f>
        <v>650389.1399999999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99922</v>
      </c>
      <c r="C36" s="173">
        <f>'DOE25'!G201+'DOE25'!G219+'DOE25'!G237+'DOE25'!G280+'DOE25'!G299+'DOE25'!G318</f>
        <v>15260.119999999999</v>
      </c>
    </row>
    <row r="37" spans="1:3" x14ac:dyDescent="0.2">
      <c r="A37" t="s">
        <v>775</v>
      </c>
      <c r="B37" s="177">
        <f>1968+50450</f>
        <v>52418</v>
      </c>
      <c r="C37" s="177">
        <f>11606.7</f>
        <v>11606.7</v>
      </c>
    </row>
    <row r="38" spans="1:3" x14ac:dyDescent="0.2">
      <c r="A38" t="s">
        <v>776</v>
      </c>
      <c r="B38" s="177"/>
      <c r="C38" s="177"/>
    </row>
    <row r="39" spans="1:3" x14ac:dyDescent="0.2">
      <c r="A39" t="s">
        <v>777</v>
      </c>
      <c r="B39" s="177">
        <f>45104+2400</f>
        <v>47504</v>
      </c>
      <c r="C39" s="177">
        <v>3653.42</v>
      </c>
    </row>
    <row r="40" spans="1:3" x14ac:dyDescent="0.2">
      <c r="A40" t="str">
        <f>IF(B36=B40,IF(C36=C40,"Check Total OK","Check Total Error"),"Check Total Error")</f>
        <v>Check Total OK</v>
      </c>
      <c r="B40" s="169">
        <f>SUM(B37:B39)</f>
        <v>99922</v>
      </c>
      <c r="C40" s="169">
        <f>SUM(C37:C39)</f>
        <v>15260.12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Seabrook</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10400304.450000001</v>
      </c>
      <c r="D5" s="19">
        <f>SUM('DOE25'!L198:L201)+SUM('DOE25'!L216:L219)+SUM('DOE25'!L234:L237)-F5-G5-H5</f>
        <v>10378967.280000001</v>
      </c>
      <c r="E5" s="180"/>
      <c r="F5" s="181"/>
      <c r="G5" s="19">
        <f>SUM('DOE25'!J198:J201)+SUM('DOE25'!J216:J219)+SUM('DOE25'!J234:J237)</f>
        <v>12082.17</v>
      </c>
      <c r="H5" s="19">
        <f>SUM('DOE25'!K198:K201)+SUM('DOE25'!K216:K219)+SUM('DOE25'!K234:K237)</f>
        <v>9255</v>
      </c>
      <c r="I5" s="192"/>
    </row>
    <row r="6" spans="1:9" x14ac:dyDescent="0.2">
      <c r="A6" s="31">
        <v>2100</v>
      </c>
      <c r="B6" t="s">
        <v>796</v>
      </c>
      <c r="C6" s="206">
        <f t="shared" si="0"/>
        <v>842192.04999999993</v>
      </c>
      <c r="D6" s="19">
        <f>'DOE25'!L203+'DOE25'!L221+'DOE25'!L239-F6-G6-H6</f>
        <v>838660.04999999993</v>
      </c>
      <c r="E6" s="180"/>
      <c r="F6" s="181"/>
      <c r="G6" s="19">
        <f>'DOE25'!J203+'DOE25'!J221+'DOE25'!J239</f>
        <v>3532</v>
      </c>
      <c r="H6" s="19">
        <f>'DOE25'!K203+'DOE25'!K221+'DOE25'!K239</f>
        <v>0</v>
      </c>
      <c r="I6" s="192"/>
    </row>
    <row r="7" spans="1:9" x14ac:dyDescent="0.2">
      <c r="A7" s="31">
        <v>2200</v>
      </c>
      <c r="B7" t="s">
        <v>820</v>
      </c>
      <c r="C7" s="206">
        <f t="shared" si="0"/>
        <v>971823.38</v>
      </c>
      <c r="D7" s="19">
        <f>'DOE25'!L204+'DOE25'!L222+'DOE25'!L240-F7-G7-H7</f>
        <v>827778.22</v>
      </c>
      <c r="E7" s="180"/>
      <c r="F7" s="181">
        <v>85000</v>
      </c>
      <c r="G7" s="19">
        <f>'DOE25'!J204+'DOE25'!J222+'DOE25'!J240</f>
        <v>59045.16</v>
      </c>
      <c r="H7" s="19">
        <f>'DOE25'!K204+'DOE25'!K222+'DOE25'!K240</f>
        <v>0</v>
      </c>
      <c r="I7" s="192"/>
    </row>
    <row r="8" spans="1:9" x14ac:dyDescent="0.2">
      <c r="A8" s="31">
        <v>2300</v>
      </c>
      <c r="B8" t="s">
        <v>797</v>
      </c>
      <c r="C8" s="206">
        <f t="shared" si="0"/>
        <v>635693.19000000006</v>
      </c>
      <c r="D8" s="180"/>
      <c r="E8" s="19">
        <f>'DOE25'!L205+'DOE25'!L223+'DOE25'!L241-F8-G8-H8-D9-D11</f>
        <v>627796.15</v>
      </c>
      <c r="F8" s="181"/>
      <c r="G8" s="19">
        <f>'DOE25'!J205+'DOE25'!J223+'DOE25'!J241</f>
        <v>0</v>
      </c>
      <c r="H8" s="19">
        <f>'DOE25'!K205+'DOE25'!K223+'DOE25'!K241</f>
        <v>7897.04</v>
      </c>
      <c r="I8" s="192"/>
    </row>
    <row r="9" spans="1:9" ht="14.25" x14ac:dyDescent="0.2">
      <c r="A9" s="31">
        <v>2310</v>
      </c>
      <c r="B9" s="71" t="s">
        <v>887</v>
      </c>
      <c r="C9" s="206">
        <f t="shared" si="0"/>
        <v>62426.45</v>
      </c>
      <c r="D9" s="181">
        <v>62426.45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843117.61</v>
      </c>
      <c r="D12" s="19">
        <f>'DOE25'!L206+'DOE25'!L224+'DOE25'!L242-F12-G12-H12</f>
        <v>837407.1</v>
      </c>
      <c r="E12" s="180"/>
      <c r="F12" s="181"/>
      <c r="G12" s="19">
        <f>'DOE25'!J206+'DOE25'!J224+'DOE25'!J242</f>
        <v>0</v>
      </c>
      <c r="H12" s="19">
        <f>'DOE25'!K206+'DOE25'!K224+'DOE25'!K242</f>
        <v>5710.51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1086048.31</v>
      </c>
      <c r="D14" s="19">
        <f>'DOE25'!L208+'DOE25'!L226+'DOE25'!L244-F14-G14-H14</f>
        <v>1020440.1900000001</v>
      </c>
      <c r="E14" s="180"/>
      <c r="F14" s="181">
        <v>38000</v>
      </c>
      <c r="G14" s="19">
        <f>'DOE25'!J208+'DOE25'!J226+'DOE25'!J244</f>
        <v>27608.12</v>
      </c>
      <c r="H14" s="19">
        <f>'DOE25'!K208+'DOE25'!K226+'DOE25'!K244</f>
        <v>0</v>
      </c>
      <c r="I14" s="192"/>
    </row>
    <row r="15" spans="1:9" x14ac:dyDescent="0.2">
      <c r="A15" s="31">
        <v>2700</v>
      </c>
      <c r="B15" t="s">
        <v>799</v>
      </c>
      <c r="C15" s="206">
        <f t="shared" si="0"/>
        <v>837955.61</v>
      </c>
      <c r="D15" s="19">
        <f>'DOE25'!L209+'DOE25'!L227+'DOE25'!L245-F15-G15-H15</f>
        <v>26542.699999999953</v>
      </c>
      <c r="E15" s="180"/>
      <c r="F15" s="181">
        <f>676270.67+135142.24</f>
        <v>811412.91</v>
      </c>
      <c r="G15" s="19">
        <f>'DOE25'!J209+'DOE25'!J227+'DOE25'!J245</f>
        <v>0</v>
      </c>
      <c r="H15" s="19">
        <f>'DOE25'!K209+'DOE25'!K227+'DOE25'!K245</f>
        <v>0</v>
      </c>
      <c r="I15" s="192"/>
    </row>
    <row r="16" spans="1:9" x14ac:dyDescent="0.2">
      <c r="A16" s="31">
        <v>2800</v>
      </c>
      <c r="B16" t="s">
        <v>800</v>
      </c>
      <c r="C16" s="206">
        <f t="shared" si="0"/>
        <v>7497.59</v>
      </c>
      <c r="D16" s="180"/>
      <c r="E16" s="19">
        <f>'DOE25'!L210+'DOE25'!L228+'DOE25'!L246-F16-G16-H16</f>
        <v>5724.84</v>
      </c>
      <c r="F16" s="181"/>
      <c r="G16" s="19">
        <f>'DOE25'!J210+'DOE25'!J228+'DOE25'!J246</f>
        <v>0</v>
      </c>
      <c r="H16" s="19">
        <f>'DOE25'!K210+'DOE25'!K228+'DOE25'!K246</f>
        <v>1772.75</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1079</v>
      </c>
      <c r="D19" s="19">
        <f>'DOE25'!L254-F19-G19-H19</f>
        <v>0</v>
      </c>
      <c r="E19" s="180"/>
      <c r="F19" s="181"/>
      <c r="G19" s="19">
        <f>'DOE25'!J254</f>
        <v>1079</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144284.56</v>
      </c>
      <c r="D25" s="180"/>
      <c r="E25" s="180"/>
      <c r="F25" s="191"/>
      <c r="G25" s="180"/>
      <c r="H25" s="180"/>
      <c r="I25" s="190">
        <f>'DOE25'!L261+'DOE25'!L262+'DOE25'!L342+'DOE25'!L343</f>
        <v>144284.56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284515.75</v>
      </c>
      <c r="D29" s="212">
        <f>'DOE25'!L359+'DOE25'!L360+'DOE25'!L361-'DOE25'!I368-F29-G29-H29-F39</f>
        <v>273230.31</v>
      </c>
      <c r="E29" s="180"/>
      <c r="F29" s="180"/>
      <c r="G29" s="19">
        <f>'DOE25'!J359+'DOE25'!J360+'DOE25'!J361</f>
        <v>9642.1200000000008</v>
      </c>
      <c r="H29" s="19">
        <f>'DOE25'!K359+'DOE25'!K360+'DOE25'!K361</f>
        <v>1643.3200000000002</v>
      </c>
      <c r="I29" s="192"/>
    </row>
    <row r="30" spans="1:9" x14ac:dyDescent="0.2">
      <c r="A30" s="31"/>
      <c r="C30" s="207"/>
      <c r="D30" s="19"/>
      <c r="F30" s="201"/>
      <c r="G30" s="19"/>
      <c r="H30" s="19"/>
      <c r="I30" s="192"/>
    </row>
    <row r="31" spans="1:9" x14ac:dyDescent="0.2">
      <c r="A31" s="31" t="s">
        <v>817</v>
      </c>
      <c r="B31" t="s">
        <v>816</v>
      </c>
      <c r="C31" s="206">
        <f>SUM(D31:I31)</f>
        <v>1825504.2399999998</v>
      </c>
      <c r="D31" s="19">
        <f>'DOE25'!L291+'DOE25'!L310+'DOE25'!L329+'DOE25'!L334+'DOE25'!L335+'DOE25'!L336-F31-G31-H31</f>
        <v>1457558.3899999997</v>
      </c>
      <c r="E31" s="180"/>
      <c r="F31" s="181">
        <v>128128</v>
      </c>
      <c r="G31" s="19">
        <f>'DOE25'!J291+'DOE25'!J310+'DOE25'!J329+'DOE25'!J334+'DOE25'!J335+'DOE25'!J336</f>
        <v>200906.53999999998</v>
      </c>
      <c r="H31" s="19">
        <f>'DOE25'!K291+'DOE25'!K310+'DOE25'!K329+'DOE25'!K334+'DOE25'!K335+'DOE25'!K336</f>
        <v>38911.31</v>
      </c>
      <c r="I31" s="192"/>
    </row>
    <row r="32" spans="1:9" ht="12" thickBot="1" x14ac:dyDescent="0.25">
      <c r="C32" s="207"/>
      <c r="G32" s="188"/>
      <c r="H32" s="188"/>
      <c r="I32" s="194"/>
    </row>
    <row r="33" spans="1:9" ht="12" thickTop="1" x14ac:dyDescent="0.2">
      <c r="B33" t="s">
        <v>809</v>
      </c>
      <c r="D33" s="182">
        <f t="shared" ref="D33:I33" si="1">SUM(D5:D31)</f>
        <v>15723010.690000001</v>
      </c>
      <c r="E33" s="182">
        <f t="shared" si="1"/>
        <v>633520.99</v>
      </c>
      <c r="F33" s="182">
        <f t="shared" si="1"/>
        <v>1062540.9100000001</v>
      </c>
      <c r="G33" s="182">
        <f t="shared" si="1"/>
        <v>313895.11</v>
      </c>
      <c r="H33" s="182">
        <f t="shared" si="1"/>
        <v>65189.93</v>
      </c>
      <c r="I33" s="182">
        <f t="shared" si="1"/>
        <v>144284.56</v>
      </c>
    </row>
    <row r="34" spans="1:9" ht="12" thickBot="1" x14ac:dyDescent="0.25"/>
    <row r="35" spans="1:9" ht="12" thickBot="1" x14ac:dyDescent="0.25">
      <c r="B35" s="188" t="s">
        <v>830</v>
      </c>
      <c r="D35" s="189">
        <f>E33</f>
        <v>633520.99</v>
      </c>
      <c r="E35" s="185"/>
      <c r="F35" s="295" t="s">
        <v>1608</v>
      </c>
      <c r="G35" s="296"/>
      <c r="H35" s="296"/>
      <c r="I35" s="297"/>
    </row>
    <row r="36" spans="1:9" ht="12" thickTop="1" x14ac:dyDescent="0.2">
      <c r="B36" t="s">
        <v>810</v>
      </c>
      <c r="D36" s="19">
        <f>D33</f>
        <v>15723010.690000001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7"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Seabrook</v>
      </c>
      <c r="B2">
        <f>'DOE25'!B2</f>
        <v>485</v>
      </c>
      <c r="J2" s="224" t="s">
        <v>1808</v>
      </c>
      <c r="K2" s="309">
        <f>SUM('DOE25'!L198:L201)+SUM('DOE25'!L216:L219)+SUM('DOE25'!L234:L237)+SUM('DOE25'!L277:L280)+SUM('DOE25'!L296:L299)+SUM('DOE25'!L315:L318)</f>
        <v>11550547.510000002</v>
      </c>
      <c r="L2" s="309">
        <f>'DOE25'!L203+'DOE25'!L221+'DOE25'!L239+'DOE25'!L282+'DOE25'!L301+'DOE25'!L320</f>
        <v>988924.12999999989</v>
      </c>
      <c r="M2" s="309">
        <f>'DOE25'!L204+'DOE25'!L222+'DOE25'!L240+'DOE25'!L283+'DOE25'!L302+'DOE25'!L321</f>
        <v>1234208.3999999999</v>
      </c>
      <c r="N2" s="309">
        <f>'DOE25'!L206+'DOE25'!L224+'DOE25'!L242+'DOE25'!L285+'DOE25'!L304+'DOE25'!L323</f>
        <v>843117.61</v>
      </c>
      <c r="O2" s="309">
        <f>'Salaries-Benefits'!B10+'Salaries-Benefits'!B12+'Salaries-Benefits'!B19+'Salaries-Benefits'!B21+'Salaries-Benefits'!B28+'Salaries-Benefits'!B30+'Salaries-Benefits'!B37+'Salaries-Benefits'!B39</f>
        <v>6088136.0200000005</v>
      </c>
      <c r="P2" s="309">
        <f>'Salaries-Benefits'!B11+'Salaries-Benefits'!B20+'Salaries-Benefits'!B29+'Salaries-Benefits'!B38</f>
        <v>854742.64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-11550547.510000002</v>
      </c>
      <c r="L3" s="311">
        <f t="shared" ref="L3:P3" si="0">L21+L33+L43-L2</f>
        <v>-988924.12999999989</v>
      </c>
      <c r="M3" s="311">
        <f t="shared" si="0"/>
        <v>-1234208.3999999999</v>
      </c>
      <c r="N3" s="311">
        <f t="shared" si="0"/>
        <v>-843117.61</v>
      </c>
      <c r="O3" s="311">
        <f t="shared" si="0"/>
        <v>-6088136.0200000005</v>
      </c>
      <c r="P3" s="311">
        <f t="shared" si="0"/>
        <v>-854742.64</v>
      </c>
      <c r="Q3" s="310"/>
      <c r="R3" s="306"/>
      <c r="S3" s="215"/>
      <c r="T3" s="215"/>
      <c r="U3" s="216"/>
    </row>
    <row r="4" spans="1:21" ht="55.5" customHeight="1" thickBot="1" x14ac:dyDescent="0.25">
      <c r="A4" s="224" t="s">
        <v>1522</v>
      </c>
      <c r="B4" s="224" t="s">
        <v>1523</v>
      </c>
      <c r="C4" s="224" t="s">
        <v>896</v>
      </c>
      <c r="D4" s="224" t="s">
        <v>786</v>
      </c>
      <c r="E4" s="224" t="s">
        <v>786</v>
      </c>
      <c r="F4" s="228">
        <f>SUM(F5:F20)</f>
        <v>17512562.879999999</v>
      </c>
      <c r="G4" s="229">
        <f>'DOE25'!L212+'DOE25'!L291</f>
        <v>17512562.880000003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726739.25</v>
      </c>
      <c r="E5" s="220"/>
      <c r="F5" s="232">
        <f>D5+E5</f>
        <v>726739.25</v>
      </c>
      <c r="G5" s="223"/>
      <c r="H5" s="223"/>
      <c r="J5" s="223"/>
      <c r="K5" s="223"/>
      <c r="L5" s="223"/>
      <c r="M5" s="223"/>
      <c r="N5" s="223"/>
      <c r="O5" s="223"/>
      <c r="P5" s="223"/>
      <c r="Q5" s="223"/>
    </row>
    <row r="6" spans="1:21" x14ac:dyDescent="0.2">
      <c r="A6" t="str" cm="1">
        <f t="array" ref="A6">IFERROR(INDEX('School Tables'!$A$4:$G$325,'School Tables'!$J4,3),"")</f>
        <v>Seabrook Elementary School</v>
      </c>
      <c r="B6" s="230">
        <f>IFERROR(VLOOKUP(A6,'School Tables'!$C$3:$D$365,2,FALSE),"")</f>
        <v>20810</v>
      </c>
      <c r="C6" s="223" t="str">
        <f>IFERROR(INDEX('School Tables'!$B$3:$B$365,MATCH('School Level Expenditures'!B6,'School Tables'!$D$3:$D$365,0)),"")</f>
        <v>Seabrook</v>
      </c>
      <c r="D6" s="220">
        <v>8085262.4699999997</v>
      </c>
      <c r="E6" s="220">
        <f>1041783.1-63</f>
        <v>1041720.1</v>
      </c>
      <c r="F6" s="232">
        <f t="shared" ref="F6:F20" si="1">D6+E6</f>
        <v>9126982.5700000003</v>
      </c>
      <c r="G6" s="223"/>
      <c r="H6" s="223"/>
      <c r="J6" t="str">
        <f>A6</f>
        <v>Seabrook Elementary School</v>
      </c>
      <c r="K6" s="20"/>
      <c r="L6" s="20"/>
      <c r="M6" s="308"/>
      <c r="N6" s="20"/>
      <c r="O6" s="20"/>
      <c r="P6" s="20"/>
      <c r="Q6" s="20"/>
    </row>
    <row r="7" spans="1:21" x14ac:dyDescent="0.2">
      <c r="A7" t="str" cm="1">
        <f t="array" ref="A7">IFERROR(INDEX('School Tables'!$A$4:$G$325,'School Tables'!$J5,3),"")</f>
        <v>Seabrook Middle School</v>
      </c>
      <c r="B7" s="230">
        <f>IFERROR(VLOOKUP(A7,'School Tables'!$C$3:$D$365,2,FALSE),"")</f>
        <v>27995</v>
      </c>
      <c r="C7" s="223" t="str">
        <f>IFERROR(INDEX('School Tables'!$B$3:$B$365,MATCH('School Level Expenditures'!B7,'School Tables'!$D$3:$D$365,0)),"")</f>
        <v>Seabrook</v>
      </c>
      <c r="D7" s="220">
        <v>6875056.9199999999</v>
      </c>
      <c r="E7" s="220">
        <v>783784.14</v>
      </c>
      <c r="F7" s="232">
        <f t="shared" si="1"/>
        <v>7658841.0599999996</v>
      </c>
      <c r="G7" s="223"/>
      <c r="H7" s="223"/>
      <c r="J7" t="str">
        <f t="shared" ref="J7:J20" si="2">A7</f>
        <v>Seabrook Middle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15687058.639999999</v>
      </c>
      <c r="E21" s="262">
        <f>SUM(E5:E20)</f>
        <v>1825504.24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 zoomScaleNormal="10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Seabrook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74366.7</v>
      </c>
      <c r="D8" s="73">
        <f>'DOE25'!G9</f>
        <v>0</v>
      </c>
      <c r="E8" s="73">
        <f>'DOE25'!H9</f>
        <v>0</v>
      </c>
      <c r="F8" s="73">
        <f>'DOE25'!I9</f>
        <v>0</v>
      </c>
      <c r="G8" s="73">
        <f>'DOE25'!J9</f>
        <v>0</v>
      </c>
      <c r="H8" s="13">
        <f>SUM(C8:G8)</f>
        <v>74366.7</v>
      </c>
      <c r="I8" s="90"/>
    </row>
    <row r="9" spans="1:9" x14ac:dyDescent="0.2">
      <c r="A9" s="1" t="s">
        <v>140</v>
      </c>
      <c r="B9" s="6">
        <v>110</v>
      </c>
      <c r="C9" s="73">
        <f>'DOE25'!F10</f>
        <v>0</v>
      </c>
      <c r="D9" s="73">
        <f>'DOE25'!G10</f>
        <v>0</v>
      </c>
      <c r="E9" s="73">
        <f>'DOE25'!H10</f>
        <v>0</v>
      </c>
      <c r="F9" s="73">
        <f>'DOE25'!I10</f>
        <v>0</v>
      </c>
      <c r="G9" s="73">
        <f>'DOE25'!J10</f>
        <v>503428.61</v>
      </c>
      <c r="H9" s="13">
        <f t="shared" ref="H9:H18" si="0">SUM(C9:G9)</f>
        <v>503428.61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23912</v>
      </c>
      <c r="D11" s="73">
        <f>'DOE25'!G12</f>
        <v>291326.83</v>
      </c>
      <c r="E11" s="73">
        <f>'DOE25'!H12</f>
        <v>0</v>
      </c>
      <c r="F11" s="73">
        <f>'DOE25'!I12</f>
        <v>0</v>
      </c>
      <c r="G11" s="73">
        <f>'DOE25'!J12</f>
        <v>0</v>
      </c>
      <c r="H11" s="13">
        <f t="shared" si="0"/>
        <v>315238.83</v>
      </c>
      <c r="I11" s="90"/>
    </row>
    <row r="12" spans="1:9" x14ac:dyDescent="0.2">
      <c r="A12" s="1" t="s">
        <v>143</v>
      </c>
      <c r="B12" s="6">
        <v>140</v>
      </c>
      <c r="C12" s="73">
        <f>'DOE25'!F13</f>
        <v>24264.37</v>
      </c>
      <c r="D12" s="73">
        <f>'DOE25'!G13</f>
        <v>0</v>
      </c>
      <c r="E12" s="73">
        <f>'DOE25'!H13</f>
        <v>318230.86</v>
      </c>
      <c r="F12" s="73">
        <f>'DOE25'!I13</f>
        <v>0</v>
      </c>
      <c r="G12" s="73">
        <f>'DOE25'!J13</f>
        <v>0</v>
      </c>
      <c r="H12" s="13">
        <f t="shared" si="0"/>
        <v>342495.23</v>
      </c>
      <c r="I12" s="90"/>
    </row>
    <row r="13" spans="1:9" x14ac:dyDescent="0.2">
      <c r="A13" s="1" t="s">
        <v>144</v>
      </c>
      <c r="B13" s="6">
        <v>150</v>
      </c>
      <c r="C13" s="73">
        <f>'DOE25'!F14</f>
        <v>8845.11</v>
      </c>
      <c r="D13" s="73">
        <f>'DOE25'!G14</f>
        <v>0</v>
      </c>
      <c r="E13" s="73">
        <f>'DOE25'!H14</f>
        <v>0</v>
      </c>
      <c r="F13" s="73">
        <f>'DOE25'!I14</f>
        <v>0</v>
      </c>
      <c r="G13" s="73">
        <f>'DOE25'!J14</f>
        <v>0</v>
      </c>
      <c r="H13" s="13">
        <f t="shared" si="0"/>
        <v>8845.11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8564.98</v>
      </c>
      <c r="E15" s="73">
        <f>'DOE25'!H16</f>
        <v>0</v>
      </c>
      <c r="F15" s="73">
        <f>'DOE25'!I16</f>
        <v>0</v>
      </c>
      <c r="G15" s="23" t="s">
        <v>288</v>
      </c>
      <c r="H15" s="13">
        <f t="shared" si="0"/>
        <v>8564.98</v>
      </c>
      <c r="I15" s="90"/>
    </row>
    <row r="16" spans="1:9" x14ac:dyDescent="0.2">
      <c r="A16" s="1" t="s">
        <v>147</v>
      </c>
      <c r="B16" s="6">
        <v>180</v>
      </c>
      <c r="C16" s="73">
        <f>'DOE25'!F17</f>
        <v>49969</v>
      </c>
      <c r="D16" s="73">
        <f>'DOE25'!G17</f>
        <v>0</v>
      </c>
      <c r="E16" s="73">
        <f>'DOE25'!H17</f>
        <v>0</v>
      </c>
      <c r="F16" s="73">
        <f>'DOE25'!I17</f>
        <v>0</v>
      </c>
      <c r="G16" s="73">
        <f>'DOE25'!J17</f>
        <v>0</v>
      </c>
      <c r="H16" s="13">
        <f t="shared" si="0"/>
        <v>49969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181357.18</v>
      </c>
      <c r="D18" s="38">
        <f>SUM(D8:D17)</f>
        <v>299891.81</v>
      </c>
      <c r="E18" s="38">
        <f>SUM(E8:E17)</f>
        <v>318230.86</v>
      </c>
      <c r="F18" s="38">
        <f>SUM(F8:F17)</f>
        <v>0</v>
      </c>
      <c r="G18" s="38">
        <f>SUM(G8:G17)</f>
        <v>503428.61</v>
      </c>
      <c r="H18" s="38">
        <f t="shared" si="0"/>
        <v>1302908.46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315239.14999999997</v>
      </c>
      <c r="F21" s="73">
        <f>'DOE25'!I22</f>
        <v>0</v>
      </c>
      <c r="G21" s="73">
        <f>'DOE25'!J22</f>
        <v>0</v>
      </c>
      <c r="H21" s="13">
        <f t="shared" ref="H21:H31" si="1">SUM(C21:G21)</f>
        <v>315239.14999999997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84338.8</v>
      </c>
      <c r="D23" s="73">
        <f>'DOE25'!G24</f>
        <v>84.61</v>
      </c>
      <c r="E23" s="73">
        <f>'DOE25'!H24</f>
        <v>0</v>
      </c>
      <c r="F23" s="73">
        <f>'DOE25'!I24</f>
        <v>0</v>
      </c>
      <c r="G23" s="73">
        <f>'DOE25'!J24</f>
        <v>0</v>
      </c>
      <c r="H23" s="13">
        <f t="shared" si="1"/>
        <v>84423.41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37683.899999999994</v>
      </c>
      <c r="D27" s="73">
        <f>'DOE25'!G28</f>
        <v>439.01</v>
      </c>
      <c r="E27" s="73">
        <f>'DOE25'!H28</f>
        <v>2991.71</v>
      </c>
      <c r="F27" s="73">
        <f>'DOE25'!I28</f>
        <v>0</v>
      </c>
      <c r="G27" s="23" t="s">
        <v>288</v>
      </c>
      <c r="H27" s="13">
        <f t="shared" si="1"/>
        <v>41114.619999999995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4613.47</v>
      </c>
      <c r="E29" s="73">
        <f>'DOE25'!H30</f>
        <v>0</v>
      </c>
      <c r="F29" s="73">
        <f>'DOE25'!I30</f>
        <v>0</v>
      </c>
      <c r="G29" s="23" t="s">
        <v>288</v>
      </c>
      <c r="H29" s="13">
        <f t="shared" si="1"/>
        <v>4613.47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122022.7</v>
      </c>
      <c r="D31" s="38">
        <f>SUM(D21:D30)</f>
        <v>5137.09</v>
      </c>
      <c r="E31" s="38">
        <f>SUM(E21:E30)</f>
        <v>318230.86</v>
      </c>
      <c r="F31" s="38">
        <f>SUM(F21:F30)</f>
        <v>0</v>
      </c>
      <c r="G31" s="38">
        <f>SUM(G21:G30)</f>
        <v>0</v>
      </c>
      <c r="H31" s="38">
        <f t="shared" si="1"/>
        <v>445390.64999999997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8564.98</v>
      </c>
      <c r="E34" s="73">
        <f>'DOE25'!H35</f>
        <v>0</v>
      </c>
      <c r="F34" s="73">
        <f>'DOE25'!I35</f>
        <v>0</v>
      </c>
      <c r="G34" s="23" t="s">
        <v>288</v>
      </c>
      <c r="H34" s="13">
        <f t="shared" ref="H34:H51" si="2">SUM(C34:G34)</f>
        <v>8564.98</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286189.74</v>
      </c>
      <c r="E39" s="23" t="s">
        <v>288</v>
      </c>
      <c r="F39" s="23" t="s">
        <v>288</v>
      </c>
      <c r="G39" s="23" t="s">
        <v>288</v>
      </c>
      <c r="H39" s="13">
        <f t="shared" si="2"/>
        <v>286189.74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3765.38</v>
      </c>
      <c r="D47" s="73">
        <f>'DOE25'!G48</f>
        <v>0</v>
      </c>
      <c r="E47" s="73">
        <f>'DOE25'!H48</f>
        <v>0</v>
      </c>
      <c r="F47" s="73">
        <f>'DOE25'!I48</f>
        <v>0</v>
      </c>
      <c r="G47" s="73">
        <f>'DOE25'!J48</f>
        <v>503428.61</v>
      </c>
      <c r="H47" s="13">
        <f t="shared" si="2"/>
        <v>507193.99</v>
      </c>
      <c r="I47" s="90"/>
    </row>
    <row r="48" spans="1:9" x14ac:dyDescent="0.2">
      <c r="A48" s="1" t="s">
        <v>881</v>
      </c>
      <c r="B48" s="6">
        <v>753</v>
      </c>
      <c r="C48" s="73">
        <f>'DOE25'!F49</f>
        <v>48984.79</v>
      </c>
      <c r="D48" s="73">
        <f>'DOE25'!G49</f>
        <v>0</v>
      </c>
      <c r="E48" s="73">
        <f>'DOE25'!H49</f>
        <v>0</v>
      </c>
      <c r="F48" s="73">
        <f>'DOE25'!I49</f>
        <v>0</v>
      </c>
      <c r="G48" s="73">
        <f>'DOE25'!J49</f>
        <v>0</v>
      </c>
      <c r="H48" s="13">
        <f t="shared" si="2"/>
        <v>48984.79</v>
      </c>
      <c r="I48" s="90"/>
    </row>
    <row r="49" spans="1:9" ht="12" thickBot="1" x14ac:dyDescent="0.25">
      <c r="A49" s="28" t="s">
        <v>882</v>
      </c>
      <c r="B49" s="56">
        <v>770</v>
      </c>
      <c r="C49" s="73">
        <f>'DOE25'!F50</f>
        <v>6584.31</v>
      </c>
      <c r="D49" s="23" t="s">
        <v>288</v>
      </c>
      <c r="E49" s="23" t="s">
        <v>288</v>
      </c>
      <c r="F49" s="23" t="s">
        <v>288</v>
      </c>
      <c r="G49" s="23" t="s">
        <v>288</v>
      </c>
      <c r="H49" s="13">
        <f t="shared" si="2"/>
        <v>6584.31</v>
      </c>
      <c r="I49" s="90"/>
    </row>
    <row r="50" spans="1:9" ht="12.75" thickTop="1" thickBot="1" x14ac:dyDescent="0.25">
      <c r="A50" s="35" t="s">
        <v>883</v>
      </c>
      <c r="B50" s="44"/>
      <c r="C50" s="38">
        <f>SUM(C34:C49)</f>
        <v>59334.479999999996</v>
      </c>
      <c r="D50" s="38">
        <f>SUM(D34:D49)</f>
        <v>294754.71999999997</v>
      </c>
      <c r="E50" s="38">
        <f>SUM(E34:E49)</f>
        <v>0</v>
      </c>
      <c r="F50" s="38">
        <f>SUM(F34:F49)</f>
        <v>0</v>
      </c>
      <c r="G50" s="38">
        <f>SUM(G34:G49)</f>
        <v>503428.61</v>
      </c>
      <c r="H50" s="38">
        <f t="shared" si="2"/>
        <v>857517.80999999994</v>
      </c>
      <c r="I50" s="90"/>
    </row>
    <row r="51" spans="1:9" ht="12" thickTop="1" x14ac:dyDescent="0.2">
      <c r="A51" s="35" t="s">
        <v>884</v>
      </c>
      <c r="B51" s="2"/>
      <c r="C51" s="38">
        <f>C50+C31</f>
        <v>181357.18</v>
      </c>
      <c r="D51" s="38">
        <f>D50+D31</f>
        <v>299891.81</v>
      </c>
      <c r="E51" s="38">
        <f>E50+E31</f>
        <v>318230.86</v>
      </c>
      <c r="F51" s="38">
        <f>F50+F31</f>
        <v>0</v>
      </c>
      <c r="G51" s="38">
        <f>G50+G31</f>
        <v>503428.61</v>
      </c>
      <c r="H51" s="38">
        <f t="shared" si="2"/>
        <v>1302908.46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11699175</v>
      </c>
      <c r="D56" s="73">
        <f>'DOE25'!G60</f>
        <v>0</v>
      </c>
      <c r="E56" s="73">
        <f>'DOE25'!H60</f>
        <v>0</v>
      </c>
      <c r="F56" s="73">
        <f>'DOE25'!I60</f>
        <v>0</v>
      </c>
      <c r="G56" s="73">
        <f>'DOE25'!J60</f>
        <v>0</v>
      </c>
      <c r="H56" s="13">
        <f t="shared" ref="H56:H63" si="3">SUM(C56:G56)</f>
        <v>11699175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38808.26</v>
      </c>
      <c r="D59" s="73">
        <f>'DOE25'!G96</f>
        <v>0</v>
      </c>
      <c r="E59" s="73">
        <f>'DOE25'!H96</f>
        <v>0</v>
      </c>
      <c r="F59" s="73">
        <f>'DOE25'!I96</f>
        <v>0</v>
      </c>
      <c r="G59" s="73">
        <f>'DOE25'!J96</f>
        <v>16679.27</v>
      </c>
      <c r="H59" s="13">
        <f t="shared" si="3"/>
        <v>55487.53</v>
      </c>
      <c r="I59"/>
    </row>
    <row r="60" spans="1:9" x14ac:dyDescent="0.2">
      <c r="A60" s="1" t="s">
        <v>170</v>
      </c>
      <c r="B60" s="22" t="s">
        <v>171</v>
      </c>
      <c r="C60" s="23" t="s">
        <v>288</v>
      </c>
      <c r="D60" s="73">
        <f>'DOE25'!G97</f>
        <v>78131.990000000005</v>
      </c>
      <c r="E60" s="23" t="s">
        <v>288</v>
      </c>
      <c r="F60" s="23" t="s">
        <v>288</v>
      </c>
      <c r="G60" s="23" t="s">
        <v>288</v>
      </c>
      <c r="H60" s="13">
        <f t="shared" si="3"/>
        <v>78131.990000000005</v>
      </c>
      <c r="I60"/>
    </row>
    <row r="61" spans="1:9" ht="12" thickBot="1" x14ac:dyDescent="0.25">
      <c r="A61" s="1" t="s">
        <v>172</v>
      </c>
      <c r="B61" s="22" t="s">
        <v>173</v>
      </c>
      <c r="C61" s="73">
        <f>SUM('DOE25'!F98:F110)</f>
        <v>30073.149999999998</v>
      </c>
      <c r="D61" s="73">
        <f>SUM('DOE25'!G98:G110)</f>
        <v>0</v>
      </c>
      <c r="E61" s="73">
        <f>SUM('DOE25'!H98:H110)</f>
        <v>0</v>
      </c>
      <c r="F61" s="73">
        <f>SUM('DOE25'!I98:I110)</f>
        <v>0</v>
      </c>
      <c r="G61" s="73">
        <f>SUM('DOE25'!J98:J110)</f>
        <v>0</v>
      </c>
      <c r="H61" s="13">
        <f t="shared" si="3"/>
        <v>30073.149999999998</v>
      </c>
      <c r="I61"/>
    </row>
    <row r="62" spans="1:9" ht="12.75" thickTop="1" thickBot="1" x14ac:dyDescent="0.25">
      <c r="A62" s="28" t="s">
        <v>174</v>
      </c>
      <c r="B62" s="6"/>
      <c r="C62" s="93">
        <f>SUM(C57:C61)</f>
        <v>68881.41</v>
      </c>
      <c r="D62" s="93">
        <f>SUM(D57:D61)</f>
        <v>78131.990000000005</v>
      </c>
      <c r="E62" s="93">
        <f>SUM(E57:E61)</f>
        <v>0</v>
      </c>
      <c r="F62" s="93">
        <f>SUM(F57:F61)</f>
        <v>0</v>
      </c>
      <c r="G62" s="93">
        <f>SUM(G57:G61)</f>
        <v>16679.27</v>
      </c>
      <c r="H62" s="13">
        <f t="shared" si="3"/>
        <v>163692.67000000001</v>
      </c>
      <c r="I62"/>
    </row>
    <row r="63" spans="1:9" ht="12" thickTop="1" x14ac:dyDescent="0.2">
      <c r="A63" s="28" t="s">
        <v>175</v>
      </c>
      <c r="B63" s="6"/>
      <c r="C63" s="21">
        <f>C56+C62</f>
        <v>11768056.41</v>
      </c>
      <c r="D63" s="21">
        <f>D56+D62</f>
        <v>78131.990000000005</v>
      </c>
      <c r="E63" s="21">
        <f>E56+E62</f>
        <v>0</v>
      </c>
      <c r="F63" s="21">
        <f>F56+F62</f>
        <v>0</v>
      </c>
      <c r="G63" s="21">
        <f>G56+G62</f>
        <v>16679.27</v>
      </c>
      <c r="H63" s="13">
        <f t="shared" si="3"/>
        <v>11862867.67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1753307.47</v>
      </c>
      <c r="D66" s="23" t="s">
        <v>288</v>
      </c>
      <c r="E66" s="23" t="s">
        <v>288</v>
      </c>
      <c r="F66" s="23" t="s">
        <v>288</v>
      </c>
      <c r="G66" s="23" t="s">
        <v>288</v>
      </c>
      <c r="H66" s="13">
        <f t="shared" ref="H66:H81" si="4">SUM(C66:G66)</f>
        <v>1753307.47</v>
      </c>
      <c r="I66"/>
    </row>
    <row r="67" spans="1:9" x14ac:dyDescent="0.2">
      <c r="A67" s="1" t="s">
        <v>770</v>
      </c>
      <c r="B67" s="6">
        <v>3112</v>
      </c>
      <c r="C67" s="73">
        <f>'DOE25'!F118</f>
        <v>1620102</v>
      </c>
      <c r="D67" s="23"/>
      <c r="E67" s="23"/>
      <c r="F67" s="23"/>
      <c r="G67" s="23"/>
      <c r="H67" s="13">
        <f t="shared" si="4"/>
        <v>1620102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101012.44</v>
      </c>
      <c r="D69" s="73">
        <f>'DOE25'!G120</f>
        <v>0</v>
      </c>
      <c r="E69" s="73">
        <f>'DOE25'!H120</f>
        <v>0</v>
      </c>
      <c r="F69" s="73">
        <f>'DOE25'!I120</f>
        <v>0</v>
      </c>
      <c r="G69" s="73">
        <f>'DOE25'!J120</f>
        <v>0</v>
      </c>
      <c r="H69" s="13">
        <f t="shared" si="4"/>
        <v>101012.44</v>
      </c>
      <c r="I69"/>
    </row>
    <row r="70" spans="1:9" ht="12" thickTop="1" x14ac:dyDescent="0.2">
      <c r="A70" s="28" t="s">
        <v>252</v>
      </c>
      <c r="B70" s="2"/>
      <c r="C70" s="97">
        <f>SUM(C66:C69)</f>
        <v>3474421.9099999997</v>
      </c>
      <c r="D70" s="97">
        <f>D69</f>
        <v>0</v>
      </c>
      <c r="E70" s="97">
        <f>E69</f>
        <v>0</v>
      </c>
      <c r="F70" s="97">
        <f>F69</f>
        <v>0</v>
      </c>
      <c r="G70" s="97">
        <f>G69</f>
        <v>0</v>
      </c>
      <c r="H70" s="13">
        <f t="shared" si="4"/>
        <v>3474421.9099999997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42701.86</v>
      </c>
      <c r="D72" s="23" t="s">
        <v>288</v>
      </c>
      <c r="E72" s="23" t="s">
        <v>288</v>
      </c>
      <c r="F72" s="73">
        <f>'DOE25'!I123</f>
        <v>0</v>
      </c>
      <c r="G72" s="23" t="s">
        <v>288</v>
      </c>
      <c r="H72" s="13">
        <f t="shared" si="4"/>
        <v>42701.86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75188.539999999994</v>
      </c>
      <c r="D75" s="23" t="s">
        <v>288</v>
      </c>
      <c r="E75" s="23" t="s">
        <v>288</v>
      </c>
      <c r="F75" s="23" t="s">
        <v>288</v>
      </c>
      <c r="G75" s="23" t="s">
        <v>288</v>
      </c>
      <c r="H75" s="13">
        <f t="shared" si="4"/>
        <v>75188.539999999994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4680.6499999999996</v>
      </c>
      <c r="E77" s="73">
        <f>SUM('DOE25'!H131:H135)</f>
        <v>0</v>
      </c>
      <c r="F77" s="73">
        <f>SUM('DOE25'!I131:I135)</f>
        <v>0</v>
      </c>
      <c r="G77" s="73">
        <f>SUM('DOE25'!J131:J135)</f>
        <v>0</v>
      </c>
      <c r="H77" s="13">
        <f t="shared" si="4"/>
        <v>4680.6499999999996</v>
      </c>
      <c r="I77"/>
    </row>
    <row r="78" spans="1:9" ht="12.75" thickTop="1" thickBot="1" x14ac:dyDescent="0.25">
      <c r="A78" s="28" t="s">
        <v>259</v>
      </c>
      <c r="B78" s="6"/>
      <c r="C78" s="93">
        <f>SUM(C72:C77)</f>
        <v>117890.4</v>
      </c>
      <c r="D78" s="93">
        <f>SUM(D72:D77)</f>
        <v>4680.6499999999996</v>
      </c>
      <c r="E78" s="93">
        <f>SUM(E72:E77)</f>
        <v>0</v>
      </c>
      <c r="F78" s="93">
        <f>SUM(F72:F77)</f>
        <v>0</v>
      </c>
      <c r="G78" s="93">
        <f>SUM(G72:G77)</f>
        <v>0</v>
      </c>
      <c r="H78" s="13">
        <f t="shared" si="4"/>
        <v>122571.04999999999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3592312.3099999996</v>
      </c>
      <c r="D81" s="93">
        <f>SUM(D79:D80)+D78+D70</f>
        <v>4680.6499999999996</v>
      </c>
      <c r="E81" s="93">
        <f>SUM(E79:E80)+E78+E70</f>
        <v>0</v>
      </c>
      <c r="F81" s="93">
        <f>SUM(F79:F80)+F78+F70</f>
        <v>0</v>
      </c>
      <c r="G81" s="93">
        <f>SUM(G79:G80)+G78+G70</f>
        <v>0</v>
      </c>
      <c r="H81" s="93">
        <f t="shared" si="4"/>
        <v>3596992.9599999995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59894.93</v>
      </c>
      <c r="D88" s="253">
        <f>SUM('DOE25'!G153:G162)</f>
        <v>319958.92</v>
      </c>
      <c r="E88" s="253">
        <f>SUM('DOE25'!H153:H162)</f>
        <v>1840106.2000000002</v>
      </c>
      <c r="F88" s="253">
        <f>SUM('DOE25'!I153:I162)</f>
        <v>0</v>
      </c>
      <c r="G88" s="23" t="s">
        <v>288</v>
      </c>
      <c r="H88" s="13">
        <f t="shared" si="5"/>
        <v>2219960.0500000003</v>
      </c>
    </row>
    <row r="89" spans="1:9" x14ac:dyDescent="0.2">
      <c r="A89" t="s">
        <v>748</v>
      </c>
      <c r="B89" s="31" t="s">
        <v>185</v>
      </c>
      <c r="C89" s="73">
        <f>'DOE25'!F164+'DOE25'!F167+'DOE25'!F169</f>
        <v>0</v>
      </c>
      <c r="D89" s="73">
        <f>'DOE25'!G164+'DOE25'!G169</f>
        <v>35243.9</v>
      </c>
      <c r="E89" s="73">
        <f>'DOE25'!H164+'DOE25'!H169</f>
        <v>0</v>
      </c>
      <c r="F89" s="73">
        <f>'DOE25'!I164</f>
        <v>0</v>
      </c>
      <c r="G89" s="23" t="s">
        <v>288</v>
      </c>
      <c r="H89" s="13">
        <f t="shared" si="5"/>
        <v>35243.9</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59894.93</v>
      </c>
      <c r="D91" s="94">
        <f>SUM(D85:D90)</f>
        <v>355202.82</v>
      </c>
      <c r="E91" s="94">
        <f>SUM(E85:E90)</f>
        <v>1840106.2000000002</v>
      </c>
      <c r="F91" s="94">
        <f>SUM(F85:F90)</f>
        <v>0</v>
      </c>
      <c r="G91" s="23" t="s">
        <v>288</v>
      </c>
      <c r="H91" s="13">
        <f t="shared" si="5"/>
        <v>2255203.9500000002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9619</v>
      </c>
      <c r="E96" s="73">
        <f>'DOE25'!H180</f>
        <v>0</v>
      </c>
      <c r="F96" s="73">
        <f>'DOE25'!I180</f>
        <v>0</v>
      </c>
      <c r="G96" s="73">
        <f>'DOE25'!J180</f>
        <v>0</v>
      </c>
      <c r="H96" s="13">
        <f t="shared" si="5"/>
        <v>9619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9619</v>
      </c>
      <c r="E103" s="68">
        <f>SUM(E93:E102)</f>
        <v>0</v>
      </c>
      <c r="F103" s="68">
        <f>SUM(F93:F102)</f>
        <v>0</v>
      </c>
      <c r="G103" s="68">
        <f>SUM(G93:G102)</f>
        <v>0</v>
      </c>
      <c r="H103" s="68">
        <f t="shared" si="5"/>
        <v>9619</v>
      </c>
    </row>
    <row r="104" spans="1:8" ht="12.75" thickTop="1" thickBot="1" x14ac:dyDescent="0.25">
      <c r="A104" s="32" t="s">
        <v>761</v>
      </c>
      <c r="C104" s="68">
        <f>C63+C81+C91+C103</f>
        <v>15420263.649999999</v>
      </c>
      <c r="D104" s="68">
        <f>D63+D81+D91+D103</f>
        <v>447634.46</v>
      </c>
      <c r="E104" s="68">
        <f>E63+E81+E91+E103</f>
        <v>1840106.2000000002</v>
      </c>
      <c r="F104" s="68">
        <f>F63+F81+F91+F103</f>
        <v>0</v>
      </c>
      <c r="G104" s="68">
        <f>G63+G81+G103</f>
        <v>16679.27</v>
      </c>
      <c r="H104" s="68">
        <f t="shared" si="5"/>
        <v>17724683.579999998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7024542.370000001</v>
      </c>
      <c r="D109" s="23" t="s">
        <v>288</v>
      </c>
      <c r="E109" s="73">
        <f>('DOE25'!L277)+('DOE25'!L296)+('DOE25'!L315)</f>
        <v>788272.65</v>
      </c>
      <c r="F109" s="23" t="s">
        <v>288</v>
      </c>
      <c r="G109" s="23" t="s">
        <v>288</v>
      </c>
      <c r="H109" s="13">
        <f t="shared" ref="H109:H115" si="6">SUM(C109:G109)</f>
        <v>7812815.0200000014</v>
      </c>
    </row>
    <row r="110" spans="1:8" x14ac:dyDescent="0.2">
      <c r="A110" t="s">
        <v>198</v>
      </c>
      <c r="B110" s="31" t="s">
        <v>199</v>
      </c>
      <c r="C110" s="73">
        <f>('DOE25'!L199)+('DOE25'!L217)+('DOE25'!L235)</f>
        <v>3303702.83</v>
      </c>
      <c r="D110" s="23" t="s">
        <v>288</v>
      </c>
      <c r="E110" s="73">
        <f>('DOE25'!L278)+('DOE25'!L297)+('DOE25'!L316)</f>
        <v>286373.70999999996</v>
      </c>
      <c r="F110" s="23" t="s">
        <v>288</v>
      </c>
      <c r="G110" s="23" t="s">
        <v>288</v>
      </c>
      <c r="H110" s="13">
        <f t="shared" si="6"/>
        <v>3590076.54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72059.25</v>
      </c>
      <c r="D112" s="23" t="s">
        <v>288</v>
      </c>
      <c r="E112" s="73">
        <f>+('DOE25'!L280)+('DOE25'!L299)+('DOE25'!L318)</f>
        <v>75596.7</v>
      </c>
      <c r="F112" s="23" t="s">
        <v>288</v>
      </c>
      <c r="G112" s="23" t="s">
        <v>288</v>
      </c>
      <c r="H112" s="13">
        <f t="shared" si="6"/>
        <v>147655.95000000001</v>
      </c>
    </row>
    <row r="113" spans="1:8" x14ac:dyDescent="0.2">
      <c r="A113" t="s">
        <v>202</v>
      </c>
      <c r="B113" s="31" t="s">
        <v>169</v>
      </c>
      <c r="C113" s="73">
        <f>'DOE25'!L251</f>
        <v>0</v>
      </c>
      <c r="D113" s="23" t="s">
        <v>288</v>
      </c>
      <c r="E113" s="73">
        <f>+'DOE25'!L333</f>
        <v>11760.03</v>
      </c>
      <c r="F113" s="23" t="s">
        <v>288</v>
      </c>
      <c r="G113" s="23" t="s">
        <v>288</v>
      </c>
      <c r="H113" s="13">
        <f t="shared" si="6"/>
        <v>11760.03</v>
      </c>
    </row>
    <row r="114" spans="1:8" ht="12" thickBot="1" x14ac:dyDescent="0.25">
      <c r="A114" t="s">
        <v>203</v>
      </c>
      <c r="B114" s="31" t="s">
        <v>204</v>
      </c>
      <c r="C114" s="73">
        <f>SUM('DOE25'!L252:L254)</f>
        <v>1079</v>
      </c>
      <c r="D114" s="23" t="s">
        <v>288</v>
      </c>
      <c r="E114" s="73">
        <f>+ SUM('DOE25'!L334:L336)</f>
        <v>0</v>
      </c>
      <c r="F114" s="23" t="s">
        <v>288</v>
      </c>
      <c r="G114" s="23" t="s">
        <v>288</v>
      </c>
      <c r="H114" s="13">
        <f t="shared" si="6"/>
        <v>1079</v>
      </c>
    </row>
    <row r="115" spans="1:8" ht="12.75" thickTop="1" thickBot="1" x14ac:dyDescent="0.25">
      <c r="A115" s="32" t="s">
        <v>205</v>
      </c>
      <c r="C115" s="68">
        <f>SUM(C109:C114)</f>
        <v>10401383.450000001</v>
      </c>
      <c r="D115" s="68">
        <f>SUM(D109:D114)</f>
        <v>0</v>
      </c>
      <c r="E115" s="68">
        <f>SUM(E109:E114)</f>
        <v>1162003.0899999999</v>
      </c>
      <c r="F115" s="68">
        <f>SUM(F109:F114)</f>
        <v>0</v>
      </c>
      <c r="G115" s="68">
        <f>SUM(G109:G114)</f>
        <v>0</v>
      </c>
      <c r="H115" s="68">
        <f t="shared" si="6"/>
        <v>11563386.540000001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842192.04999999993</v>
      </c>
      <c r="D118" s="23" t="s">
        <v>288</v>
      </c>
      <c r="E118" s="73">
        <f>+('DOE25'!L282)+('DOE25'!L301)+('DOE25'!L320)</f>
        <v>146732.08000000002</v>
      </c>
      <c r="F118" s="23" t="s">
        <v>288</v>
      </c>
      <c r="G118" s="23" t="s">
        <v>288</v>
      </c>
      <c r="H118" s="13">
        <f t="shared" ref="H118:H145" si="7">SUM(C118:G118)</f>
        <v>988924.12999999989</v>
      </c>
    </row>
    <row r="119" spans="1:8" x14ac:dyDescent="0.2">
      <c r="A119" t="s">
        <v>208</v>
      </c>
      <c r="B119" s="31" t="s">
        <v>209</v>
      </c>
      <c r="C119" s="73">
        <f>('DOE25'!L204)+('DOE25'!L222)+('DOE25'!L240)</f>
        <v>971823.38</v>
      </c>
      <c r="D119" s="23" t="s">
        <v>288</v>
      </c>
      <c r="E119" s="73">
        <f>+('DOE25'!L283)+('DOE25'!L302)+('DOE25'!L321)</f>
        <v>262385.02</v>
      </c>
      <c r="F119" s="23" t="s">
        <v>288</v>
      </c>
      <c r="G119" s="23" t="s">
        <v>288</v>
      </c>
      <c r="H119" s="13">
        <f t="shared" si="7"/>
        <v>1234208.3999999999</v>
      </c>
    </row>
    <row r="120" spans="1:8" x14ac:dyDescent="0.2">
      <c r="A120" t="s">
        <v>210</v>
      </c>
      <c r="B120" s="31" t="s">
        <v>211</v>
      </c>
      <c r="C120" s="73">
        <f>('DOE25'!L205)+('DOE25'!L223)+('DOE25'!L241)</f>
        <v>698119.64</v>
      </c>
      <c r="D120" s="23" t="s">
        <v>288</v>
      </c>
      <c r="E120" s="73">
        <f>+('DOE25'!L284)+('DOE25'!L303)+('DOE25'!L322)</f>
        <v>115863.22</v>
      </c>
      <c r="F120" s="23" t="s">
        <v>288</v>
      </c>
      <c r="G120" s="23" t="s">
        <v>288</v>
      </c>
      <c r="H120" s="13">
        <f t="shared" si="7"/>
        <v>813982.86</v>
      </c>
    </row>
    <row r="121" spans="1:8" x14ac:dyDescent="0.2">
      <c r="A121" t="s">
        <v>212</v>
      </c>
      <c r="B121" s="31" t="s">
        <v>213</v>
      </c>
      <c r="C121" s="73">
        <f>('DOE25'!L206)+('DOE25'!L224)+('DOE25'!L242)</f>
        <v>843117.61</v>
      </c>
      <c r="D121" s="23" t="s">
        <v>288</v>
      </c>
      <c r="E121" s="73">
        <f>+('DOE25'!L285)+('DOE25'!L304)+('DOE25'!L323)</f>
        <v>0</v>
      </c>
      <c r="F121" s="23" t="s">
        <v>288</v>
      </c>
      <c r="G121" s="23" t="s">
        <v>288</v>
      </c>
      <c r="H121" s="13">
        <f t="shared" si="7"/>
        <v>843117.61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1086048.31</v>
      </c>
      <c r="D123" s="23" t="s">
        <v>288</v>
      </c>
      <c r="E123" s="73">
        <f>+('DOE25'!L287)+('DOE25'!L306)+('DOE25'!L325)</f>
        <v>134247.85999999999</v>
      </c>
      <c r="F123" s="23" t="s">
        <v>288</v>
      </c>
      <c r="G123" s="23" t="s">
        <v>288</v>
      </c>
      <c r="H123" s="13">
        <f t="shared" si="7"/>
        <v>1220296.17</v>
      </c>
    </row>
    <row r="124" spans="1:8" x14ac:dyDescent="0.2">
      <c r="A124" t="s">
        <v>218</v>
      </c>
      <c r="B124" s="31" t="s">
        <v>219</v>
      </c>
      <c r="C124" s="73">
        <f>('DOE25'!L209)+('DOE25'!L227)+('DOE25'!L245+'DOE25'!L255)</f>
        <v>837955.61</v>
      </c>
      <c r="D124" s="23" t="s">
        <v>288</v>
      </c>
      <c r="E124" s="73">
        <f>+('DOE25'!L288)+('DOE25'!L307)+('DOE25'!L326)</f>
        <v>16033</v>
      </c>
      <c r="F124" s="23" t="s">
        <v>288</v>
      </c>
      <c r="G124" s="23" t="s">
        <v>288</v>
      </c>
      <c r="H124" s="13">
        <f t="shared" si="7"/>
        <v>853988.61</v>
      </c>
    </row>
    <row r="125" spans="1:8" x14ac:dyDescent="0.2">
      <c r="A125" t="s">
        <v>220</v>
      </c>
      <c r="B125" s="31" t="s">
        <v>221</v>
      </c>
      <c r="C125" s="73">
        <f>('DOE25'!L210)+('DOE25'!L228)+('DOE25'!L246)</f>
        <v>7497.59</v>
      </c>
      <c r="D125" s="23" t="s">
        <v>288</v>
      </c>
      <c r="E125" s="73">
        <f>+('DOE25'!L289)+('DOE25'!L308)+('DOE25'!L327)</f>
        <v>0</v>
      </c>
      <c r="F125" s="23" t="s">
        <v>288</v>
      </c>
      <c r="G125" s="23" t="s">
        <v>288</v>
      </c>
      <c r="H125" s="13">
        <f t="shared" si="7"/>
        <v>7497.59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464093.29</v>
      </c>
      <c r="E127" s="23" t="s">
        <v>288</v>
      </c>
      <c r="F127" s="23" t="s">
        <v>288</v>
      </c>
      <c r="G127" s="23" t="s">
        <v>288</v>
      </c>
      <c r="H127" s="13">
        <f t="shared" si="7"/>
        <v>464093.29</v>
      </c>
    </row>
    <row r="128" spans="1:8" ht="12.75" thickTop="1" thickBot="1" x14ac:dyDescent="0.25">
      <c r="A128" s="32" t="s">
        <v>226</v>
      </c>
      <c r="C128" s="68">
        <f>SUM(C118:C127)</f>
        <v>5286754.1900000004</v>
      </c>
      <c r="D128" s="68">
        <f>SUM(D118:D127)</f>
        <v>464093.29</v>
      </c>
      <c r="E128" s="68">
        <f>SUM(E118:E127)</f>
        <v>675261.18</v>
      </c>
      <c r="F128" s="68">
        <f>SUM(F118:F127)</f>
        <v>0</v>
      </c>
      <c r="G128" s="68">
        <f>SUM(G118:G127)</f>
        <v>0</v>
      </c>
      <c r="H128" s="68">
        <f t="shared" si="7"/>
        <v>6426108.6600000001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138672.87</v>
      </c>
      <c r="D131" s="23" t="s">
        <v>288</v>
      </c>
      <c r="E131" s="92">
        <f>'DOE25'!L342</f>
        <v>0</v>
      </c>
      <c r="F131" s="23" t="s">
        <v>288</v>
      </c>
      <c r="G131" s="23" t="s">
        <v>288</v>
      </c>
      <c r="H131" s="13">
        <f t="shared" si="7"/>
        <v>138672.87</v>
      </c>
    </row>
    <row r="132" spans="1:8" x14ac:dyDescent="0.2">
      <c r="A132" t="s">
        <v>230</v>
      </c>
      <c r="B132" s="31">
        <v>5120</v>
      </c>
      <c r="C132" s="73">
        <f>'DOE25'!L262</f>
        <v>5611.69</v>
      </c>
      <c r="D132" s="23" t="s">
        <v>288</v>
      </c>
      <c r="E132" s="92">
        <f>'DOE25'!L343</f>
        <v>0</v>
      </c>
      <c r="F132" s="23" t="s">
        <v>288</v>
      </c>
      <c r="G132" s="23" t="s">
        <v>288</v>
      </c>
      <c r="H132" s="13">
        <f t="shared" si="7"/>
        <v>5611.69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9619</v>
      </c>
      <c r="D135" s="23" t="s">
        <v>288</v>
      </c>
      <c r="E135" s="92">
        <f>'DOE25'!L346</f>
        <v>0</v>
      </c>
      <c r="F135" s="23" t="s">
        <v>288</v>
      </c>
      <c r="G135" s="23" t="s">
        <v>288</v>
      </c>
      <c r="H135" s="13">
        <f t="shared" si="7"/>
        <v>9619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16679.27</v>
      </c>
      <c r="D139" s="23" t="s">
        <v>288</v>
      </c>
      <c r="E139" s="23" t="s">
        <v>288</v>
      </c>
      <c r="F139" s="23" t="s">
        <v>288</v>
      </c>
      <c r="G139" s="23" t="s">
        <v>288</v>
      </c>
      <c r="H139" s="13">
        <f t="shared" si="7"/>
        <v>16679.27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-16679.27</v>
      </c>
      <c r="D141" s="23" t="s">
        <v>288</v>
      </c>
      <c r="E141" s="23" t="s">
        <v>288</v>
      </c>
      <c r="F141" s="23" t="s">
        <v>288</v>
      </c>
      <c r="G141" s="23" t="s">
        <v>288</v>
      </c>
      <c r="H141" s="13">
        <f t="shared" si="7"/>
        <v>-16679.27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153903.56</v>
      </c>
      <c r="D144" s="98">
        <f>SUM(D130:D143)</f>
        <v>0</v>
      </c>
      <c r="E144" s="98">
        <f>SUM(E130:E143)</f>
        <v>0</v>
      </c>
      <c r="F144" s="98">
        <f>SUM(F130:F143)</f>
        <v>0</v>
      </c>
      <c r="G144" s="98">
        <f>SUM(G130:G143)</f>
        <v>0</v>
      </c>
      <c r="H144" s="98">
        <f t="shared" si="7"/>
        <v>153903.56</v>
      </c>
    </row>
    <row r="145" spans="1:9" ht="12.75" thickTop="1" thickBot="1" x14ac:dyDescent="0.25">
      <c r="A145" s="32" t="s">
        <v>244</v>
      </c>
      <c r="C145" s="68">
        <f>(C115+C128+C144)</f>
        <v>15842041.200000001</v>
      </c>
      <c r="D145" s="68">
        <f>(D115+D128+D144)</f>
        <v>464093.29</v>
      </c>
      <c r="E145" s="68">
        <f>(E115+E128+E144)</f>
        <v>1837264.27</v>
      </c>
      <c r="F145" s="68">
        <f>(F115+F128+F144)</f>
        <v>0</v>
      </c>
      <c r="G145" s="68">
        <f>(G115+G128+G144)</f>
        <v>0</v>
      </c>
      <c r="H145" s="68">
        <f t="shared" si="7"/>
        <v>18143398.760000002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April 2010</v>
      </c>
      <c r="C152" s="109">
        <f>'DOE25'!G492</f>
        <v>0</v>
      </c>
      <c r="D152" s="109">
        <f>'DOE25'!H492</f>
        <v>0</v>
      </c>
      <c r="E152" s="109">
        <f>'DOE25'!I492</f>
        <v>0</v>
      </c>
      <c r="F152" s="109">
        <f>'DOE25'!J492</f>
        <v>0</v>
      </c>
      <c r="G152" s="23" t="s">
        <v>288</v>
      </c>
    </row>
    <row r="153" spans="1:9" x14ac:dyDescent="0.2">
      <c r="A153" s="21" t="s">
        <v>29</v>
      </c>
      <c r="B153" s="109" t="str">
        <f>'DOE25'!F493</f>
        <v>April 2024</v>
      </c>
      <c r="C153" s="109">
        <f>'DOE25'!G493</f>
        <v>0</v>
      </c>
      <c r="D153" s="109">
        <f>'DOE25'!H493</f>
        <v>0</v>
      </c>
      <c r="E153" s="109">
        <f>'DOE25'!I493</f>
        <v>0</v>
      </c>
      <c r="F153" s="109">
        <f>'DOE25'!J493</f>
        <v>0</v>
      </c>
      <c r="G153" s="23" t="s">
        <v>288</v>
      </c>
    </row>
    <row r="154" spans="1:9" x14ac:dyDescent="0.2">
      <c r="A154" s="21" t="s">
        <v>30</v>
      </c>
      <c r="B154" s="19">
        <f>'DOE25'!F494</f>
        <v>1780093</v>
      </c>
      <c r="C154" s="19">
        <f>'DOE25'!G494</f>
        <v>0</v>
      </c>
      <c r="D154" s="19">
        <f>'DOE25'!H494</f>
        <v>0</v>
      </c>
      <c r="E154" s="19">
        <f>'DOE25'!I494</f>
        <v>0</v>
      </c>
      <c r="F154" s="19">
        <f>'DOE25'!J494</f>
        <v>0</v>
      </c>
      <c r="G154" s="23" t="s">
        <v>288</v>
      </c>
    </row>
    <row r="155" spans="1:9" x14ac:dyDescent="0.2">
      <c r="A155" s="21" t="s">
        <v>31</v>
      </c>
      <c r="B155" s="19">
        <f>'DOE25'!F495</f>
        <v>1.26</v>
      </c>
      <c r="C155" s="19">
        <f>'DOE25'!G495</f>
        <v>0</v>
      </c>
      <c r="D155" s="19">
        <f>'DOE25'!H495</f>
        <v>0</v>
      </c>
      <c r="E155" s="19">
        <f>'DOE25'!I495</f>
        <v>0</v>
      </c>
      <c r="F155" s="19">
        <f>'DOE25'!J495</f>
        <v>0</v>
      </c>
      <c r="G155" s="23" t="s">
        <v>288</v>
      </c>
    </row>
    <row r="156" spans="1:9" x14ac:dyDescent="0.2">
      <c r="A156" s="21" t="s">
        <v>32</v>
      </c>
      <c r="B156" s="19">
        <f>'DOE25'!F496</f>
        <v>282710.07</v>
      </c>
      <c r="C156" s="19">
        <f>'DOE25'!G496</f>
        <v>0</v>
      </c>
      <c r="D156" s="19">
        <f>'DOE25'!H496</f>
        <v>0</v>
      </c>
      <c r="E156" s="19">
        <f>'DOE25'!I496</f>
        <v>0</v>
      </c>
      <c r="F156" s="19">
        <f>'DOE25'!J496</f>
        <v>0</v>
      </c>
      <c r="G156" s="96">
        <f>SUM(B156:F156)</f>
        <v>282710.07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143108.65</v>
      </c>
      <c r="C158" s="19">
        <f>'DOE25'!G498</f>
        <v>0</v>
      </c>
      <c r="D158" s="19">
        <f>'DOE25'!H498</f>
        <v>0</v>
      </c>
      <c r="E158" s="19">
        <f>'DOE25'!I498</f>
        <v>0</v>
      </c>
      <c r="F158" s="19">
        <f>'DOE25'!J498</f>
        <v>0</v>
      </c>
      <c r="G158" s="96">
        <f t="shared" si="8"/>
        <v>143108.65</v>
      </c>
    </row>
    <row r="159" spans="1:9" x14ac:dyDescent="0.2">
      <c r="A159" s="21" t="s">
        <v>35</v>
      </c>
      <c r="B159" s="19">
        <f>'DOE25'!F499</f>
        <v>288074.40000000002</v>
      </c>
      <c r="C159" s="19">
        <f>'DOE25'!G499</f>
        <v>0</v>
      </c>
      <c r="D159" s="19">
        <f>'DOE25'!H499</f>
        <v>0</v>
      </c>
      <c r="E159" s="19">
        <f>'DOE25'!I499</f>
        <v>0</v>
      </c>
      <c r="F159" s="19">
        <f>'DOE25'!J499</f>
        <v>0</v>
      </c>
      <c r="G159" s="96">
        <f t="shared" si="8"/>
        <v>288074.40000000002</v>
      </c>
    </row>
    <row r="160" spans="1:9" x14ac:dyDescent="0.2">
      <c r="A160" s="21" t="s">
        <v>36</v>
      </c>
      <c r="B160" s="19">
        <f>'DOE25'!F500</f>
        <v>3595.94</v>
      </c>
      <c r="C160" s="19">
        <f>'DOE25'!G500</f>
        <v>0</v>
      </c>
      <c r="D160" s="19">
        <f>'DOE25'!H500</f>
        <v>0</v>
      </c>
      <c r="E160" s="19">
        <f>'DOE25'!I500</f>
        <v>0</v>
      </c>
      <c r="F160" s="19">
        <f>'DOE25'!J500</f>
        <v>0</v>
      </c>
      <c r="G160" s="96">
        <f t="shared" si="8"/>
        <v>3595.94</v>
      </c>
    </row>
    <row r="161" spans="1:7" x14ac:dyDescent="0.2">
      <c r="A161" s="21" t="s">
        <v>37</v>
      </c>
      <c r="B161" s="19">
        <f>'DOE25'!F501</f>
        <v>291670.34000000003</v>
      </c>
      <c r="C161" s="19">
        <f>'DOE25'!G501</f>
        <v>0</v>
      </c>
      <c r="D161" s="19">
        <f>'DOE25'!H501</f>
        <v>0</v>
      </c>
      <c r="E161" s="19">
        <f>'DOE25'!I501</f>
        <v>0</v>
      </c>
      <c r="F161" s="19">
        <f>'DOE25'!J501</f>
        <v>0</v>
      </c>
      <c r="G161" s="96">
        <f t="shared" si="8"/>
        <v>291670.34000000003</v>
      </c>
    </row>
    <row r="162" spans="1:7" x14ac:dyDescent="0.2">
      <c r="A162" s="21" t="s">
        <v>38</v>
      </c>
      <c r="B162" s="19">
        <f>'DOE25'!F502</f>
        <v>138672.87</v>
      </c>
      <c r="C162" s="19">
        <f>'DOE25'!G502</f>
        <v>0</v>
      </c>
      <c r="D162" s="19">
        <f>'DOE25'!H502</f>
        <v>0</v>
      </c>
      <c r="E162" s="19">
        <f>'DOE25'!I502</f>
        <v>0</v>
      </c>
      <c r="F162" s="19">
        <f>'DOE25'!J502</f>
        <v>0</v>
      </c>
      <c r="G162" s="96">
        <f t="shared" si="8"/>
        <v>138672.87</v>
      </c>
    </row>
    <row r="163" spans="1:7" x14ac:dyDescent="0.2">
      <c r="A163" s="21" t="s">
        <v>39</v>
      </c>
      <c r="B163" s="19">
        <f>'DOE25'!F503</f>
        <v>2688.51</v>
      </c>
      <c r="C163" s="19">
        <f>'DOE25'!G503</f>
        <v>0</v>
      </c>
      <c r="D163" s="19">
        <f>'DOE25'!H503</f>
        <v>0</v>
      </c>
      <c r="E163" s="19">
        <f>'DOE25'!I503</f>
        <v>0</v>
      </c>
      <c r="F163" s="19">
        <f>'DOE25'!J503</f>
        <v>0</v>
      </c>
      <c r="G163" s="96">
        <f t="shared" si="8"/>
        <v>2688.51</v>
      </c>
    </row>
    <row r="164" spans="1:7" x14ac:dyDescent="0.2">
      <c r="A164" s="21" t="s">
        <v>246</v>
      </c>
      <c r="B164" s="19">
        <f>'DOE25'!F504</f>
        <v>141361.38</v>
      </c>
      <c r="C164" s="19">
        <f>'DOE25'!G504</f>
        <v>0</v>
      </c>
      <c r="D164" s="19">
        <f>'DOE25'!H504</f>
        <v>0</v>
      </c>
      <c r="E164" s="19">
        <f>'DOE25'!I504</f>
        <v>0</v>
      </c>
      <c r="F164" s="19">
        <f>'DOE25'!J504</f>
        <v>0</v>
      </c>
      <c r="G164" s="96">
        <f t="shared" si="8"/>
        <v>141361.38</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Seabrook</v>
      </c>
    </row>
    <row r="3" spans="1:4" x14ac:dyDescent="0.2">
      <c r="B3" s="137" t="s">
        <v>1799</v>
      </c>
    </row>
    <row r="4" spans="1:4" x14ac:dyDescent="0.2">
      <c r="B4" t="s">
        <v>61</v>
      </c>
      <c r="C4" s="129">
        <f>IF('DOE25'!F666+'DOE25'!F671=0,0,ROUND('DOE25'!F673,0))</f>
        <v>24963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24963</v>
      </c>
    </row>
    <row r="9" spans="1:4" x14ac:dyDescent="0.2">
      <c r="A9" s="136" t="s">
        <v>94</v>
      </c>
      <c r="B9" s="137" t="s">
        <v>1800</v>
      </c>
      <c r="C9" s="131" t="s">
        <v>720</v>
      </c>
      <c r="D9" s="131" t="s">
        <v>721</v>
      </c>
    </row>
    <row r="10" spans="1:4" x14ac:dyDescent="0.2">
      <c r="A10">
        <v>1100</v>
      </c>
      <c r="B10" t="s">
        <v>702</v>
      </c>
      <c r="C10" s="129">
        <f>ROUND('DOE25'!L198+'DOE25'!L216+'DOE25'!L234+'DOE25'!L277+'DOE25'!L296+'DOE25'!L315,0)</f>
        <v>7812815</v>
      </c>
      <c r="D10" s="132">
        <f>ROUND((C10/$C$28)*100,1)</f>
        <v>43.6</v>
      </c>
    </row>
    <row r="11" spans="1:4" x14ac:dyDescent="0.2">
      <c r="A11">
        <v>1200</v>
      </c>
      <c r="B11" t="s">
        <v>703</v>
      </c>
      <c r="C11" s="129">
        <f>ROUND('DOE25'!L199+'DOE25'!L217+'DOE25'!L235+'DOE25'!L278+'DOE25'!L297+'DOE25'!L316,0)</f>
        <v>3590077</v>
      </c>
      <c r="D11" s="132">
        <f>ROUND((C11/$C$28)*100,1)</f>
        <v>20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147656</v>
      </c>
      <c r="D13" s="132">
        <f>ROUND((C13/$C$28)*100,1)</f>
        <v>0.8</v>
      </c>
    </row>
    <row r="14" spans="1:4" x14ac:dyDescent="0.2">
      <c r="D14" s="132"/>
    </row>
    <row r="15" spans="1:4" x14ac:dyDescent="0.2">
      <c r="A15">
        <v>2100</v>
      </c>
      <c r="B15" t="s">
        <v>706</v>
      </c>
      <c r="C15" s="129">
        <f>ROUND('DOE25'!L203+'DOE25'!L221+'DOE25'!L239+'DOE25'!L282+'DOE25'!L301+'DOE25'!L320,0)</f>
        <v>988924</v>
      </c>
      <c r="D15" s="132">
        <f t="shared" ref="D15:D27" si="0">ROUND((C15/$C$28)*100,1)</f>
        <v>5.5</v>
      </c>
    </row>
    <row r="16" spans="1:4" x14ac:dyDescent="0.2">
      <c r="A16">
        <v>2200</v>
      </c>
      <c r="B16" t="s">
        <v>707</v>
      </c>
      <c r="C16" s="129">
        <f>ROUND('DOE25'!L204+'DOE25'!L222+'DOE25'!L240+'DOE25'!L283+'DOE25'!L302+'DOE25'!L321,0)</f>
        <v>1234208</v>
      </c>
      <c r="D16" s="132">
        <f t="shared" si="0"/>
        <v>6.9</v>
      </c>
    </row>
    <row r="17" spans="1:4" x14ac:dyDescent="0.2">
      <c r="A17" s="133" t="s">
        <v>723</v>
      </c>
      <c r="B17" t="s">
        <v>738</v>
      </c>
      <c r="C17" s="129">
        <f>ROUND('DOE25'!L205+'DOE25'!L210+'DOE25'!L223+'DOE25'!L228+'DOE25'!L241+'DOE25'!L246+'DOE25'!L284+'DOE25'!L289+'DOE25'!L303+'DOE25'!L308+'DOE25'!L322+'DOE25'!L327,0)</f>
        <v>821480</v>
      </c>
      <c r="D17" s="132">
        <f t="shared" si="0"/>
        <v>4.5999999999999996</v>
      </c>
    </row>
    <row r="18" spans="1:4" x14ac:dyDescent="0.2">
      <c r="A18">
        <v>2400</v>
      </c>
      <c r="B18" t="s">
        <v>711</v>
      </c>
      <c r="C18" s="129">
        <f>ROUND('DOE25'!L206+'DOE25'!L224+'DOE25'!L242+'DOE25'!L285+'DOE25'!L304+'DOE25'!L323,0)</f>
        <v>843118</v>
      </c>
      <c r="D18" s="132">
        <f t="shared" si="0"/>
        <v>4.7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1220296</v>
      </c>
      <c r="D20" s="132">
        <f t="shared" si="0"/>
        <v>6.8</v>
      </c>
    </row>
    <row r="21" spans="1:4" x14ac:dyDescent="0.2">
      <c r="A21">
        <v>2700</v>
      </c>
      <c r="B21" t="s">
        <v>710</v>
      </c>
      <c r="C21" s="129">
        <f>ROUND('DOE25'!L209+'DOE25'!L227+'DOE25'!L245+'DOE25'!L288+'DOE25'!L307+'DOE25'!L326,0)</f>
        <v>853989</v>
      </c>
      <c r="D21" s="132">
        <f t="shared" si="0"/>
        <v>4.8</v>
      </c>
    </row>
    <row r="22" spans="1:4" x14ac:dyDescent="0.2">
      <c r="A22">
        <v>2900</v>
      </c>
      <c r="B22" t="s">
        <v>712</v>
      </c>
      <c r="C22" s="129">
        <v>0</v>
      </c>
      <c r="D22" s="132">
        <f t="shared" si="0"/>
        <v>0</v>
      </c>
    </row>
    <row r="23" spans="1:4" x14ac:dyDescent="0.2">
      <c r="A23">
        <v>1500</v>
      </c>
      <c r="B23" t="s">
        <v>714</v>
      </c>
      <c r="C23" s="129">
        <f>ROUND('DOE25'!L251+'DOE25'!L333,0)</f>
        <v>11760</v>
      </c>
      <c r="D23" s="132">
        <f t="shared" si="0"/>
        <v>0.1</v>
      </c>
    </row>
    <row r="24" spans="1:4" x14ac:dyDescent="0.2">
      <c r="A24" s="133" t="s">
        <v>722</v>
      </c>
      <c r="B24" t="s">
        <v>715</v>
      </c>
      <c r="C24" s="129">
        <f>ROUND('DOE25'!L252+'DOE25'!L253+'DOE25'!L254+'DOE25'!L255+'DOE25'!L334+'DOE25'!L335+'DOE25'!L336,0)</f>
        <v>1079</v>
      </c>
      <c r="D24" s="132">
        <f t="shared" si="0"/>
        <v>0</v>
      </c>
    </row>
    <row r="25" spans="1:4" x14ac:dyDescent="0.2">
      <c r="A25">
        <v>5120</v>
      </c>
      <c r="B25" t="s">
        <v>716</v>
      </c>
      <c r="C25" s="129">
        <f>ROUND('DOE25'!L262+'DOE25'!L343,0)</f>
        <v>5612</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385961.01</v>
      </c>
      <c r="D27" s="132">
        <f t="shared" si="0"/>
        <v>2.2000000000000002</v>
      </c>
    </row>
    <row r="28" spans="1:4" x14ac:dyDescent="0.2">
      <c r="B28" s="136" t="s">
        <v>719</v>
      </c>
      <c r="C28" s="130">
        <f>SUM(C10:C27)</f>
        <v>17916975.010000002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17916975.010000002</v>
      </c>
    </row>
    <row r="31" spans="1:4" x14ac:dyDescent="0.2">
      <c r="B31" s="32"/>
      <c r="C31" s="130"/>
    </row>
    <row r="32" spans="1:4" x14ac:dyDescent="0.2">
      <c r="A32">
        <v>5100</v>
      </c>
      <c r="B32" s="32" t="s">
        <v>726</v>
      </c>
      <c r="C32" s="130">
        <f>ROUND('DOE25'!L261+'DOE25'!L342,0)</f>
        <v>138673</v>
      </c>
    </row>
    <row r="34" spans="1:4" x14ac:dyDescent="0.2">
      <c r="A34" s="136" t="s">
        <v>94</v>
      </c>
      <c r="B34" s="137" t="s">
        <v>1801</v>
      </c>
      <c r="C34" s="131" t="s">
        <v>720</v>
      </c>
      <c r="D34" s="131" t="s">
        <v>721</v>
      </c>
    </row>
    <row r="35" spans="1:4" x14ac:dyDescent="0.2">
      <c r="A35">
        <v>1100</v>
      </c>
      <c r="B35" s="71" t="s">
        <v>727</v>
      </c>
      <c r="C35" s="129">
        <f>ROUND('DOE25'!F60+'DOE25'!G60+'DOE25'!H60+'DOE25'!I60+'DOE25'!J60,0)</f>
        <v>11699175</v>
      </c>
      <c r="D35" s="132">
        <f t="shared" ref="D35:D40" si="1">ROUND((C35/$C$41)*100,1)</f>
        <v>66.3</v>
      </c>
    </row>
    <row r="36" spans="1:4" x14ac:dyDescent="0.2">
      <c r="B36" s="71" t="s">
        <v>739</v>
      </c>
      <c r="C36" s="129">
        <f>SUM('DOE25'!F112:J112)-SUM('DOE25'!G97:G110)+('DOE25'!F175+'DOE25'!F176+'DOE25'!I175+'DOE25'!I176)-C35</f>
        <v>85560.679999999702</v>
      </c>
      <c r="D36" s="132">
        <f t="shared" si="1"/>
        <v>0.5</v>
      </c>
    </row>
    <row r="37" spans="1:4" x14ac:dyDescent="0.2">
      <c r="A37" s="133" t="s">
        <v>834</v>
      </c>
      <c r="B37" s="71" t="s">
        <v>728</v>
      </c>
      <c r="C37" s="129">
        <f>ROUND('DOE25'!F117+'DOE25'!F118,0)</f>
        <v>3373409</v>
      </c>
      <c r="D37" s="132">
        <f t="shared" si="1"/>
        <v>19.100000000000001</v>
      </c>
    </row>
    <row r="38" spans="1:4" x14ac:dyDescent="0.2">
      <c r="A38" s="133" t="s">
        <v>734</v>
      </c>
      <c r="B38" s="71" t="s">
        <v>729</v>
      </c>
      <c r="C38" s="129">
        <f>ROUND(SUM('DOE25'!F140:J140)-SUM('DOE25'!F117:F119),0)</f>
        <v>223583</v>
      </c>
      <c r="D38" s="132">
        <f t="shared" si="1"/>
        <v>1.3</v>
      </c>
    </row>
    <row r="39" spans="1:4" x14ac:dyDescent="0.2">
      <c r="A39">
        <v>4000</v>
      </c>
      <c r="B39" s="71" t="s">
        <v>730</v>
      </c>
      <c r="C39" s="129">
        <f>ROUND('DOE25'!F170+'DOE25'!G170+'DOE25'!H170+'DOE25'!I170,0)</f>
        <v>2255204</v>
      </c>
      <c r="D39" s="132">
        <f t="shared" si="1"/>
        <v>12.8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17636931.68</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Seabrook</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267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268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f>IF('School Level Expenditures'!$B$2=A270,'School Tables'!H270,"")</f>
        <v>267</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f>IF('School Level Expenditures'!$B$2=A271,'School Tables'!H271,"")</f>
        <v>268</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2023-08-31T15:26:44Z</cp:lastPrinted>
  <dcterms:created xsi:type="dcterms:W3CDTF">1997-12-04T19:04:30Z</dcterms:created>
  <dcterms:modified xsi:type="dcterms:W3CDTF">2023-12-29T14:22:46Z</dcterms:modified>
</cp:coreProperties>
</file>