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87B5E91C-F0F6-4CFB-8F7E-CF81D637B8AC}"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6" i="14" l="1"/>
  <c r="C37" i="12"/>
  <c r="C38" i="12"/>
  <c r="C20" i="12"/>
  <c r="C19" i="12"/>
  <c r="H22" i="1" l="1"/>
  <c r="G97" i="1"/>
  <c r="F12" i="1"/>
  <c r="J596" i="1"/>
  <c r="I596" i="1"/>
  <c r="H245" i="1"/>
  <c r="H227" i="1"/>
  <c r="H583" i="1" l="1"/>
  <c r="H581" i="1"/>
  <c r="I401" i="1" l="1"/>
  <c r="I427" i="1"/>
  <c r="H427" i="1"/>
  <c r="G460" i="1"/>
  <c r="H161" i="1" l="1"/>
  <c r="H155" i="1"/>
  <c r="G158" i="1" l="1"/>
  <c r="G135" i="1"/>
  <c r="F57" i="1"/>
  <c r="G441" i="1"/>
  <c r="H401" i="1"/>
  <c r="H24"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C112" i="2" s="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H34" i="2" s="1"/>
  <c r="D34" i="2"/>
  <c r="E34" i="2"/>
  <c r="F34" i="2"/>
  <c r="C35" i="2"/>
  <c r="H35" i="2" s="1"/>
  <c r="D35" i="2"/>
  <c r="E35" i="2"/>
  <c r="F35" i="2"/>
  <c r="I455" i="1"/>
  <c r="J49" i="1" s="1"/>
  <c r="G48" i="2" s="1"/>
  <c r="I457" i="1"/>
  <c r="J43" i="1" s="1"/>
  <c r="I458" i="1"/>
  <c r="J37" i="1" s="1"/>
  <c r="G36" i="2" s="1"/>
  <c r="I460" i="1"/>
  <c r="J48" i="1" s="1"/>
  <c r="G47" i="2" s="1"/>
  <c r="C49" i="2"/>
  <c r="H49" i="2" s="1"/>
  <c r="F56" i="2"/>
  <c r="C59" i="2"/>
  <c r="H59" i="2" s="1"/>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H80" i="2" s="1"/>
  <c r="E80" i="2"/>
  <c r="C85" i="2"/>
  <c r="F85" i="2"/>
  <c r="C87" i="2"/>
  <c r="E87" i="2"/>
  <c r="F87" i="2"/>
  <c r="C89" i="2"/>
  <c r="H89" i="2" s="1"/>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4" i="2"/>
  <c r="C125" i="2"/>
  <c r="H125" i="2" s="1"/>
  <c r="E125" i="2"/>
  <c r="F128" i="2"/>
  <c r="G128" i="2"/>
  <c r="D134" i="2"/>
  <c r="D144" i="2" s="1"/>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3" i="1"/>
  <c r="H634" i="1"/>
  <c r="H636" i="1"/>
  <c r="H637" i="1"/>
  <c r="H639" i="1"/>
  <c r="G644" i="1"/>
  <c r="G645" i="1"/>
  <c r="G646" i="1"/>
  <c r="G651" i="1"/>
  <c r="G652" i="1"/>
  <c r="H653" i="1"/>
  <c r="G654" i="1"/>
  <c r="H654" i="1"/>
  <c r="H655" i="1"/>
  <c r="H656" i="1"/>
  <c r="I170" i="1"/>
  <c r="H58" i="2" l="1"/>
  <c r="H69" i="2"/>
  <c r="H30" i="2"/>
  <c r="H25" i="2"/>
  <c r="H38" i="2"/>
  <c r="F409" i="1"/>
  <c r="H644" i="1" s="1"/>
  <c r="J644" i="1" s="1"/>
  <c r="H102" i="2"/>
  <c r="H100" i="2"/>
  <c r="H98" i="2"/>
  <c r="H73" i="2"/>
  <c r="H21" i="2"/>
  <c r="H15" i="2"/>
  <c r="H143" i="2"/>
  <c r="H28" i="2"/>
  <c r="H17" i="2"/>
  <c r="H43" i="2"/>
  <c r="H24" i="2"/>
  <c r="H137" i="2"/>
  <c r="H94" i="2"/>
  <c r="H132" i="2"/>
  <c r="H36" i="2"/>
  <c r="H42" i="2"/>
  <c r="H44" i="2"/>
  <c r="H101" i="2"/>
  <c r="H99" i="2"/>
  <c r="H79" i="2"/>
  <c r="H113" i="2"/>
  <c r="H97" i="2"/>
  <c r="H93" i="2"/>
  <c r="H87" i="2"/>
  <c r="H26" i="2"/>
  <c r="H96" i="2"/>
  <c r="J652" i="1"/>
  <c r="I409" i="1"/>
  <c r="G409" i="1"/>
  <c r="H646" i="1" s="1"/>
  <c r="J646" i="1" s="1"/>
  <c r="G477" i="1"/>
  <c r="H624" i="1" s="1"/>
  <c r="J624" i="1" s="1"/>
  <c r="H477" i="1"/>
  <c r="H625" i="1" s="1"/>
  <c r="H76" i="2"/>
  <c r="D78" i="2"/>
  <c r="D81" i="2" s="1"/>
  <c r="H77" i="2"/>
  <c r="H61" i="2"/>
  <c r="H47" i="2"/>
  <c r="H22" i="2"/>
  <c r="H9" i="2"/>
  <c r="H29" i="2"/>
  <c r="H13" i="2"/>
  <c r="H48" i="2"/>
  <c r="H27" i="2"/>
  <c r="H23" i="2"/>
  <c r="H11" i="2"/>
  <c r="H12" i="2"/>
  <c r="H8" i="2"/>
  <c r="E112" i="2"/>
  <c r="E121" i="2"/>
  <c r="A40" i="12"/>
  <c r="H112" i="2"/>
  <c r="D29" i="13"/>
  <c r="C29" i="13" s="1"/>
  <c r="C119" i="2"/>
  <c r="C13" i="10"/>
  <c r="C12" i="10"/>
  <c r="C110" i="2"/>
  <c r="C121" i="2"/>
  <c r="H121" i="2" s="1"/>
  <c r="E13" i="13"/>
  <c r="C13" i="13" s="1"/>
  <c r="N2" i="14"/>
  <c r="N3" i="14" s="1"/>
  <c r="M2" i="14"/>
  <c r="M3" i="14" s="1"/>
  <c r="C120" i="2"/>
  <c r="H120" i="2" s="1"/>
  <c r="D6" i="13"/>
  <c r="C6" i="13" s="1"/>
  <c r="L2" i="14"/>
  <c r="L3" i="14" s="1"/>
  <c r="K2" i="14"/>
  <c r="K3" i="14" s="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57" i="2" l="1"/>
  <c r="H85" i="2"/>
  <c r="H118" i="2"/>
  <c r="H16" i="2"/>
  <c r="L572" i="1"/>
  <c r="H62" i="2"/>
  <c r="B33" i="16"/>
  <c r="G144" i="2"/>
  <c r="G145" i="2" s="1"/>
  <c r="H134" i="2"/>
  <c r="H78" i="2"/>
  <c r="H91" i="2"/>
  <c r="H103" i="2"/>
  <c r="C81" i="2"/>
  <c r="H81" i="2" s="1"/>
  <c r="F194" i="1"/>
  <c r="G628" i="1" s="1"/>
  <c r="J628" i="1" s="1"/>
  <c r="E51" i="2"/>
  <c r="D51" i="2"/>
  <c r="H50" i="2"/>
  <c r="H31" i="2"/>
  <c r="H18" i="2"/>
  <c r="H123" i="2"/>
  <c r="E128" i="2"/>
  <c r="H119" i="2"/>
  <c r="D128" i="2"/>
  <c r="D145" i="2" s="1"/>
  <c r="H127" i="2"/>
  <c r="I662" i="1"/>
  <c r="H110"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G194" i="1"/>
  <c r="G629" i="1" s="1"/>
  <c r="J629" i="1" s="1"/>
  <c r="G627" i="1"/>
  <c r="J52" i="1"/>
  <c r="H622" i="1" s="1"/>
  <c r="J622" i="1" s="1"/>
  <c r="C38" i="10"/>
  <c r="H638" i="1" l="1"/>
  <c r="H632" i="1"/>
  <c r="J632" i="1" s="1"/>
  <c r="J471" i="1"/>
  <c r="J477" i="1" s="1"/>
  <c r="H627" i="1" s="1"/>
  <c r="J627" i="1" s="1"/>
  <c r="C104" i="2"/>
  <c r="H104" i="2" s="1"/>
  <c r="H63" i="2"/>
  <c r="H51" i="2"/>
  <c r="H128" i="2"/>
  <c r="C144" i="2"/>
  <c r="C145" i="2" s="1"/>
  <c r="H141" i="2"/>
  <c r="M36" i="14"/>
  <c r="I36" i="14"/>
  <c r="H115" i="2"/>
  <c r="E145" i="2"/>
  <c r="H668" i="1"/>
  <c r="H670" i="1"/>
  <c r="H673" i="1" s="1"/>
  <c r="C6" i="10" s="1"/>
  <c r="G670" i="1"/>
  <c r="G673" i="1" s="1"/>
  <c r="C5" i="10" s="1"/>
  <c r="F668" i="1"/>
  <c r="F145" i="2"/>
  <c r="I661" i="1"/>
  <c r="I665" i="1" s="1"/>
  <c r="G668" i="1"/>
  <c r="D25" i="10"/>
  <c r="G638" i="1"/>
  <c r="H647" i="1"/>
  <c r="J647" i="1" s="1"/>
  <c r="D22" i="10"/>
  <c r="D18" i="10"/>
  <c r="D27" i="10"/>
  <c r="D15" i="10"/>
  <c r="D21" i="10"/>
  <c r="D24" i="10"/>
  <c r="D20" i="10"/>
  <c r="D11" i="10"/>
  <c r="D12" i="10"/>
  <c r="D13" i="10"/>
  <c r="D17" i="10"/>
  <c r="D19" i="10"/>
  <c r="D10" i="10"/>
  <c r="D26" i="10"/>
  <c r="C30" i="10"/>
  <c r="D16" i="10"/>
  <c r="D33" i="13"/>
  <c r="D36" i="13" s="1"/>
  <c r="C41" i="10"/>
  <c r="D38" i="10" s="1"/>
  <c r="J638" i="1" l="1"/>
  <c r="H657" i="1"/>
  <c r="H144" i="2"/>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<sst xmlns="http://schemas.openxmlformats.org/spreadsheetml/2006/main" count="6557" uniqueCount="1812">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</sst>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53" zoomScale="130" zoomScaleNormal="13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1402</v>
      </c>
      <c r="B2">
        <f>INDEX('School Tables'!$AH$3:$AH$209,MATCH('DOE25'!A2,'School Tables'!$AJ$3:$AJ$209,0))</f>
        <v>486</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3341841.75</v>
      </c>
      <c r="G9" s="18">
        <v>104521.22</v>
      </c>
      <c r="H9" s="18"/>
      <c r="I9" s="18"/>
      <c r="J9" s="13">
        <f>SUM(I440)</f>
        <v>194473.34</v>
      </c>
      <c r="K9" s="23" t="s">
        <v>288</v>
      </c>
      <c r="L9" s="23" t="s">
        <v>288</v>
      </c>
      <c r="M9" s="8"/>
      <c r="N9" s="165"/>
    </row>
    <row r="10" spans="1:14" s="3" customFormat="1" ht="12.2" customHeight="1" x14ac:dyDescent="0.15">
      <c r="A10" s="1" t="s">
        <v>562</v>
      </c>
      <c r="B10" s="2" t="s">
        <v>289</v>
      </c>
      <c r="C10" s="6">
        <v>2</v>
      </c>
      <c r="D10" s="2" t="s">
        <v>428</v>
      </c>
      <c r="E10" s="6">
        <v>110</v>
      </c>
      <c r="F10" s="18">
        <v>3014.96</v>
      </c>
      <c r="G10" s="18"/>
      <c r="H10" s="18"/>
      <c r="I10" s="18"/>
      <c r="J10" s="13">
        <f>SUM(I441)</f>
        <v>808803.41</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318674.84-196105.9-4723.8</f>
        <v>117845.14000000003</v>
      </c>
      <c r="G12" s="18">
        <v>16311.85</v>
      </c>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67021.91</v>
      </c>
      <c r="G13" s="18">
        <v>76473.08</v>
      </c>
      <c r="H13" s="18">
        <v>371446.21</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9217.98</v>
      </c>
      <c r="G14" s="18">
        <v>6902.5</v>
      </c>
      <c r="H14" s="18">
        <v>13325.24</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2500</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3541441.74</v>
      </c>
      <c r="G19" s="38">
        <f>SUM(G9:G18)</f>
        <v>204208.65000000002</v>
      </c>
      <c r="H19" s="38">
        <f>SUM(H9:H18)</f>
        <v>384771.45</v>
      </c>
      <c r="I19" s="38">
        <f>SUM(I9:I18)</f>
        <v>0</v>
      </c>
      <c r="J19" s="38">
        <f>SUM(J9:J18)</f>
        <v>1003276.75</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f>293676.1-57056.49+28738.46</f>
        <v>265358.07</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2676</v>
      </c>
      <c r="G23" s="18"/>
      <c r="H23" s="18"/>
      <c r="I23" s="18"/>
      <c r="J23" s="13">
        <f>SUM(I450)</f>
        <v>36345</v>
      </c>
      <c r="K23" s="23" t="s">
        <v>288</v>
      </c>
      <c r="L23" s="23" t="s">
        <v>288</v>
      </c>
      <c r="M23" s="8"/>
      <c r="N23" s="165"/>
    </row>
    <row r="24" spans="1:14" s="3" customFormat="1" ht="12.2" customHeight="1" x14ac:dyDescent="0.15">
      <c r="A24" s="1" t="s">
        <v>570</v>
      </c>
      <c r="B24" s="2" t="s">
        <v>289</v>
      </c>
      <c r="C24" s="6">
        <v>14</v>
      </c>
      <c r="D24" s="2" t="s">
        <v>429</v>
      </c>
      <c r="E24" s="6">
        <v>420</v>
      </c>
      <c r="F24" s="18">
        <v>222544.1</v>
      </c>
      <c r="G24" s="18">
        <v>1111.49</v>
      </c>
      <c r="H24" s="18">
        <f>5298.2+39514.91</f>
        <v>44813.11</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93281.36</v>
      </c>
      <c r="G28" s="18">
        <v>5420.09</v>
      </c>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581637.85</v>
      </c>
      <c r="G29" s="18"/>
      <c r="H29" s="18">
        <v>9516.74</v>
      </c>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14766.15</v>
      </c>
      <c r="H30" s="18">
        <v>65083.53</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900139.31</v>
      </c>
      <c r="G32" s="38">
        <f>SUM(G22:G31)</f>
        <v>21297.73</v>
      </c>
      <c r="H32" s="38">
        <f>SUM(H22:H31)</f>
        <v>384771.44999999995</v>
      </c>
      <c r="I32" s="38">
        <f>SUM(I22:I31)</f>
        <v>0</v>
      </c>
      <c r="J32" s="38">
        <f>SUM(J22:J31)</f>
        <v>36345</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2500</v>
      </c>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v>293540.74</v>
      </c>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170000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800000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v>182910.92</v>
      </c>
      <c r="H48" s="18"/>
      <c r="I48" s="18"/>
      <c r="J48" s="13">
        <f>SUM(I460)</f>
        <v>966931.75</v>
      </c>
      <c r="K48" s="23" t="s">
        <v>288</v>
      </c>
      <c r="L48" s="23" t="s">
        <v>288</v>
      </c>
      <c r="M48" s="8"/>
      <c r="N48" s="165"/>
    </row>
    <row r="49" spans="1:14" s="3" customFormat="1" ht="12.2" customHeight="1" x14ac:dyDescent="0.15">
      <c r="A49" s="1" t="s">
        <v>858</v>
      </c>
      <c r="B49" s="2" t="s">
        <v>289</v>
      </c>
      <c r="C49" s="6">
        <v>34</v>
      </c>
      <c r="D49" s="2"/>
      <c r="E49" s="6">
        <v>753</v>
      </c>
      <c r="F49" s="18">
        <v>1870.14</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1373391.55</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2641302.4299999997</v>
      </c>
      <c r="G51" s="38">
        <f>SUM(G35:G50)</f>
        <v>182910.92</v>
      </c>
      <c r="H51" s="38">
        <f>SUM(H35:H50)</f>
        <v>0</v>
      </c>
      <c r="I51" s="38">
        <f>SUM(I35:I50)</f>
        <v>0</v>
      </c>
      <c r="J51" s="38">
        <f>SUM(J35:J50)</f>
        <v>966931.75</v>
      </c>
      <c r="K51" s="42" t="s">
        <v>288</v>
      </c>
      <c r="L51" s="42" t="s">
        <v>288</v>
      </c>
      <c r="N51" s="131"/>
    </row>
    <row r="52" spans="1:14" s="3" customFormat="1" ht="12.2" customHeight="1" thickTop="1" x14ac:dyDescent="0.15">
      <c r="A52" s="35" t="s">
        <v>455</v>
      </c>
      <c r="B52" s="36" t="s">
        <v>289</v>
      </c>
      <c r="C52" s="6">
        <v>37</v>
      </c>
      <c r="D52" s="36" t="s">
        <v>653</v>
      </c>
      <c r="E52" s="36"/>
      <c r="F52" s="38">
        <f>F51+F32</f>
        <v>3541441.7399999998</v>
      </c>
      <c r="G52" s="38">
        <f>G51+G32</f>
        <v>204208.65000000002</v>
      </c>
      <c r="H52" s="38">
        <f>H51+H32</f>
        <v>384771.44999999995</v>
      </c>
      <c r="I52" s="38">
        <f>I51+I32</f>
        <v>0</v>
      </c>
      <c r="J52" s="38">
        <f>J51+J32</f>
        <v>1003276.75</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f>4351319+12337654</f>
        <v>16688973</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16688973</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51558.13</v>
      </c>
      <c r="G96" s="18"/>
      <c r="H96" s="18"/>
      <c r="I96" s="18"/>
      <c r="J96" s="18">
        <v>29847.33</v>
      </c>
      <c r="K96" s="23" t="s">
        <v>288</v>
      </c>
      <c r="L96" s="23" t="s">
        <v>288</v>
      </c>
      <c r="M96" s="8"/>
      <c r="N96" s="165"/>
    </row>
    <row r="97" spans="1:14" s="3" customFormat="1" ht="12.2" customHeight="1" x14ac:dyDescent="0.15">
      <c r="A97" s="1" t="s">
        <v>503</v>
      </c>
      <c r="B97" s="2" t="s">
        <v>315</v>
      </c>
      <c r="C97" s="6">
        <v>12</v>
      </c>
      <c r="D97" s="2" t="s">
        <v>430</v>
      </c>
      <c r="E97" s="6">
        <v>1600</v>
      </c>
      <c r="F97" s="23" t="s">
        <v>288</v>
      </c>
      <c r="G97" s="18">
        <f>276134.95-629.62</f>
        <v>275505.33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800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252266.74</v>
      </c>
      <c r="G110" s="18">
        <v>2263.48</v>
      </c>
      <c r="H110" s="18">
        <v>92458.59</v>
      </c>
      <c r="I110" s="18"/>
      <c r="J110" s="18">
        <v>281594.68</v>
      </c>
      <c r="K110" s="23" t="s">
        <v>288</v>
      </c>
      <c r="L110" s="23" t="s">
        <v>288</v>
      </c>
      <c r="M110" s="8"/>
      <c r="N110" s="165"/>
    </row>
    <row r="111" spans="1:14" ht="12.2" customHeight="1" thickTop="1" thickBot="1" x14ac:dyDescent="0.25">
      <c r="A111" s="35" t="s">
        <v>433</v>
      </c>
      <c r="B111" s="36" t="s">
        <v>315</v>
      </c>
      <c r="C111" s="37">
        <v>25</v>
      </c>
      <c r="D111" s="36" t="s">
        <v>430</v>
      </c>
      <c r="E111" s="37"/>
      <c r="F111" s="38">
        <f>SUM(F96:F110)</f>
        <v>304624.87</v>
      </c>
      <c r="G111" s="38">
        <f>SUM(G96:G110)</f>
        <v>277768.81</v>
      </c>
      <c r="H111" s="38">
        <f>SUM(H96:H110)</f>
        <v>92458.59</v>
      </c>
      <c r="I111" s="38">
        <f>SUM(I96:I110)</f>
        <v>0</v>
      </c>
      <c r="J111" s="38">
        <f>SUM(J96:J110)</f>
        <v>311442.01</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16993597.870000001</v>
      </c>
      <c r="G112" s="38">
        <f>G60+G111</f>
        <v>277768.81</v>
      </c>
      <c r="H112" s="38">
        <f>H60+H79+H94+H111</f>
        <v>92458.59</v>
      </c>
      <c r="I112" s="38">
        <f>I60+I111</f>
        <v>0</v>
      </c>
      <c r="J112" s="38">
        <f>J60+J111</f>
        <v>311442.01</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5739778.6799999997</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1448137</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150911.88</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7338827.5599999996</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140157.13</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8773.6</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v>12743.71</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7514.7</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f>15050+29133.04</f>
        <v>44183.040000000001</v>
      </c>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148930.73000000001</v>
      </c>
      <c r="G136" s="38">
        <f>SUM(G123:G135)</f>
        <v>51697.74</v>
      </c>
      <c r="H136" s="38">
        <f>SUM(H123:H135)</f>
        <v>12743.71</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7487758.29</v>
      </c>
      <c r="G140" s="38">
        <f>G121+SUM(G136:G137)</f>
        <v>51697.74</v>
      </c>
      <c r="H140" s="38">
        <f>H121+SUM(H136:H139)</f>
        <v>12743.71</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334834.7</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84053.05+43740.19+23076.31</f>
        <v>150869.55000000002</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282570.78+26499.92</f>
        <v>309070.7</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343296.18</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242807.84</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f>51185.68+54014.01+48235.03+39534.36</f>
        <v>192969.08000000002</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1873384.37</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242807.84</v>
      </c>
      <c r="G163" s="38">
        <f>SUM(G150:G162)</f>
        <v>309070.7</v>
      </c>
      <c r="H163" s="38">
        <f>SUM(H150:H162)</f>
        <v>2895353.88</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242807.84</v>
      </c>
      <c r="G170" s="38">
        <f>G147+G163+SUM(G164:G169)</f>
        <v>309070.7</v>
      </c>
      <c r="H170" s="38">
        <f>H147+H163+SUM(H164:H169)</f>
        <v>2895353.88</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74721.62</v>
      </c>
      <c r="H180" s="18"/>
      <c r="I180" s="18"/>
      <c r="J180" s="18">
        <v>120000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74721.62</v>
      </c>
      <c r="H184" s="38">
        <f>SUM(H180:H183)</f>
        <v>0</v>
      </c>
      <c r="I184" s="38">
        <f>SUM(I180:I183)</f>
        <v>0</v>
      </c>
      <c r="J184" s="38">
        <f>SUM(J180:J183)</f>
        <v>120000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v>209120</v>
      </c>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209120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209120</v>
      </c>
      <c r="G193" s="38">
        <f>G184+SUM(G189:G192)</f>
        <v>74721.62</v>
      </c>
      <c r="H193" s="38">
        <f>+H184+SUM(H189:H192)</f>
        <v>0</v>
      </c>
      <c r="I193" s="38">
        <f>I178+I184+SUM(I189:I192)</f>
        <v>0</v>
      </c>
      <c r="J193" s="38">
        <f>J184</f>
        <v>120000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24933284</v>
      </c>
      <c r="G194" s="38">
        <f>G112+G140+G170+G193</f>
        <v>713258.87</v>
      </c>
      <c r="H194" s="38">
        <f>H112+H140+H170+H193</f>
        <v>3000556.1799999997</v>
      </c>
      <c r="I194" s="38">
        <f>I112+I140+I170+I193</f>
        <v>0</v>
      </c>
      <c r="J194" s="38">
        <f>J112+J140+J193</f>
        <v>431442.01</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2232916.0499999998</v>
      </c>
      <c r="G198" s="18">
        <v>1241051.6000000001</v>
      </c>
      <c r="H198" s="18">
        <v>2358.4899999999998</v>
      </c>
      <c r="I198" s="18">
        <v>69495.14</v>
      </c>
      <c r="J198" s="18">
        <v>13585.1</v>
      </c>
      <c r="K198" s="18"/>
      <c r="L198" s="13">
        <f>SUM(F198:K198)</f>
        <v>3559406.3800000004</v>
      </c>
      <c r="M198" s="8"/>
      <c r="N198" s="165"/>
    </row>
    <row r="199" spans="1:14" s="3" customFormat="1" ht="12.2" customHeight="1" x14ac:dyDescent="0.15">
      <c r="A199" s="1" t="s">
        <v>439</v>
      </c>
      <c r="B199" s="2" t="s">
        <v>341</v>
      </c>
      <c r="C199" s="2" t="s">
        <v>291</v>
      </c>
      <c r="D199" s="2" t="s">
        <v>431</v>
      </c>
      <c r="E199" s="6">
        <v>1200</v>
      </c>
      <c r="F199" s="18">
        <v>847095.12</v>
      </c>
      <c r="G199" s="18">
        <v>424057.78</v>
      </c>
      <c r="H199" s="18">
        <v>5459.53</v>
      </c>
      <c r="I199" s="18">
        <v>2554.5</v>
      </c>
      <c r="J199" s="18"/>
      <c r="K199" s="18"/>
      <c r="L199" s="13">
        <f>SUM(F199:K199)</f>
        <v>1279166.93</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62250.95</v>
      </c>
      <c r="G201" s="18">
        <v>28825.87</v>
      </c>
      <c r="H201" s="18">
        <v>5722.12</v>
      </c>
      <c r="I201" s="18">
        <v>761.43</v>
      </c>
      <c r="J201" s="18"/>
      <c r="K201" s="18"/>
      <c r="L201" s="13">
        <f>SUM(F201:K201)</f>
        <v>97560.369999999981</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640114.55000000005</v>
      </c>
      <c r="G203" s="18">
        <v>379977.21</v>
      </c>
      <c r="H203" s="18">
        <v>379644.49</v>
      </c>
      <c r="I203" s="18">
        <v>5459.21</v>
      </c>
      <c r="J203" s="18"/>
      <c r="K203" s="18">
        <v>548.44000000000005</v>
      </c>
      <c r="L203" s="13">
        <f t="shared" ref="L203:L209" si="0">SUM(F203:K203)</f>
        <v>1405743.9</v>
      </c>
      <c r="M203" s="8"/>
      <c r="N203" s="165"/>
    </row>
    <row r="204" spans="1:14" s="3" customFormat="1" ht="12.2" customHeight="1" x14ac:dyDescent="0.15">
      <c r="A204" s="1" t="s">
        <v>443</v>
      </c>
      <c r="B204" s="2" t="s">
        <v>341</v>
      </c>
      <c r="C204" s="2" t="s">
        <v>295</v>
      </c>
      <c r="D204" s="2" t="s">
        <v>431</v>
      </c>
      <c r="E204" s="6">
        <v>2200</v>
      </c>
      <c r="F204" s="18">
        <v>199001.9</v>
      </c>
      <c r="G204" s="18">
        <v>128267.8</v>
      </c>
      <c r="H204" s="18">
        <v>78320.03</v>
      </c>
      <c r="I204" s="18">
        <v>40288.15</v>
      </c>
      <c r="J204" s="18">
        <v>9971.43</v>
      </c>
      <c r="K204" s="18">
        <v>15.81</v>
      </c>
      <c r="L204" s="13">
        <f t="shared" si="0"/>
        <v>455865.12</v>
      </c>
      <c r="M204" s="8"/>
      <c r="N204" s="165"/>
    </row>
    <row r="205" spans="1:14" s="3" customFormat="1" ht="12.2" customHeight="1" x14ac:dyDescent="0.15">
      <c r="A205" s="1" t="s">
        <v>444</v>
      </c>
      <c r="B205" s="2" t="s">
        <v>341</v>
      </c>
      <c r="C205" s="2" t="s">
        <v>296</v>
      </c>
      <c r="D205" s="2" t="s">
        <v>431</v>
      </c>
      <c r="E205" s="6">
        <v>2300</v>
      </c>
      <c r="F205" s="18">
        <v>83190.44</v>
      </c>
      <c r="G205" s="18">
        <v>38875.160000000003</v>
      </c>
      <c r="H205" s="18">
        <v>34693.339999999997</v>
      </c>
      <c r="I205" s="18">
        <v>1297.44</v>
      </c>
      <c r="J205" s="18"/>
      <c r="K205" s="18">
        <v>2787.67</v>
      </c>
      <c r="L205" s="13">
        <f t="shared" si="0"/>
        <v>160844.05000000002</v>
      </c>
      <c r="M205" s="8"/>
      <c r="N205" s="165"/>
    </row>
    <row r="206" spans="1:14" s="3" customFormat="1" ht="12.2" customHeight="1" x14ac:dyDescent="0.15">
      <c r="A206" s="1" t="s">
        <v>445</v>
      </c>
      <c r="B206" s="2" t="s">
        <v>341</v>
      </c>
      <c r="C206" s="2" t="s">
        <v>297</v>
      </c>
      <c r="D206" s="2" t="s">
        <v>431</v>
      </c>
      <c r="E206" s="6">
        <v>2400</v>
      </c>
      <c r="F206" s="18">
        <v>347255.49</v>
      </c>
      <c r="G206" s="18">
        <v>194102.93</v>
      </c>
      <c r="H206" s="18">
        <v>26913.84</v>
      </c>
      <c r="I206" s="18">
        <v>4559.78</v>
      </c>
      <c r="J206" s="18">
        <v>1665.78</v>
      </c>
      <c r="K206" s="18">
        <v>2617</v>
      </c>
      <c r="L206" s="13">
        <f t="shared" si="0"/>
        <v>577114.81999999995</v>
      </c>
      <c r="M206" s="8"/>
      <c r="N206" s="165"/>
    </row>
    <row r="207" spans="1:14" s="3" customFormat="1" ht="12.2" customHeight="1" x14ac:dyDescent="0.15">
      <c r="A207" s="1" t="s">
        <v>446</v>
      </c>
      <c r="B207" s="2" t="s">
        <v>341</v>
      </c>
      <c r="C207" s="2" t="s">
        <v>298</v>
      </c>
      <c r="D207" s="2" t="s">
        <v>431</v>
      </c>
      <c r="E207" s="6">
        <v>2500</v>
      </c>
      <c r="F207" s="18">
        <v>98641.1</v>
      </c>
      <c r="G207" s="18">
        <v>46668.49</v>
      </c>
      <c r="H207" s="18">
        <v>22428.400000000001</v>
      </c>
      <c r="I207" s="18">
        <v>1504.48</v>
      </c>
      <c r="J207" s="18">
        <v>71.17</v>
      </c>
      <c r="K207" s="18">
        <v>789.77</v>
      </c>
      <c r="L207" s="13">
        <f t="shared" si="0"/>
        <v>170103.41</v>
      </c>
      <c r="M207" s="8"/>
      <c r="N207" s="165"/>
    </row>
    <row r="208" spans="1:14" s="3" customFormat="1" ht="12.2" customHeight="1" x14ac:dyDescent="0.15">
      <c r="A208" s="1" t="s">
        <v>447</v>
      </c>
      <c r="B208" s="2" t="s">
        <v>341</v>
      </c>
      <c r="C208" s="2" t="s">
        <v>299</v>
      </c>
      <c r="D208" s="2" t="s">
        <v>431</v>
      </c>
      <c r="E208" s="6">
        <v>2600</v>
      </c>
      <c r="F208" s="18">
        <v>225279.94</v>
      </c>
      <c r="G208" s="18">
        <v>100262.94</v>
      </c>
      <c r="H208" s="18">
        <v>256442.76</v>
      </c>
      <c r="I208" s="18">
        <v>153224.07</v>
      </c>
      <c r="J208" s="18">
        <v>8959.18</v>
      </c>
      <c r="K208" s="18"/>
      <c r="L208" s="13">
        <f t="shared" si="0"/>
        <v>744168.89</v>
      </c>
      <c r="M208" s="8"/>
      <c r="N208" s="165"/>
    </row>
    <row r="209" spans="1:14" s="3" customFormat="1" ht="12.2" customHeight="1" x14ac:dyDescent="0.15">
      <c r="A209" s="1" t="s">
        <v>448</v>
      </c>
      <c r="B209" s="2" t="s">
        <v>341</v>
      </c>
      <c r="C209" s="2" t="s">
        <v>300</v>
      </c>
      <c r="D209" s="2" t="s">
        <v>431</v>
      </c>
      <c r="E209" s="6">
        <v>2700</v>
      </c>
      <c r="F209" s="18"/>
      <c r="G209" s="18"/>
      <c r="H209" s="18">
        <v>378533.28</v>
      </c>
      <c r="I209" s="18">
        <v>1187.1600000000001</v>
      </c>
      <c r="J209" s="18"/>
      <c r="K209" s="18"/>
      <c r="L209" s="13">
        <f t="shared" si="0"/>
        <v>379720.44</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4735745.54</v>
      </c>
      <c r="G212" s="38">
        <f t="shared" si="1"/>
        <v>2582089.7800000007</v>
      </c>
      <c r="H212" s="38">
        <f t="shared" si="1"/>
        <v>1190516.28</v>
      </c>
      <c r="I212" s="38">
        <f t="shared" si="1"/>
        <v>280331.36</v>
      </c>
      <c r="J212" s="38">
        <f t="shared" si="1"/>
        <v>34252.659999999996</v>
      </c>
      <c r="K212" s="38">
        <f t="shared" si="1"/>
        <v>6758.6900000000005</v>
      </c>
      <c r="L212" s="38">
        <f t="shared" si="1"/>
        <v>8829694.3100000005</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1779225</v>
      </c>
      <c r="G216" s="18">
        <v>985567.52</v>
      </c>
      <c r="H216" s="18">
        <v>948.32</v>
      </c>
      <c r="I216" s="18">
        <v>55130.84</v>
      </c>
      <c r="J216" s="18">
        <v>2706.14</v>
      </c>
      <c r="K216" s="18"/>
      <c r="L216" s="13">
        <f>SUM(F216:K216)</f>
        <v>2823577.82</v>
      </c>
      <c r="M216" s="8"/>
      <c r="N216" s="165"/>
    </row>
    <row r="217" spans="1:14" s="3" customFormat="1" ht="12.2" customHeight="1" x14ac:dyDescent="0.15">
      <c r="A217" s="1" t="s">
        <v>439</v>
      </c>
      <c r="B217" s="2" t="s">
        <v>346</v>
      </c>
      <c r="C217" s="2" t="s">
        <v>291</v>
      </c>
      <c r="D217" s="2" t="s">
        <v>431</v>
      </c>
      <c r="E217" s="6">
        <v>1200</v>
      </c>
      <c r="F217" s="18">
        <v>720687.61</v>
      </c>
      <c r="G217" s="18">
        <v>444452.48</v>
      </c>
      <c r="H217" s="18">
        <v>213566.82</v>
      </c>
      <c r="I217" s="18">
        <v>2111</v>
      </c>
      <c r="J217" s="18">
        <v>223.99</v>
      </c>
      <c r="K217" s="18"/>
      <c r="L217" s="13">
        <f>SUM(F217:K217)</f>
        <v>1381041.9</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v>73013.740000000005</v>
      </c>
      <c r="G219" s="18">
        <v>26288.55</v>
      </c>
      <c r="H219" s="18">
        <v>11242.5</v>
      </c>
      <c r="I219" s="18">
        <v>10535.61</v>
      </c>
      <c r="J219" s="18">
        <v>1591.49</v>
      </c>
      <c r="K219" s="18">
        <v>4875.4799999999996</v>
      </c>
      <c r="L219" s="13">
        <f>SUM(F219:K219)</f>
        <v>127547.37000000001</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359919.08</v>
      </c>
      <c r="G221" s="18">
        <v>219923.51</v>
      </c>
      <c r="H221" s="18">
        <v>445901.92</v>
      </c>
      <c r="I221" s="18">
        <v>7864.34</v>
      </c>
      <c r="J221" s="18"/>
      <c r="K221" s="18">
        <v>611.89</v>
      </c>
      <c r="L221" s="13">
        <f t="shared" ref="L221:L227" si="2">SUM(F221:K221)</f>
        <v>1034220.74</v>
      </c>
      <c r="M221" s="8"/>
      <c r="N221" s="165"/>
    </row>
    <row r="222" spans="1:14" s="3" customFormat="1" ht="12.2" customHeight="1" x14ac:dyDescent="0.15">
      <c r="A222" s="1" t="s">
        <v>443</v>
      </c>
      <c r="B222" s="2" t="s">
        <v>346</v>
      </c>
      <c r="C222" s="2" t="s">
        <v>295</v>
      </c>
      <c r="D222" s="2" t="s">
        <v>431</v>
      </c>
      <c r="E222" s="6">
        <v>2200</v>
      </c>
      <c r="F222" s="18">
        <v>168104.2</v>
      </c>
      <c r="G222" s="18">
        <v>104684.14</v>
      </c>
      <c r="H222" s="18">
        <v>57323.46</v>
      </c>
      <c r="I222" s="18">
        <v>26667.66</v>
      </c>
      <c r="J222" s="18">
        <v>7655</v>
      </c>
      <c r="K222" s="18">
        <v>11.81</v>
      </c>
      <c r="L222" s="13">
        <f t="shared" si="2"/>
        <v>364446.27</v>
      </c>
      <c r="M222" s="8"/>
      <c r="N222" s="165"/>
    </row>
    <row r="223" spans="1:14" s="3" customFormat="1" ht="12.2" customHeight="1" x14ac:dyDescent="0.15">
      <c r="A223" s="1" t="s">
        <v>444</v>
      </c>
      <c r="B223" s="2" t="s">
        <v>346</v>
      </c>
      <c r="C223" s="2" t="s">
        <v>296</v>
      </c>
      <c r="D223" s="2" t="s">
        <v>431</v>
      </c>
      <c r="E223" s="6">
        <v>2300</v>
      </c>
      <c r="F223" s="18">
        <v>62129.83</v>
      </c>
      <c r="G223" s="18">
        <v>29033.46</v>
      </c>
      <c r="H223" s="18">
        <v>25910.32</v>
      </c>
      <c r="I223" s="18">
        <v>968.98</v>
      </c>
      <c r="J223" s="18"/>
      <c r="K223" s="18">
        <v>2081.94</v>
      </c>
      <c r="L223" s="13">
        <f t="shared" si="2"/>
        <v>120124.53000000001</v>
      </c>
      <c r="M223" s="8"/>
      <c r="N223" s="165"/>
    </row>
    <row r="224" spans="1:14" s="3" customFormat="1" ht="12.2" customHeight="1" x14ac:dyDescent="0.15">
      <c r="A224" s="1" t="s">
        <v>445</v>
      </c>
      <c r="B224" s="2" t="s">
        <v>346</v>
      </c>
      <c r="C224" s="2" t="s">
        <v>297</v>
      </c>
      <c r="D224" s="2" t="s">
        <v>431</v>
      </c>
      <c r="E224" s="6">
        <v>2400</v>
      </c>
      <c r="F224" s="18">
        <v>265156.09999999998</v>
      </c>
      <c r="G224" s="18">
        <v>162266.01999999999</v>
      </c>
      <c r="H224" s="18">
        <v>17723.27</v>
      </c>
      <c r="I224" s="18">
        <v>2784.52</v>
      </c>
      <c r="J224" s="18">
        <v>488.78</v>
      </c>
      <c r="K224" s="18"/>
      <c r="L224" s="13">
        <f t="shared" si="2"/>
        <v>448418.69000000006</v>
      </c>
      <c r="M224" s="8"/>
      <c r="N224" s="165"/>
    </row>
    <row r="225" spans="1:14" s="3" customFormat="1" ht="12.2" customHeight="1" x14ac:dyDescent="0.15">
      <c r="A225" s="1" t="s">
        <v>446</v>
      </c>
      <c r="B225" s="2" t="s">
        <v>346</v>
      </c>
      <c r="C225" s="2" t="s">
        <v>298</v>
      </c>
      <c r="D225" s="2" t="s">
        <v>431</v>
      </c>
      <c r="E225" s="6">
        <v>2500</v>
      </c>
      <c r="F225" s="18">
        <v>73669</v>
      </c>
      <c r="G225" s="18">
        <v>34853.86</v>
      </c>
      <c r="H225" s="18">
        <v>16750.38</v>
      </c>
      <c r="I225" s="18">
        <v>1123.5999999999999</v>
      </c>
      <c r="J225" s="18">
        <v>53.15</v>
      </c>
      <c r="K225" s="18">
        <v>589.84</v>
      </c>
      <c r="L225" s="13">
        <f t="shared" si="2"/>
        <v>127039.83</v>
      </c>
      <c r="M225" s="8"/>
      <c r="N225" s="165"/>
    </row>
    <row r="226" spans="1:14" s="3" customFormat="1" ht="12.2" customHeight="1" x14ac:dyDescent="0.15">
      <c r="A226" s="1" t="s">
        <v>447</v>
      </c>
      <c r="B226" s="2" t="s">
        <v>346</v>
      </c>
      <c r="C226" s="2" t="s">
        <v>299</v>
      </c>
      <c r="D226" s="2" t="s">
        <v>431</v>
      </c>
      <c r="E226" s="6">
        <v>2600</v>
      </c>
      <c r="F226" s="18">
        <v>131599.91</v>
      </c>
      <c r="G226" s="18">
        <v>67296.89</v>
      </c>
      <c r="H226" s="18">
        <v>278784.15999999997</v>
      </c>
      <c r="I226" s="18">
        <v>109233.63</v>
      </c>
      <c r="J226" s="18">
        <v>21830.61</v>
      </c>
      <c r="K226" s="18"/>
      <c r="L226" s="13">
        <f t="shared" si="2"/>
        <v>608745.19999999995</v>
      </c>
      <c r="M226" s="8"/>
      <c r="N226" s="165"/>
    </row>
    <row r="227" spans="1:14" s="3" customFormat="1" ht="12.2" customHeight="1" x14ac:dyDescent="0.15">
      <c r="A227" s="1" t="s">
        <v>448</v>
      </c>
      <c r="B227" s="2" t="s">
        <v>346</v>
      </c>
      <c r="C227" s="2" t="s">
        <v>300</v>
      </c>
      <c r="D227" s="2" t="s">
        <v>431</v>
      </c>
      <c r="E227" s="6">
        <v>2700</v>
      </c>
      <c r="F227" s="18"/>
      <c r="G227" s="18"/>
      <c r="H227" s="18">
        <f>8392.66+314217.17</f>
        <v>322609.82999999996</v>
      </c>
      <c r="I227" s="18">
        <v>886.61</v>
      </c>
      <c r="J227" s="18"/>
      <c r="K227" s="18"/>
      <c r="L227" s="13">
        <f t="shared" si="2"/>
        <v>323496.43999999994</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3633504.4700000007</v>
      </c>
      <c r="G230" s="38">
        <f>SUM(G216:G229)</f>
        <v>2074366.43</v>
      </c>
      <c r="H230" s="38">
        <f>SUM(H216:H229)</f>
        <v>1390760.98</v>
      </c>
      <c r="I230" s="38">
        <f>SUM(I216:I229)</f>
        <v>217306.78999999998</v>
      </c>
      <c r="J230" s="38">
        <f>SUM(J216:J229)</f>
        <v>34549.160000000003</v>
      </c>
      <c r="K230" s="38">
        <f t="shared" si="3"/>
        <v>8170.9600000000009</v>
      </c>
      <c r="L230" s="38">
        <f t="shared" si="3"/>
        <v>7358658.790000001</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1745560.65</v>
      </c>
      <c r="G234" s="18">
        <v>1001292.33</v>
      </c>
      <c r="H234" s="18">
        <v>2397.0100000000002</v>
      </c>
      <c r="I234" s="18">
        <v>64592.639999999999</v>
      </c>
      <c r="J234" s="18">
        <v>9920.18</v>
      </c>
      <c r="K234" s="18"/>
      <c r="L234" s="13">
        <f>SUM(F234:K234)</f>
        <v>2823762.81</v>
      </c>
      <c r="M234" s="8"/>
      <c r="N234" s="165"/>
    </row>
    <row r="235" spans="1:14" s="3" customFormat="1" ht="12.2" customHeight="1" x14ac:dyDescent="0.15">
      <c r="A235" s="1" t="s">
        <v>439</v>
      </c>
      <c r="B235" s="2" t="s">
        <v>350</v>
      </c>
      <c r="C235" s="2" t="s">
        <v>291</v>
      </c>
      <c r="D235" s="2" t="s">
        <v>431</v>
      </c>
      <c r="E235" s="6">
        <v>1200</v>
      </c>
      <c r="F235" s="18">
        <v>484567.03999999998</v>
      </c>
      <c r="G235" s="18">
        <v>339509.58</v>
      </c>
      <c r="H235" s="18">
        <v>558902.66</v>
      </c>
      <c r="I235" s="18">
        <v>5572.22</v>
      </c>
      <c r="J235" s="18"/>
      <c r="K235" s="18"/>
      <c r="L235" s="13">
        <f>SUM(F235:K235)</f>
        <v>1388551.5</v>
      </c>
      <c r="M235" s="8"/>
      <c r="N235" s="165"/>
    </row>
    <row r="236" spans="1:14" s="3" customFormat="1" ht="12.2" customHeight="1" x14ac:dyDescent="0.15">
      <c r="A236" s="1" t="s">
        <v>440</v>
      </c>
      <c r="B236" s="2" t="s">
        <v>350</v>
      </c>
      <c r="C236" s="2" t="s">
        <v>292</v>
      </c>
      <c r="D236" s="2" t="s">
        <v>431</v>
      </c>
      <c r="E236" s="6">
        <v>1300</v>
      </c>
      <c r="F236" s="18">
        <v>23480.53</v>
      </c>
      <c r="G236" s="18">
        <v>1796.3</v>
      </c>
      <c r="H236" s="18">
        <v>144111.51999999999</v>
      </c>
      <c r="I236" s="18"/>
      <c r="J236" s="18"/>
      <c r="K236" s="18"/>
      <c r="L236" s="13">
        <f>SUM(F236:K236)</f>
        <v>169388.34999999998</v>
      </c>
      <c r="M236" s="8"/>
      <c r="N236" s="165"/>
    </row>
    <row r="237" spans="1:14" s="3" customFormat="1" ht="12.2" customHeight="1" x14ac:dyDescent="0.15">
      <c r="A237" s="1" t="s">
        <v>441</v>
      </c>
      <c r="B237" s="2" t="s">
        <v>350</v>
      </c>
      <c r="C237" s="2" t="s">
        <v>293</v>
      </c>
      <c r="D237" s="2" t="s">
        <v>431</v>
      </c>
      <c r="E237" s="6">
        <v>1400</v>
      </c>
      <c r="F237" s="18">
        <v>136498.63</v>
      </c>
      <c r="G237" s="18">
        <v>40666.6</v>
      </c>
      <c r="H237" s="18">
        <v>37997.01</v>
      </c>
      <c r="I237" s="18">
        <v>25901.17</v>
      </c>
      <c r="J237" s="18">
        <v>9479</v>
      </c>
      <c r="K237" s="18">
        <v>28234.41</v>
      </c>
      <c r="L237" s="13">
        <f>SUM(F237:K237)</f>
        <v>278776.82</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384836.38</v>
      </c>
      <c r="G239" s="18">
        <v>216511.97</v>
      </c>
      <c r="H239" s="18">
        <v>103464.87</v>
      </c>
      <c r="I239" s="18">
        <v>7486.72</v>
      </c>
      <c r="J239" s="18">
        <v>1198.31</v>
      </c>
      <c r="K239" s="18">
        <v>446.67</v>
      </c>
      <c r="L239" s="13">
        <f t="shared" ref="L239:L245" si="4">SUM(F239:K239)</f>
        <v>713944.92</v>
      </c>
      <c r="M239" s="8"/>
      <c r="N239" s="165"/>
    </row>
    <row r="240" spans="1:14" s="3" customFormat="1" ht="12.2" customHeight="1" x14ac:dyDescent="0.15">
      <c r="A240" s="1" t="s">
        <v>443</v>
      </c>
      <c r="B240" s="2" t="s">
        <v>350</v>
      </c>
      <c r="C240" s="2" t="s">
        <v>295</v>
      </c>
      <c r="D240" s="2" t="s">
        <v>431</v>
      </c>
      <c r="E240" s="6">
        <v>2200</v>
      </c>
      <c r="F240" s="18">
        <v>148144.87</v>
      </c>
      <c r="G240" s="18">
        <v>91158.69</v>
      </c>
      <c r="H240" s="18">
        <v>60572.23</v>
      </c>
      <c r="I240" s="18">
        <v>35169.599999999999</v>
      </c>
      <c r="J240" s="18">
        <v>7800.11</v>
      </c>
      <c r="K240" s="18">
        <v>12.38</v>
      </c>
      <c r="L240" s="13">
        <f t="shared" si="4"/>
        <v>342857.87999999995</v>
      </c>
      <c r="M240" s="8"/>
      <c r="N240" s="165"/>
    </row>
    <row r="241" spans="1:14" s="3" customFormat="1" ht="12.2" customHeight="1" x14ac:dyDescent="0.15">
      <c r="A241" s="1" t="s">
        <v>444</v>
      </c>
      <c r="B241" s="2" t="s">
        <v>350</v>
      </c>
      <c r="C241" s="2" t="s">
        <v>296</v>
      </c>
      <c r="D241" s="2" t="s">
        <v>431</v>
      </c>
      <c r="E241" s="6">
        <v>2300</v>
      </c>
      <c r="F241" s="18">
        <v>65075.360000000001</v>
      </c>
      <c r="G241" s="18">
        <v>30409.88</v>
      </c>
      <c r="H241" s="18">
        <v>27138.73</v>
      </c>
      <c r="I241" s="18">
        <v>1014.95</v>
      </c>
      <c r="J241" s="18"/>
      <c r="K241" s="18">
        <v>2180.63</v>
      </c>
      <c r="L241" s="13">
        <f t="shared" si="4"/>
        <v>125819.55</v>
      </c>
      <c r="M241" s="8"/>
      <c r="N241" s="165"/>
    </row>
    <row r="242" spans="1:14" s="3" customFormat="1" ht="12.2" customHeight="1" x14ac:dyDescent="0.15">
      <c r="A242" s="1" t="s">
        <v>445</v>
      </c>
      <c r="B242" s="2" t="s">
        <v>350</v>
      </c>
      <c r="C242" s="2" t="s">
        <v>297</v>
      </c>
      <c r="D242" s="2" t="s">
        <v>431</v>
      </c>
      <c r="E242" s="6">
        <v>2400</v>
      </c>
      <c r="F242" s="18">
        <v>253224.72</v>
      </c>
      <c r="G242" s="18">
        <v>139516.35999999999</v>
      </c>
      <c r="H242" s="18">
        <v>19308.650000000001</v>
      </c>
      <c r="I242" s="18">
        <v>2268.8000000000002</v>
      </c>
      <c r="J242" s="18"/>
      <c r="K242" s="18">
        <v>12848.83</v>
      </c>
      <c r="L242" s="13">
        <f t="shared" si="4"/>
        <v>427167.36</v>
      </c>
      <c r="M242" s="8"/>
      <c r="N242" s="165"/>
    </row>
    <row r="243" spans="1:14" s="3" customFormat="1" ht="12.2" customHeight="1" x14ac:dyDescent="0.15">
      <c r="A243" s="1" t="s">
        <v>446</v>
      </c>
      <c r="B243" s="2" t="s">
        <v>350</v>
      </c>
      <c r="C243" s="2" t="s">
        <v>298</v>
      </c>
      <c r="D243" s="2" t="s">
        <v>431</v>
      </c>
      <c r="E243" s="6">
        <v>2500</v>
      </c>
      <c r="F243" s="18">
        <v>77161.61</v>
      </c>
      <c r="G243" s="18">
        <v>36506.26</v>
      </c>
      <c r="H243" s="18">
        <v>17544.509999999998</v>
      </c>
      <c r="I243" s="18">
        <v>1176.8800000000001</v>
      </c>
      <c r="J243" s="18">
        <v>55.67</v>
      </c>
      <c r="K243" s="18">
        <v>617.79999999999995</v>
      </c>
      <c r="L243" s="13">
        <f t="shared" si="4"/>
        <v>133062.73000000001</v>
      </c>
      <c r="M243" s="8"/>
      <c r="N243" s="165"/>
    </row>
    <row r="244" spans="1:14" s="3" customFormat="1" ht="12.2" customHeight="1" x14ac:dyDescent="0.15">
      <c r="A244" s="1" t="s">
        <v>447</v>
      </c>
      <c r="B244" s="2" t="s">
        <v>350</v>
      </c>
      <c r="C244" s="2" t="s">
        <v>299</v>
      </c>
      <c r="D244" s="2" t="s">
        <v>431</v>
      </c>
      <c r="E244" s="6">
        <v>2600</v>
      </c>
      <c r="F244" s="18">
        <v>164087.81</v>
      </c>
      <c r="G244" s="18">
        <v>82049.47</v>
      </c>
      <c r="H244" s="18">
        <v>246934.44</v>
      </c>
      <c r="I244" s="18">
        <v>124757.85</v>
      </c>
      <c r="J244" s="18">
        <v>2714.14</v>
      </c>
      <c r="K244" s="18"/>
      <c r="L244" s="13">
        <f t="shared" si="4"/>
        <v>620543.71</v>
      </c>
      <c r="M244" s="8"/>
      <c r="N244" s="165"/>
    </row>
    <row r="245" spans="1:14" s="3" customFormat="1" ht="12.2" customHeight="1" x14ac:dyDescent="0.15">
      <c r="A245" s="1" t="s">
        <v>448</v>
      </c>
      <c r="B245" s="2" t="s">
        <v>350</v>
      </c>
      <c r="C245" s="2" t="s">
        <v>300</v>
      </c>
      <c r="D245" s="2" t="s">
        <v>431</v>
      </c>
      <c r="E245" s="6">
        <v>2700</v>
      </c>
      <c r="F245" s="18"/>
      <c r="G245" s="18"/>
      <c r="H245" s="18">
        <f>466328.65-8392.66</f>
        <v>457935.99000000005</v>
      </c>
      <c r="I245" s="18">
        <v>928.65</v>
      </c>
      <c r="J245" s="18"/>
      <c r="K245" s="18"/>
      <c r="L245" s="13">
        <f t="shared" si="4"/>
        <v>458864.64000000007</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3482637.5999999996</v>
      </c>
      <c r="G248" s="38">
        <f t="shared" si="5"/>
        <v>1979417.44</v>
      </c>
      <c r="H248" s="38">
        <f t="shared" si="5"/>
        <v>1676307.62</v>
      </c>
      <c r="I248" s="38">
        <f t="shared" si="5"/>
        <v>268869.48000000004</v>
      </c>
      <c r="J248" s="38">
        <f t="shared" si="5"/>
        <v>31167.41</v>
      </c>
      <c r="K248" s="38">
        <f t="shared" si="5"/>
        <v>44340.72</v>
      </c>
      <c r="L248" s="38">
        <f t="shared" si="5"/>
        <v>7482740.2700000005</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652435.11</v>
      </c>
      <c r="I256" s="18"/>
      <c r="J256" s="18"/>
      <c r="K256" s="18"/>
      <c r="L256" s="13">
        <f t="shared" si="6"/>
        <v>652435.11</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652435.11</v>
      </c>
      <c r="I257" s="38">
        <f t="shared" si="7"/>
        <v>0</v>
      </c>
      <c r="J257" s="38">
        <f t="shared" si="7"/>
        <v>0</v>
      </c>
      <c r="K257" s="38">
        <f t="shared" si="7"/>
        <v>0</v>
      </c>
      <c r="L257" s="38">
        <f>SUM(F257:K257)</f>
        <v>652435.11</v>
      </c>
      <c r="M257" s="8"/>
      <c r="N257" s="165"/>
    </row>
    <row r="258" spans="1:14" s="3" customFormat="1" ht="12.2" customHeight="1" thickTop="1" x14ac:dyDescent="0.15">
      <c r="A258" s="35" t="s">
        <v>462</v>
      </c>
      <c r="B258" s="37">
        <v>10</v>
      </c>
      <c r="C258" s="37">
        <v>8</v>
      </c>
      <c r="D258" s="36" t="s">
        <v>431</v>
      </c>
      <c r="E258" s="37"/>
      <c r="F258" s="38">
        <f t="shared" ref="F258:L258" si="8">F212+F230+F248+F257</f>
        <v>11851887.609999999</v>
      </c>
      <c r="G258" s="38">
        <f t="shared" si="8"/>
        <v>6635873.6500000004</v>
      </c>
      <c r="H258" s="38">
        <f t="shared" si="8"/>
        <v>4910019.99</v>
      </c>
      <c r="I258" s="38">
        <f t="shared" si="8"/>
        <v>766507.63</v>
      </c>
      <c r="J258" s="38">
        <f t="shared" si="8"/>
        <v>99969.23000000001</v>
      </c>
      <c r="K258" s="38">
        <f t="shared" si="8"/>
        <v>59270.37</v>
      </c>
      <c r="L258" s="38">
        <f t="shared" si="8"/>
        <v>24323528.48</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74721.62</v>
      </c>
      <c r="L264" s="13">
        <f>SUM(F264:K264)</f>
        <v>74721.62</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120000</v>
      </c>
      <c r="L267" s="13">
        <f t="shared" si="9"/>
        <v>120000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194721.62</v>
      </c>
      <c r="L271" s="38">
        <f t="shared" si="9"/>
        <v>194721.62</v>
      </c>
      <c r="M271" s="8"/>
      <c r="N271" s="165"/>
    </row>
    <row r="272" spans="1:14" s="33" customFormat="1" ht="12.2" customHeight="1" thickTop="1" x14ac:dyDescent="0.2">
      <c r="A272" s="40" t="s">
        <v>464</v>
      </c>
      <c r="B272" s="37">
        <v>10</v>
      </c>
      <c r="C272" s="37">
        <v>18</v>
      </c>
      <c r="D272" s="36" t="s">
        <v>431</v>
      </c>
      <c r="E272" s="37"/>
      <c r="F272" s="39">
        <f t="shared" ref="F272:L272" si="11">F258+F271</f>
        <v>11851887.609999999</v>
      </c>
      <c r="G272" s="39">
        <f t="shared" si="11"/>
        <v>6635873.6500000004</v>
      </c>
      <c r="H272" s="39">
        <f t="shared" si="11"/>
        <v>4910019.99</v>
      </c>
      <c r="I272" s="39">
        <f t="shared" si="11"/>
        <v>766507.63</v>
      </c>
      <c r="J272" s="39">
        <f t="shared" si="11"/>
        <v>99969.23000000001</v>
      </c>
      <c r="K272" s="39">
        <f t="shared" si="11"/>
        <v>253991.99</v>
      </c>
      <c r="L272" s="39">
        <f t="shared" si="11"/>
        <v>24518250.100000001</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124887.87</v>
      </c>
      <c r="G277" s="18">
        <v>39689.56</v>
      </c>
      <c r="H277" s="18"/>
      <c r="I277" s="18">
        <v>72619.320000000007</v>
      </c>
      <c r="J277" s="18"/>
      <c r="K277" s="18"/>
      <c r="L277" s="13">
        <f>SUM(F277:K277)</f>
        <v>237196.75</v>
      </c>
      <c r="M277" s="8"/>
      <c r="N277" s="165"/>
    </row>
    <row r="278" spans="1:14" s="3" customFormat="1" ht="12.2" customHeight="1" x14ac:dyDescent="0.15">
      <c r="A278" s="1" t="s">
        <v>439</v>
      </c>
      <c r="B278" s="2" t="s">
        <v>357</v>
      </c>
      <c r="C278" s="2" t="s">
        <v>291</v>
      </c>
      <c r="D278" s="2" t="s">
        <v>431</v>
      </c>
      <c r="E278" s="6">
        <v>1200</v>
      </c>
      <c r="F278" s="18">
        <v>161260.76999999999</v>
      </c>
      <c r="G278" s="18">
        <v>102794.17</v>
      </c>
      <c r="H278" s="18">
        <v>10378.280000000001</v>
      </c>
      <c r="I278" s="18">
        <v>15765.76</v>
      </c>
      <c r="J278" s="18">
        <v>3856.02</v>
      </c>
      <c r="K278" s="18"/>
      <c r="L278" s="13">
        <f>SUM(F278:K278)</f>
        <v>294055.00000000006</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12475</v>
      </c>
      <c r="G280" s="18">
        <v>3615.61</v>
      </c>
      <c r="H280" s="18"/>
      <c r="I280" s="18"/>
      <c r="J280" s="18"/>
      <c r="K280" s="18"/>
      <c r="L280" s="13">
        <f>SUM(F280:K280)</f>
        <v>16090.61</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1012.58</v>
      </c>
      <c r="G282" s="18">
        <v>0.01</v>
      </c>
      <c r="H282" s="18"/>
      <c r="I282" s="18"/>
      <c r="J282" s="18"/>
      <c r="K282" s="18"/>
      <c r="L282" s="13">
        <f t="shared" ref="L282:L288" si="12">SUM(F282:K282)</f>
        <v>1012.59</v>
      </c>
      <c r="M282" s="8"/>
      <c r="N282" s="165"/>
    </row>
    <row r="283" spans="1:14" s="3" customFormat="1" ht="12.2" customHeight="1" x14ac:dyDescent="0.15">
      <c r="A283" s="1" t="s">
        <v>443</v>
      </c>
      <c r="B283" s="2" t="s">
        <v>357</v>
      </c>
      <c r="C283" s="2" t="s">
        <v>295</v>
      </c>
      <c r="D283" s="2" t="s">
        <v>431</v>
      </c>
      <c r="E283" s="6">
        <v>2200</v>
      </c>
      <c r="F283" s="18">
        <v>22332.49</v>
      </c>
      <c r="G283" s="18">
        <v>6147.54</v>
      </c>
      <c r="H283" s="18">
        <v>50397.75</v>
      </c>
      <c r="I283" s="18">
        <v>87661.91</v>
      </c>
      <c r="J283" s="18">
        <v>13611.72</v>
      </c>
      <c r="K283" s="18"/>
      <c r="L283" s="13">
        <f t="shared" si="12"/>
        <v>180151.41</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v>87528.15</v>
      </c>
      <c r="I287" s="18">
        <v>3888.26</v>
      </c>
      <c r="J287" s="18"/>
      <c r="K287" s="18"/>
      <c r="L287" s="13">
        <f t="shared" si="12"/>
        <v>91416.409999999989</v>
      </c>
      <c r="M287" s="8"/>
      <c r="N287" s="165"/>
    </row>
    <row r="288" spans="1:14" s="3" customFormat="1" ht="12.2" customHeight="1" x14ac:dyDescent="0.15">
      <c r="A288" s="1" t="s">
        <v>448</v>
      </c>
      <c r="B288" s="2" t="s">
        <v>357</v>
      </c>
      <c r="C288" s="2" t="s">
        <v>300</v>
      </c>
      <c r="D288" s="2" t="s">
        <v>431</v>
      </c>
      <c r="E288" s="6">
        <v>2700</v>
      </c>
      <c r="F288" s="18"/>
      <c r="G288" s="18"/>
      <c r="H288" s="18">
        <v>20687.63</v>
      </c>
      <c r="I288" s="18"/>
      <c r="J288" s="18"/>
      <c r="K288" s="18"/>
      <c r="L288" s="13">
        <f t="shared" si="12"/>
        <v>20687.63</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321968.71000000002</v>
      </c>
      <c r="G291" s="39">
        <f t="shared" si="13"/>
        <v>152246.88999999998</v>
      </c>
      <c r="H291" s="39">
        <f t="shared" si="13"/>
        <v>168991.81</v>
      </c>
      <c r="I291" s="39">
        <f t="shared" si="13"/>
        <v>179935.25</v>
      </c>
      <c r="J291" s="39">
        <f t="shared" si="13"/>
        <v>17467.739999999998</v>
      </c>
      <c r="K291" s="39">
        <f t="shared" si="13"/>
        <v>0</v>
      </c>
      <c r="L291" s="38">
        <f t="shared" si="13"/>
        <v>840610.4</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98905.89</v>
      </c>
      <c r="G296" s="18">
        <v>64801.43</v>
      </c>
      <c r="H296" s="18"/>
      <c r="I296" s="18">
        <v>41726.9</v>
      </c>
      <c r="J296" s="18"/>
      <c r="K296" s="18"/>
      <c r="L296" s="13">
        <f>SUM(F296:K296)</f>
        <v>205434.22</v>
      </c>
      <c r="M296" s="8"/>
      <c r="N296" s="165"/>
    </row>
    <row r="297" spans="1:14" s="3" customFormat="1" ht="12.2" customHeight="1" x14ac:dyDescent="0.15">
      <c r="A297" s="1" t="s">
        <v>439</v>
      </c>
      <c r="B297" s="2" t="s">
        <v>358</v>
      </c>
      <c r="C297" s="2" t="s">
        <v>291</v>
      </c>
      <c r="D297" s="2" t="s">
        <v>431</v>
      </c>
      <c r="E297" s="6">
        <v>1200</v>
      </c>
      <c r="F297" s="18">
        <v>4851.32</v>
      </c>
      <c r="G297" s="18">
        <v>1237.58</v>
      </c>
      <c r="H297" s="18">
        <v>6940.58</v>
      </c>
      <c r="I297" s="18">
        <v>11204.64</v>
      </c>
      <c r="J297" s="18">
        <v>280.79000000000002</v>
      </c>
      <c r="K297" s="18"/>
      <c r="L297" s="13">
        <f>SUM(F297:K297)</f>
        <v>24514.91</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v>8050</v>
      </c>
      <c r="G299" s="18">
        <v>1936.29</v>
      </c>
      <c r="H299" s="18">
        <v>1163</v>
      </c>
      <c r="I299" s="18">
        <v>3775.72</v>
      </c>
      <c r="J299" s="18">
        <v>307.08999999999997</v>
      </c>
      <c r="K299" s="18">
        <v>1845</v>
      </c>
      <c r="L299" s="13">
        <f>SUM(F299:K299)</f>
        <v>17077.099999999999</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756.24</v>
      </c>
      <c r="G301" s="18"/>
      <c r="H301" s="18"/>
      <c r="I301" s="18"/>
      <c r="J301" s="18"/>
      <c r="K301" s="18"/>
      <c r="L301" s="13">
        <f t="shared" ref="L301:L307" si="14">SUM(F301:K301)</f>
        <v>756.24</v>
      </c>
      <c r="M301" s="8"/>
      <c r="N301" s="165"/>
    </row>
    <row r="302" spans="1:14" s="3" customFormat="1" ht="12.2" customHeight="1" x14ac:dyDescent="0.15">
      <c r="A302" s="1" t="s">
        <v>443</v>
      </c>
      <c r="B302" s="2" t="s">
        <v>358</v>
      </c>
      <c r="C302" s="2" t="s">
        <v>295</v>
      </c>
      <c r="D302" s="2" t="s">
        <v>431</v>
      </c>
      <c r="E302" s="6">
        <v>2200</v>
      </c>
      <c r="F302" s="18">
        <v>15554.93</v>
      </c>
      <c r="G302" s="18">
        <v>4503.84</v>
      </c>
      <c r="H302" s="18">
        <v>9448.7900000000009</v>
      </c>
      <c r="I302" s="18">
        <v>65469.3</v>
      </c>
      <c r="J302" s="18">
        <v>10165.76</v>
      </c>
      <c r="K302" s="18"/>
      <c r="L302" s="13">
        <f t="shared" si="14"/>
        <v>105142.62</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v>48634.16</v>
      </c>
      <c r="I306" s="18"/>
      <c r="J306" s="18"/>
      <c r="K306" s="18"/>
      <c r="L306" s="13">
        <f t="shared" si="14"/>
        <v>48634.16</v>
      </c>
      <c r="M306" s="8"/>
      <c r="N306" s="165"/>
    </row>
    <row r="307" spans="1:14" s="3" customFormat="1" ht="12.2" customHeight="1" x14ac:dyDescent="0.15">
      <c r="A307" s="1" t="s">
        <v>448</v>
      </c>
      <c r="B307" s="2" t="s">
        <v>358</v>
      </c>
      <c r="C307" s="2" t="s">
        <v>300</v>
      </c>
      <c r="D307" s="2" t="s">
        <v>431</v>
      </c>
      <c r="E307" s="6">
        <v>2700</v>
      </c>
      <c r="F307" s="18"/>
      <c r="G307" s="18"/>
      <c r="H307" s="18">
        <v>17991.93</v>
      </c>
      <c r="I307" s="18"/>
      <c r="J307" s="18"/>
      <c r="K307" s="18"/>
      <c r="L307" s="13">
        <f t="shared" si="14"/>
        <v>17991.93</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128118.38</v>
      </c>
      <c r="G310" s="39">
        <f t="shared" si="15"/>
        <v>72479.139999999985</v>
      </c>
      <c r="H310" s="39">
        <f t="shared" si="15"/>
        <v>84178.459999999992</v>
      </c>
      <c r="I310" s="39">
        <f t="shared" si="15"/>
        <v>122176.56</v>
      </c>
      <c r="J310" s="39">
        <f t="shared" si="15"/>
        <v>10753.64</v>
      </c>
      <c r="K310" s="39">
        <f t="shared" si="15"/>
        <v>1845</v>
      </c>
      <c r="L310" s="38">
        <f t="shared" si="15"/>
        <v>419551.18</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24799.91</v>
      </c>
      <c r="G315" s="18">
        <v>13843.89</v>
      </c>
      <c r="H315" s="18">
        <v>5000</v>
      </c>
      <c r="I315" s="18">
        <v>25288.04</v>
      </c>
      <c r="J315" s="18">
        <v>38740.19</v>
      </c>
      <c r="K315" s="18"/>
      <c r="L315" s="13">
        <f>SUM(F315:K315)</f>
        <v>107672.03</v>
      </c>
      <c r="M315" s="8"/>
      <c r="N315" s="165"/>
    </row>
    <row r="316" spans="1:14" s="3" customFormat="1" ht="12.2" customHeight="1" x14ac:dyDescent="0.15">
      <c r="A316" s="1" t="s">
        <v>439</v>
      </c>
      <c r="B316" s="2" t="s">
        <v>359</v>
      </c>
      <c r="C316" s="2" t="s">
        <v>291</v>
      </c>
      <c r="D316" s="2" t="s">
        <v>431</v>
      </c>
      <c r="E316" s="6">
        <v>1200</v>
      </c>
      <c r="F316" s="18">
        <v>5081.32</v>
      </c>
      <c r="G316" s="18">
        <v>1296.26</v>
      </c>
      <c r="H316" s="18">
        <v>7269.61</v>
      </c>
      <c r="I316" s="18">
        <v>11735.85</v>
      </c>
      <c r="J316" s="18">
        <v>294.11</v>
      </c>
      <c r="K316" s="18"/>
      <c r="L316" s="13">
        <f>SUM(F316:K316)</f>
        <v>25677.15</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v>6626.74</v>
      </c>
      <c r="G318" s="18">
        <v>545.86</v>
      </c>
      <c r="H318" s="18">
        <v>19696.75</v>
      </c>
      <c r="I318" s="18">
        <v>4486.47</v>
      </c>
      <c r="J318" s="18">
        <v>307.08</v>
      </c>
      <c r="K318" s="18">
        <v>1000</v>
      </c>
      <c r="L318" s="13">
        <f>SUM(F318:K318)</f>
        <v>32662.9</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792.09</v>
      </c>
      <c r="G320" s="18"/>
      <c r="H320" s="18"/>
      <c r="I320" s="18"/>
      <c r="J320" s="18"/>
      <c r="K320" s="18"/>
      <c r="L320" s="13">
        <f t="shared" ref="L320:L326" si="16">SUM(F320:K320)</f>
        <v>792.09</v>
      </c>
      <c r="M320" s="8"/>
      <c r="N320" s="165"/>
    </row>
    <row r="321" spans="1:14" s="3" customFormat="1" ht="12.2" customHeight="1" x14ac:dyDescent="0.15">
      <c r="A321" s="1" t="s">
        <v>443</v>
      </c>
      <c r="B321" s="2" t="s">
        <v>359</v>
      </c>
      <c r="C321" s="2" t="s">
        <v>295</v>
      </c>
      <c r="D321" s="2" t="s">
        <v>431</v>
      </c>
      <c r="E321" s="6">
        <v>2200</v>
      </c>
      <c r="F321" s="18">
        <v>16292.37</v>
      </c>
      <c r="G321" s="18">
        <v>4717.34</v>
      </c>
      <c r="H321" s="18">
        <v>9869.3799999999992</v>
      </c>
      <c r="I321" s="18">
        <v>68573.17</v>
      </c>
      <c r="J321" s="18">
        <v>13183.27</v>
      </c>
      <c r="K321" s="18"/>
      <c r="L321" s="13">
        <f t="shared" si="16"/>
        <v>112635.53</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v>46391.44</v>
      </c>
      <c r="I325" s="18">
        <v>8029</v>
      </c>
      <c r="J325" s="18"/>
      <c r="K325" s="18"/>
      <c r="L325" s="13">
        <f t="shared" si="16"/>
        <v>54420.44</v>
      </c>
      <c r="M325" s="8"/>
      <c r="N325" s="165"/>
    </row>
    <row r="326" spans="1:14" s="3" customFormat="1" ht="12.2" customHeight="1" x14ac:dyDescent="0.15">
      <c r="A326" s="1" t="s">
        <v>448</v>
      </c>
      <c r="B326" s="2" t="s">
        <v>359</v>
      </c>
      <c r="C326" s="2" t="s">
        <v>300</v>
      </c>
      <c r="D326" s="2" t="s">
        <v>431</v>
      </c>
      <c r="E326" s="6">
        <v>2700</v>
      </c>
      <c r="F326" s="18"/>
      <c r="G326" s="18"/>
      <c r="H326" s="18">
        <v>12925.54</v>
      </c>
      <c r="I326" s="18"/>
      <c r="J326" s="18"/>
      <c r="K326" s="18"/>
      <c r="L326" s="13">
        <f t="shared" si="16"/>
        <v>12925.54</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53592.43</v>
      </c>
      <c r="G329" s="39">
        <f t="shared" si="17"/>
        <v>20403.349999999999</v>
      </c>
      <c r="H329" s="39">
        <f t="shared" si="17"/>
        <v>101152.72</v>
      </c>
      <c r="I329" s="39">
        <f t="shared" si="17"/>
        <v>118112.53</v>
      </c>
      <c r="J329" s="39">
        <f t="shared" si="17"/>
        <v>52524.650000000009</v>
      </c>
      <c r="K329" s="39">
        <f t="shared" si="17"/>
        <v>1000</v>
      </c>
      <c r="L329" s="38">
        <f t="shared" si="17"/>
        <v>346785.67999999993</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v>1393608.92</v>
      </c>
      <c r="I337" s="18"/>
      <c r="J337" s="18"/>
      <c r="K337" s="18"/>
      <c r="L337" s="13">
        <f t="shared" si="18"/>
        <v>1393608.92</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1393608.92</v>
      </c>
      <c r="I338" s="38">
        <f t="shared" si="19"/>
        <v>0</v>
      </c>
      <c r="J338" s="38">
        <f t="shared" si="19"/>
        <v>0</v>
      </c>
      <c r="K338" s="38">
        <f t="shared" si="19"/>
        <v>0</v>
      </c>
      <c r="L338" s="38">
        <f t="shared" si="18"/>
        <v>1393608.92</v>
      </c>
      <c r="M338" s="8"/>
      <c r="N338" s="165"/>
    </row>
    <row r="339" spans="1:43" s="3" customFormat="1" ht="12.2" customHeight="1" thickTop="1" x14ac:dyDescent="0.15">
      <c r="A339" s="35" t="s">
        <v>468</v>
      </c>
      <c r="B339" s="37">
        <v>14</v>
      </c>
      <c r="C339" s="37">
        <v>7</v>
      </c>
      <c r="D339" s="36" t="s">
        <v>431</v>
      </c>
      <c r="E339" s="37"/>
      <c r="F339" s="38">
        <f t="shared" ref="F339:L339" si="20">F291+F310+F329+F338</f>
        <v>503679.52</v>
      </c>
      <c r="G339" s="38">
        <f t="shared" si="20"/>
        <v>245129.37999999998</v>
      </c>
      <c r="H339" s="38">
        <f t="shared" si="20"/>
        <v>1747931.91</v>
      </c>
      <c r="I339" s="38">
        <f t="shared" si="20"/>
        <v>420224.33999999997</v>
      </c>
      <c r="J339" s="38">
        <f t="shared" si="20"/>
        <v>80746.03</v>
      </c>
      <c r="K339" s="38">
        <f t="shared" si="20"/>
        <v>2845</v>
      </c>
      <c r="L339" s="38">
        <f t="shared" si="20"/>
        <v>3000556.1799999997</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503679.52</v>
      </c>
      <c r="G353" s="38">
        <f>G339</f>
        <v>245129.37999999998</v>
      </c>
      <c r="H353" s="38">
        <f>H339</f>
        <v>1747931.91</v>
      </c>
      <c r="I353" s="38">
        <f>I339</f>
        <v>420224.33999999997</v>
      </c>
      <c r="J353" s="38">
        <f>J339</f>
        <v>80746.03</v>
      </c>
      <c r="K353" s="38">
        <f>K339+K352</f>
        <v>2845</v>
      </c>
      <c r="L353" s="38">
        <f>L339+L352</f>
        <v>3000556.1799999997</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124526.51</v>
      </c>
      <c r="G359" s="18">
        <v>44684.79</v>
      </c>
      <c r="H359" s="18">
        <v>12345.82</v>
      </c>
      <c r="I359" s="18">
        <v>125438.21</v>
      </c>
      <c r="J359" s="18"/>
      <c r="K359" s="18">
        <v>501</v>
      </c>
      <c r="L359" s="13">
        <f>SUM(F359:K359)</f>
        <v>307496.33</v>
      </c>
      <c r="M359" s="8"/>
      <c r="N359" s="165"/>
    </row>
    <row r="360" spans="1:22" s="3" customFormat="1" ht="12.2" customHeight="1" x14ac:dyDescent="0.15">
      <c r="A360" s="1" t="s">
        <v>542</v>
      </c>
      <c r="B360" s="2" t="s">
        <v>366</v>
      </c>
      <c r="C360" s="6">
        <v>2</v>
      </c>
      <c r="D360" s="2" t="s">
        <v>431</v>
      </c>
      <c r="E360" s="6"/>
      <c r="F360" s="18">
        <v>72644.83</v>
      </c>
      <c r="G360" s="18">
        <v>27138.07</v>
      </c>
      <c r="H360" s="18">
        <v>7481.15</v>
      </c>
      <c r="I360" s="18">
        <v>66968.399999999994</v>
      </c>
      <c r="J360" s="18"/>
      <c r="K360" s="18">
        <v>250.5</v>
      </c>
      <c r="L360" s="13">
        <f>SUM(F360:K360)</f>
        <v>174482.94999999998</v>
      </c>
      <c r="M360" s="8"/>
      <c r="N360" s="165"/>
    </row>
    <row r="361" spans="1:22" s="3" customFormat="1" ht="12.2" customHeight="1" x14ac:dyDescent="0.15">
      <c r="A361" s="3" t="s">
        <v>543</v>
      </c>
      <c r="B361" s="2" t="s">
        <v>366</v>
      </c>
      <c r="C361" s="6">
        <v>3</v>
      </c>
      <c r="D361" s="2" t="s">
        <v>431</v>
      </c>
      <c r="E361" s="6"/>
      <c r="F361" s="18">
        <v>78091.72</v>
      </c>
      <c r="G361" s="18">
        <v>26748.28</v>
      </c>
      <c r="H361" s="18">
        <v>8990.64</v>
      </c>
      <c r="I361" s="18">
        <v>67320.52</v>
      </c>
      <c r="J361" s="18">
        <v>15434.99</v>
      </c>
      <c r="K361" s="18">
        <v>250.5</v>
      </c>
      <c r="L361" s="13">
        <f>SUM(F361:K361)</f>
        <v>196836.65</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275263.06</v>
      </c>
      <c r="G363" s="38">
        <f t="shared" si="22"/>
        <v>98571.14</v>
      </c>
      <c r="H363" s="38">
        <f t="shared" si="22"/>
        <v>28817.61</v>
      </c>
      <c r="I363" s="38">
        <f t="shared" si="22"/>
        <v>259727.13</v>
      </c>
      <c r="J363" s="38">
        <f t="shared" si="22"/>
        <v>15434.99</v>
      </c>
      <c r="K363" s="38">
        <f t="shared" si="22"/>
        <v>1002</v>
      </c>
      <c r="L363" s="38">
        <f t="shared" si="22"/>
        <v>678815.93</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114151.23</v>
      </c>
      <c r="G368" s="18">
        <v>62380.800000000003</v>
      </c>
      <c r="H368" s="18">
        <v>61556.26</v>
      </c>
      <c r="I368" s="13">
        <f>SUM(F368:H368)</f>
        <v>238088.29</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11286.98</v>
      </c>
      <c r="G369" s="53">
        <v>4587.6000000000004</v>
      </c>
      <c r="H369" s="53">
        <v>5764.26</v>
      </c>
      <c r="I369" s="13">
        <f>SUM(F369:H369)</f>
        <v>21638.84</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125438.20999999999</v>
      </c>
      <c r="G370" s="38">
        <f>SUM(G368:G369)</f>
        <v>66968.400000000009</v>
      </c>
      <c r="H370" s="38">
        <f>SUM(H368:H369)</f>
        <v>67320.52</v>
      </c>
      <c r="I370" s="38">
        <f>SUM(I368:I369)</f>
        <v>259727.13</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v>1046.46</v>
      </c>
      <c r="I388" s="18"/>
      <c r="J388" s="23" t="s">
        <v>288</v>
      </c>
      <c r="K388" s="23" t="s">
        <v>288</v>
      </c>
      <c r="L388" s="13">
        <f t="shared" ref="L388:L393" si="25">SUM(F388:K388)</f>
        <v>1046.46</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1046.46</v>
      </c>
      <c r="I394" s="54">
        <f>SUM(I388:I393)</f>
        <v>0</v>
      </c>
      <c r="J394" s="42" t="s">
        <v>288</v>
      </c>
      <c r="K394" s="42" t="s">
        <v>288</v>
      </c>
      <c r="L394" s="38">
        <f>SUM(L388:L393)</f>
        <v>1046.46</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100000</v>
      </c>
      <c r="H397" s="18">
        <v>11736.81</v>
      </c>
      <c r="I397" s="18"/>
      <c r="J397" s="23" t="s">
        <v>288</v>
      </c>
      <c r="K397" s="23" t="s">
        <v>288</v>
      </c>
      <c r="L397" s="13">
        <f t="shared" si="26"/>
        <v>111736.81</v>
      </c>
      <c r="M397" s="8"/>
      <c r="N397" s="165"/>
    </row>
    <row r="398" spans="1:14" s="3" customFormat="1" ht="12.2" customHeight="1" x14ac:dyDescent="0.15">
      <c r="A398" s="62" t="s">
        <v>515</v>
      </c>
      <c r="B398" s="2" t="s">
        <v>381</v>
      </c>
      <c r="C398" s="6">
        <v>10</v>
      </c>
      <c r="D398" s="2" t="s">
        <v>432</v>
      </c>
      <c r="E398" s="6"/>
      <c r="F398" s="18"/>
      <c r="G398" s="18"/>
      <c r="H398" s="18">
        <v>12684.95</v>
      </c>
      <c r="I398" s="18"/>
      <c r="J398" s="23" t="s">
        <v>288</v>
      </c>
      <c r="K398" s="23" t="s">
        <v>288</v>
      </c>
      <c r="L398" s="13">
        <f t="shared" si="26"/>
        <v>12684.95</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v>20000</v>
      </c>
      <c r="H400" s="18">
        <v>2938.17</v>
      </c>
      <c r="I400" s="18"/>
      <c r="J400" s="23" t="s">
        <v>288</v>
      </c>
      <c r="K400" s="23" t="s">
        <v>288</v>
      </c>
      <c r="L400" s="13">
        <f t="shared" si="26"/>
        <v>22938.17</v>
      </c>
      <c r="M400" s="8"/>
      <c r="N400" s="165"/>
    </row>
    <row r="401" spans="1:21" s="3" customFormat="1" ht="12.2" customHeight="1" thickBot="1" x14ac:dyDescent="0.2">
      <c r="A401" s="62" t="s">
        <v>510</v>
      </c>
      <c r="B401" s="2" t="s">
        <v>381</v>
      </c>
      <c r="C401" s="6">
        <v>13</v>
      </c>
      <c r="D401" s="2" t="s">
        <v>432</v>
      </c>
      <c r="E401" s="6"/>
      <c r="F401" s="18"/>
      <c r="G401" s="18"/>
      <c r="H401" s="18">
        <f>1403.51+37.43</f>
        <v>1440.94</v>
      </c>
      <c r="I401" s="18">
        <f>43564.96+238029.72</f>
        <v>281594.68</v>
      </c>
      <c r="J401" s="23" t="s">
        <v>288</v>
      </c>
      <c r="K401" s="23" t="s">
        <v>288</v>
      </c>
      <c r="L401" s="13">
        <f t="shared" si="26"/>
        <v>283035.62</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120000</v>
      </c>
      <c r="H402" s="38">
        <f>SUM(H396:H401)</f>
        <v>28800.87</v>
      </c>
      <c r="I402" s="38">
        <f>SUM(I396:I401)</f>
        <v>281594.68</v>
      </c>
      <c r="J402" s="42" t="s">
        <v>288</v>
      </c>
      <c r="K402" s="42" t="s">
        <v>288</v>
      </c>
      <c r="L402" s="38">
        <f>SUM(L396:L401)</f>
        <v>430395.55</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120000</v>
      </c>
      <c r="H409" s="38">
        <f>H394+H402+H408</f>
        <v>29847.329999999998</v>
      </c>
      <c r="I409" s="38">
        <f>I394+I402+I408</f>
        <v>281594.68</v>
      </c>
      <c r="J409" s="23" t="s">
        <v>288</v>
      </c>
      <c r="K409" s="23" t="s">
        <v>288</v>
      </c>
      <c r="L409" s="38">
        <f>L394+L402+L408</f>
        <v>431442.01</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v>172775</v>
      </c>
      <c r="J423" s="18"/>
      <c r="K423" s="18"/>
      <c r="L423" s="13">
        <f t="shared" si="29"/>
        <v>172775</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v>35000</v>
      </c>
      <c r="K426" s="18"/>
      <c r="L426" s="13">
        <f t="shared" si="29"/>
        <v>35000</v>
      </c>
      <c r="M426" s="8"/>
      <c r="N426" s="165"/>
    </row>
    <row r="427" spans="1:21" s="3" customFormat="1" ht="12.2" customHeight="1" thickBot="1" x14ac:dyDescent="0.2">
      <c r="A427" s="62" t="s">
        <v>510</v>
      </c>
      <c r="B427" s="6">
        <v>17</v>
      </c>
      <c r="C427" s="6">
        <v>13</v>
      </c>
      <c r="D427" s="2" t="s">
        <v>432</v>
      </c>
      <c r="E427" s="6"/>
      <c r="F427" s="18"/>
      <c r="G427" s="18"/>
      <c r="H427" s="18">
        <f>45000+7644.65</f>
        <v>52644.65</v>
      </c>
      <c r="I427" s="18">
        <f>213791.16</f>
        <v>213791.16</v>
      </c>
      <c r="J427" s="18">
        <v>6260</v>
      </c>
      <c r="K427" s="18">
        <v>2127.6799999999998</v>
      </c>
      <c r="L427" s="13">
        <f t="shared" si="29"/>
        <v>274823.49</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52644.65</v>
      </c>
      <c r="I428" s="38">
        <f t="shared" si="30"/>
        <v>386566.16000000003</v>
      </c>
      <c r="J428" s="38">
        <f t="shared" si="30"/>
        <v>41260</v>
      </c>
      <c r="K428" s="38">
        <f t="shared" si="30"/>
        <v>2127.6799999999998</v>
      </c>
      <c r="L428" s="38">
        <f t="shared" si="30"/>
        <v>482598.49</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52644.65</v>
      </c>
      <c r="I435" s="38">
        <f t="shared" si="32"/>
        <v>386566.16000000003</v>
      </c>
      <c r="J435" s="38">
        <f t="shared" si="32"/>
        <v>41260</v>
      </c>
      <c r="K435" s="38">
        <f t="shared" si="32"/>
        <v>2127.6799999999998</v>
      </c>
      <c r="L435" s="38">
        <f t="shared" si="32"/>
        <v>482598.49</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v>194473.34</v>
      </c>
      <c r="H440" s="18"/>
      <c r="I440" s="13">
        <f t="shared" ref="I440:I446" si="33">SUM(F440:H440)</f>
        <v>194473.34</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27725.65</v>
      </c>
      <c r="G441" s="18">
        <f>325964.5+336077.51+80822.72+991.9+37221.13</f>
        <v>781077.76</v>
      </c>
      <c r="H441" s="18"/>
      <c r="I441" s="13">
        <f t="shared" si="33"/>
        <v>808803.41</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27725.65</v>
      </c>
      <c r="G447" s="13">
        <f>SUM(G440:G446)</f>
        <v>975551.1</v>
      </c>
      <c r="H447" s="13">
        <f>SUM(H440:H446)</f>
        <v>0</v>
      </c>
      <c r="I447" s="13">
        <f>SUM(I440:I446)</f>
        <v>1003276.75</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v>36345</v>
      </c>
      <c r="H450" s="18"/>
      <c r="I450" s="13">
        <f>SUM(F450:H450)</f>
        <v>36345</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36345</v>
      </c>
      <c r="H453" s="57">
        <f>SUM(H449:H452)</f>
        <v>0</v>
      </c>
      <c r="I453" s="57">
        <f>SUM(I449:I452)</f>
        <v>36345</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27725.65</v>
      </c>
      <c r="G460" s="18">
        <f>975551.1-36345</f>
        <v>939206.1</v>
      </c>
      <c r="H460" s="18"/>
      <c r="I460" s="13">
        <f t="shared" si="34"/>
        <v>966931.75</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27725.65</v>
      </c>
      <c r="G461" s="65">
        <f>SUM(G455:G460)</f>
        <v>939206.1</v>
      </c>
      <c r="H461" s="65">
        <f>SUM(H455:H460)</f>
        <v>0</v>
      </c>
      <c r="I461" s="65">
        <f>SUM(I455:I460)</f>
        <v>966931.75</v>
      </c>
      <c r="J461" s="23" t="s">
        <v>288</v>
      </c>
      <c r="K461" s="23" t="s">
        <v>288</v>
      </c>
      <c r="L461" s="23" t="s">
        <v>288</v>
      </c>
      <c r="N461" s="131"/>
    </row>
    <row r="462" spans="1:86" ht="12.2" customHeight="1" thickTop="1" x14ac:dyDescent="0.2">
      <c r="A462" s="40" t="s">
        <v>424</v>
      </c>
      <c r="B462" s="41">
        <v>18</v>
      </c>
      <c r="C462" s="64">
        <v>21</v>
      </c>
      <c r="D462" s="114" t="s">
        <v>432</v>
      </c>
      <c r="E462" s="64"/>
      <c r="F462" s="39">
        <f>F453+F461</f>
        <v>27725.65</v>
      </c>
      <c r="G462" s="39">
        <f>G453+G461</f>
        <v>975551.1</v>
      </c>
      <c r="H462" s="39">
        <f>H453+H461</f>
        <v>0</v>
      </c>
      <c r="I462" s="39">
        <f>I453+I461</f>
        <v>1003276.75</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2226268.5299999998</v>
      </c>
      <c r="G466" s="18">
        <v>148467.98000000001</v>
      </c>
      <c r="H466" s="18">
        <v>0</v>
      </c>
      <c r="I466" s="18">
        <v>0</v>
      </c>
      <c r="J466" s="18">
        <v>1018088.23</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24933284</v>
      </c>
      <c r="G469" s="18">
        <v>713258.87</v>
      </c>
      <c r="H469" s="18">
        <v>3000556.18</v>
      </c>
      <c r="I469" s="18"/>
      <c r="J469" s="18">
        <v>431442.01</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24933284</v>
      </c>
      <c r="G471" s="19">
        <f>SUM(G469:G470)</f>
        <v>713258.87</v>
      </c>
      <c r="H471" s="19">
        <f>SUM(H469:H470)</f>
        <v>3000556.18</v>
      </c>
      <c r="I471" s="19">
        <f>SUM(I469:I470)</f>
        <v>0</v>
      </c>
      <c r="J471" s="19">
        <f>SUM(J469:J470)</f>
        <v>431442.01</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24518250.100000001</v>
      </c>
      <c r="G473" s="18">
        <v>678815.93</v>
      </c>
      <c r="H473" s="18">
        <v>3000556.18</v>
      </c>
      <c r="I473" s="18"/>
      <c r="J473" s="18">
        <v>482598.49</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24518250.100000001</v>
      </c>
      <c r="G475" s="19">
        <f>SUM(G473:G474)</f>
        <v>678815.93</v>
      </c>
      <c r="H475" s="19">
        <f>SUM(H473:H474)</f>
        <v>3000556.18</v>
      </c>
      <c r="I475" s="19">
        <f>SUM(I473:I474)</f>
        <v>0</v>
      </c>
      <c r="J475" s="19">
        <f>SUM(J473:J474)</f>
        <v>482598.49</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2641302.4299999997</v>
      </c>
      <c r="G477" s="19">
        <f>(G466+G471)- G475</f>
        <v>182910.91999999993</v>
      </c>
      <c r="H477" s="19">
        <f>(H466+H471)- H475</f>
        <v>0</v>
      </c>
      <c r="I477" s="19">
        <f>(I466+I471)- I475</f>
        <v>0</v>
      </c>
      <c r="J477" s="19">
        <f>(J466+J471)- J475</f>
        <v>966931.75</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653648.18999999994</v>
      </c>
      <c r="G522" s="18">
        <v>338055.37</v>
      </c>
      <c r="H522" s="18">
        <v>7870.99</v>
      </c>
      <c r="I522" s="18">
        <v>5542.52</v>
      </c>
      <c r="J522" s="18"/>
      <c r="K522" s="18"/>
      <c r="L522" s="69">
        <f>SUM(F522:K522)</f>
        <v>1005117.07</v>
      </c>
      <c r="N522" s="131"/>
    </row>
    <row r="523" spans="1:14" ht="12.2" customHeight="1" x14ac:dyDescent="0.2">
      <c r="A523" s="21" t="s">
        <v>634</v>
      </c>
      <c r="B523" s="22">
        <v>21</v>
      </c>
      <c r="C523" s="22">
        <v>2</v>
      </c>
      <c r="D523" s="2" t="s">
        <v>432</v>
      </c>
      <c r="E523" s="22"/>
      <c r="F523" s="18">
        <v>513423.34</v>
      </c>
      <c r="G523" s="18">
        <v>304160.49</v>
      </c>
      <c r="H523" s="18">
        <v>213567.41</v>
      </c>
      <c r="I523" s="18">
        <v>1618.73</v>
      </c>
      <c r="J523" s="18"/>
      <c r="K523" s="18"/>
      <c r="L523" s="69">
        <f>SUM(F523:K523)</f>
        <v>1032769.9700000001</v>
      </c>
      <c r="N523" s="131"/>
    </row>
    <row r="524" spans="1:14" ht="12.2" customHeight="1" thickBot="1" x14ac:dyDescent="0.25">
      <c r="A524" s="21" t="s">
        <v>635</v>
      </c>
      <c r="B524" s="22">
        <v>21</v>
      </c>
      <c r="C524" s="22">
        <v>3</v>
      </c>
      <c r="D524" s="2" t="s">
        <v>432</v>
      </c>
      <c r="E524" s="22"/>
      <c r="F524" s="18">
        <v>473454.68</v>
      </c>
      <c r="G524" s="18">
        <v>338100.65</v>
      </c>
      <c r="H524" s="18">
        <v>558903.28</v>
      </c>
      <c r="I524" s="18">
        <v>5526.41</v>
      </c>
      <c r="J524" s="18"/>
      <c r="K524" s="18"/>
      <c r="L524" s="69">
        <f>SUM(F524:K524)</f>
        <v>1375985.02</v>
      </c>
      <c r="N524" s="131"/>
    </row>
    <row r="525" spans="1:14" ht="12.2" customHeight="1" thickTop="1" x14ac:dyDescent="0.2">
      <c r="A525" s="97" t="s">
        <v>63</v>
      </c>
      <c r="B525" s="41">
        <v>21</v>
      </c>
      <c r="C525" s="41">
        <v>4</v>
      </c>
      <c r="D525" s="115" t="s">
        <v>432</v>
      </c>
      <c r="E525" s="41"/>
      <c r="F525" s="81">
        <f>SUM(F522:F524)</f>
        <v>1640526.21</v>
      </c>
      <c r="G525" s="81">
        <f t="shared" ref="G525:L525" si="36">SUM(G522:G524)</f>
        <v>980316.51</v>
      </c>
      <c r="H525" s="81">
        <f t="shared" si="36"/>
        <v>780341.68</v>
      </c>
      <c r="I525" s="81">
        <f t="shared" si="36"/>
        <v>12687.66</v>
      </c>
      <c r="J525" s="81">
        <f t="shared" si="36"/>
        <v>0</v>
      </c>
      <c r="K525" s="81">
        <f t="shared" si="36"/>
        <v>0</v>
      </c>
      <c r="L525" s="70">
        <f t="shared" si="36"/>
        <v>3413872.06</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283941.42</v>
      </c>
      <c r="G527" s="18">
        <v>156863.12</v>
      </c>
      <c r="H527" s="18">
        <v>22995</v>
      </c>
      <c r="I527" s="18">
        <v>1423.09</v>
      </c>
      <c r="J527" s="18"/>
      <c r="K527" s="18"/>
      <c r="L527" s="69">
        <f>SUM(F527:K527)</f>
        <v>465222.63</v>
      </c>
      <c r="M527" s="8"/>
      <c r="N527" s="165"/>
    </row>
    <row r="528" spans="1:14" s="3" customFormat="1" ht="12.2" customHeight="1" x14ac:dyDescent="0.15">
      <c r="A528" s="21" t="s">
        <v>634</v>
      </c>
      <c r="B528" s="22">
        <v>21</v>
      </c>
      <c r="C528" s="22">
        <v>6</v>
      </c>
      <c r="D528" s="2" t="s">
        <v>432</v>
      </c>
      <c r="E528" s="22"/>
      <c r="F528" s="18">
        <v>67699.899999999994</v>
      </c>
      <c r="G528" s="18">
        <v>47065.66</v>
      </c>
      <c r="H528" s="18">
        <v>16444.5</v>
      </c>
      <c r="I528" s="18">
        <v>1074.48</v>
      </c>
      <c r="J528" s="18"/>
      <c r="K528" s="18"/>
      <c r="L528" s="69">
        <f>SUM(F528:K528)</f>
        <v>132284.54</v>
      </c>
      <c r="M528" s="8"/>
      <c r="N528" s="165"/>
    </row>
    <row r="529" spans="1:14" s="3" customFormat="1" ht="12.2" customHeight="1" thickBot="1" x14ac:dyDescent="0.2">
      <c r="A529" s="21" t="s">
        <v>635</v>
      </c>
      <c r="B529" s="22">
        <v>21</v>
      </c>
      <c r="C529" s="22">
        <v>7</v>
      </c>
      <c r="D529" s="2" t="s">
        <v>432</v>
      </c>
      <c r="E529" s="22"/>
      <c r="F529" s="18">
        <v>50240.23</v>
      </c>
      <c r="G529" s="18">
        <v>27561.94</v>
      </c>
      <c r="H529" s="18">
        <v>13009</v>
      </c>
      <c r="I529" s="18">
        <v>952.84</v>
      </c>
      <c r="J529" s="18"/>
      <c r="K529" s="18"/>
      <c r="L529" s="69">
        <f>SUM(F529:K529)</f>
        <v>91764.01</v>
      </c>
      <c r="M529" s="8"/>
      <c r="N529" s="165"/>
    </row>
    <row r="530" spans="1:14" s="3" customFormat="1" ht="12.2" customHeight="1" thickTop="1" x14ac:dyDescent="0.15">
      <c r="A530" s="97" t="s">
        <v>65</v>
      </c>
      <c r="B530" s="41">
        <v>21</v>
      </c>
      <c r="C530" s="41">
        <v>8</v>
      </c>
      <c r="D530" s="115" t="s">
        <v>432</v>
      </c>
      <c r="E530" s="41"/>
      <c r="F530" s="70">
        <f>SUM(F527:F529)</f>
        <v>401881.54999999993</v>
      </c>
      <c r="G530" s="70">
        <f t="shared" ref="G530:L530" si="37">SUM(G527:G529)</f>
        <v>231490.72</v>
      </c>
      <c r="H530" s="70">
        <f t="shared" si="37"/>
        <v>52448.5</v>
      </c>
      <c r="I530" s="70">
        <f t="shared" si="37"/>
        <v>3450.41</v>
      </c>
      <c r="J530" s="70">
        <f t="shared" si="37"/>
        <v>0</v>
      </c>
      <c r="K530" s="70">
        <f t="shared" si="37"/>
        <v>0</v>
      </c>
      <c r="L530" s="70">
        <f t="shared" si="37"/>
        <v>689271.18</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53394.75</v>
      </c>
      <c r="G532" s="18">
        <v>23264.32</v>
      </c>
      <c r="H532" s="18">
        <v>347878.24</v>
      </c>
      <c r="I532" s="18">
        <v>1273.92</v>
      </c>
      <c r="J532" s="18"/>
      <c r="K532" s="18">
        <v>219.44</v>
      </c>
      <c r="L532" s="69">
        <f>SUM(F532:K532)</f>
        <v>426030.67</v>
      </c>
      <c r="M532" s="8"/>
      <c r="N532" s="165"/>
    </row>
    <row r="533" spans="1:14" s="3" customFormat="1" ht="12.2" customHeight="1" x14ac:dyDescent="0.15">
      <c r="A533" s="21" t="s">
        <v>634</v>
      </c>
      <c r="B533" s="22">
        <v>21</v>
      </c>
      <c r="C533" s="22">
        <v>10</v>
      </c>
      <c r="D533" s="2" t="s">
        <v>432</v>
      </c>
      <c r="E533" s="22"/>
      <c r="F533" s="18">
        <v>39877.269999999997</v>
      </c>
      <c r="G533" s="18">
        <v>17374.689999999999</v>
      </c>
      <c r="H533" s="18">
        <v>422316.47</v>
      </c>
      <c r="I533" s="18">
        <v>951.42</v>
      </c>
      <c r="J533" s="18"/>
      <c r="K533" s="18">
        <v>163.89</v>
      </c>
      <c r="L533" s="69">
        <f>SUM(F533:K533)</f>
        <v>480683.73999999993</v>
      </c>
      <c r="M533" s="8"/>
      <c r="N533" s="165"/>
    </row>
    <row r="534" spans="1:14" s="3" customFormat="1" ht="12.2" customHeight="1" thickBot="1" x14ac:dyDescent="0.2">
      <c r="A534" s="21" t="s">
        <v>635</v>
      </c>
      <c r="B534" s="22">
        <v>21</v>
      </c>
      <c r="C534" s="22">
        <v>11</v>
      </c>
      <c r="D534" s="2" t="s">
        <v>432</v>
      </c>
      <c r="E534" s="22"/>
      <c r="F534" s="18">
        <v>41767.82</v>
      </c>
      <c r="G534" s="18">
        <v>18198.41</v>
      </c>
      <c r="H534" s="18">
        <v>80645.929999999993</v>
      </c>
      <c r="I534" s="18">
        <v>996.53</v>
      </c>
      <c r="J534" s="18"/>
      <c r="K534" s="18">
        <v>171.67</v>
      </c>
      <c r="L534" s="69">
        <f>SUM(F534:K534)</f>
        <v>141780.35999999999</v>
      </c>
      <c r="M534" s="8"/>
      <c r="N534" s="165"/>
    </row>
    <row r="535" spans="1:14" s="3" customFormat="1" ht="12.2" customHeight="1" thickTop="1" x14ac:dyDescent="0.15">
      <c r="A535" s="97" t="s">
        <v>67</v>
      </c>
      <c r="B535" s="41">
        <v>21</v>
      </c>
      <c r="C535" s="41">
        <v>12</v>
      </c>
      <c r="D535" s="115" t="s">
        <v>432</v>
      </c>
      <c r="E535" s="41"/>
      <c r="F535" s="70">
        <f>SUM(F532:F534)</f>
        <v>135039.84</v>
      </c>
      <c r="G535" s="70">
        <f t="shared" ref="G535:L535" si="38">SUM(G532:G534)</f>
        <v>58837.42</v>
      </c>
      <c r="H535" s="70">
        <f t="shared" si="38"/>
        <v>850840.6399999999</v>
      </c>
      <c r="I535" s="70">
        <f t="shared" si="38"/>
        <v>3221.87</v>
      </c>
      <c r="J535" s="70">
        <f t="shared" si="38"/>
        <v>0</v>
      </c>
      <c r="K535" s="70">
        <f t="shared" si="38"/>
        <v>555</v>
      </c>
      <c r="L535" s="70">
        <f t="shared" si="38"/>
        <v>1048494.7699999999</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2199.84</v>
      </c>
      <c r="I537" s="18"/>
      <c r="J537" s="18"/>
      <c r="K537" s="18"/>
      <c r="L537" s="69">
        <f>SUM(F537:K537)</f>
        <v>2199.84</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2199.84</v>
      </c>
      <c r="I540" s="70">
        <f t="shared" si="39"/>
        <v>0</v>
      </c>
      <c r="J540" s="70">
        <f t="shared" si="39"/>
        <v>0</v>
      </c>
      <c r="K540" s="70">
        <f t="shared" si="39"/>
        <v>0</v>
      </c>
      <c r="L540" s="70">
        <f t="shared" si="39"/>
        <v>2199.84</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51637.45</v>
      </c>
      <c r="I542" s="18">
        <v>1187.1600000000001</v>
      </c>
      <c r="J542" s="18"/>
      <c r="K542" s="18"/>
      <c r="L542" s="69">
        <f>SUM(F542:K542)</f>
        <v>52824.61</v>
      </c>
      <c r="M542" s="8"/>
      <c r="N542" s="165"/>
    </row>
    <row r="543" spans="1:14" s="3" customFormat="1" ht="12.2" customHeight="1" x14ac:dyDescent="0.15">
      <c r="A543" s="21" t="s">
        <v>634</v>
      </c>
      <c r="B543" s="22">
        <v>21</v>
      </c>
      <c r="C543" s="22">
        <v>18</v>
      </c>
      <c r="D543" s="2" t="s">
        <v>432</v>
      </c>
      <c r="E543" s="22"/>
      <c r="F543" s="18"/>
      <c r="G543" s="18"/>
      <c r="H543" s="18">
        <v>59748.69</v>
      </c>
      <c r="I543" s="18">
        <v>886.61</v>
      </c>
      <c r="J543" s="18"/>
      <c r="K543" s="18"/>
      <c r="L543" s="69">
        <f>SUM(F543:K543)</f>
        <v>60635.3</v>
      </c>
      <c r="M543" s="8"/>
      <c r="N543" s="165"/>
    </row>
    <row r="544" spans="1:14" s="3" customFormat="1" ht="12.2" customHeight="1" thickBot="1" x14ac:dyDescent="0.2">
      <c r="A544" s="21" t="s">
        <v>635</v>
      </c>
      <c r="B544" s="22">
        <v>21</v>
      </c>
      <c r="C544" s="22">
        <v>19</v>
      </c>
      <c r="D544" s="2" t="s">
        <v>432</v>
      </c>
      <c r="E544" s="22"/>
      <c r="F544" s="18"/>
      <c r="G544" s="18"/>
      <c r="H544" s="18">
        <v>88475.56</v>
      </c>
      <c r="I544" s="18">
        <v>928.65</v>
      </c>
      <c r="J544" s="18"/>
      <c r="K544" s="18"/>
      <c r="L544" s="69">
        <f>SUM(F544:K544)</f>
        <v>89404.209999999992</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199861.7</v>
      </c>
      <c r="I545" s="141">
        <f t="shared" si="40"/>
        <v>3002.42</v>
      </c>
      <c r="J545" s="141">
        <f t="shared" si="40"/>
        <v>0</v>
      </c>
      <c r="K545" s="141">
        <f t="shared" si="40"/>
        <v>0</v>
      </c>
      <c r="L545" s="141">
        <f t="shared" si="40"/>
        <v>202864.12</v>
      </c>
      <c r="M545" s="8"/>
      <c r="N545" s="165"/>
    </row>
    <row r="546" spans="1:14" s="3" customFormat="1" ht="12.2" customHeight="1" thickTop="1" x14ac:dyDescent="0.15">
      <c r="A546" s="75" t="s">
        <v>72</v>
      </c>
      <c r="B546" s="41">
        <v>21</v>
      </c>
      <c r="C546" s="41">
        <v>21</v>
      </c>
      <c r="D546" s="115" t="s">
        <v>432</v>
      </c>
      <c r="E546" s="41"/>
      <c r="F546" s="70">
        <f>F525+F530+F535+F540+F545</f>
        <v>2177447.5999999996</v>
      </c>
      <c r="G546" s="70">
        <f t="shared" ref="G546:L546" si="41">G525+G530+G535+G540+G545</f>
        <v>1270644.6499999999</v>
      </c>
      <c r="H546" s="70">
        <f t="shared" si="41"/>
        <v>1885692.3599999999</v>
      </c>
      <c r="I546" s="70">
        <f t="shared" si="41"/>
        <v>22362.36</v>
      </c>
      <c r="J546" s="70">
        <f t="shared" si="41"/>
        <v>0</v>
      </c>
      <c r="K546" s="70">
        <f t="shared" si="41"/>
        <v>555</v>
      </c>
      <c r="L546" s="70">
        <f t="shared" si="41"/>
        <v>5356701.97</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1005117.07</v>
      </c>
      <c r="G550" s="69">
        <f>L527</f>
        <v>465222.63</v>
      </c>
      <c r="H550" s="69">
        <f>L532</f>
        <v>426030.67</v>
      </c>
      <c r="I550" s="69">
        <f>L537</f>
        <v>2199.84</v>
      </c>
      <c r="J550" s="69">
        <f>L542</f>
        <v>52824.61</v>
      </c>
      <c r="K550" s="69">
        <f>SUM(F550:J550)</f>
        <v>1951394.82</v>
      </c>
      <c r="L550" s="23" t="s">
        <v>288</v>
      </c>
      <c r="M550" s="8"/>
      <c r="N550" s="165"/>
    </row>
    <row r="551" spans="1:14" s="3" customFormat="1" ht="12.2" customHeight="1" x14ac:dyDescent="0.15">
      <c r="A551" s="21" t="s">
        <v>634</v>
      </c>
      <c r="B551" s="22">
        <v>21</v>
      </c>
      <c r="C551" s="22">
        <v>23</v>
      </c>
      <c r="D551" s="2" t="s">
        <v>432</v>
      </c>
      <c r="E551" s="22"/>
      <c r="F551" s="69">
        <f>L523</f>
        <v>1032769.9700000001</v>
      </c>
      <c r="G551" s="69">
        <f>L528</f>
        <v>132284.54</v>
      </c>
      <c r="H551" s="69">
        <f>L533</f>
        <v>480683.73999999993</v>
      </c>
      <c r="I551" s="69">
        <f>L538</f>
        <v>0</v>
      </c>
      <c r="J551" s="69">
        <f>L543</f>
        <v>60635.3</v>
      </c>
      <c r="K551" s="69">
        <f>SUM(F551:J551)</f>
        <v>1706373.55</v>
      </c>
      <c r="L551" s="23" t="s">
        <v>288</v>
      </c>
      <c r="M551" s="8"/>
      <c r="N551" s="165"/>
    </row>
    <row r="552" spans="1:14" s="3" customFormat="1" ht="12.2" customHeight="1" thickBot="1" x14ac:dyDescent="0.2">
      <c r="A552" s="21" t="s">
        <v>635</v>
      </c>
      <c r="B552" s="22">
        <v>21</v>
      </c>
      <c r="C552" s="22">
        <v>24</v>
      </c>
      <c r="D552" s="2" t="s">
        <v>432</v>
      </c>
      <c r="E552" s="22"/>
      <c r="F552" s="69">
        <f>L524</f>
        <v>1375985.02</v>
      </c>
      <c r="G552" s="69">
        <f>L529</f>
        <v>91764.01</v>
      </c>
      <c r="H552" s="69">
        <f>L534</f>
        <v>141780.35999999999</v>
      </c>
      <c r="I552" s="69">
        <f>L539</f>
        <v>0</v>
      </c>
      <c r="J552" s="69">
        <f>L544</f>
        <v>89404.209999999992</v>
      </c>
      <c r="K552" s="69">
        <f>SUM(F552:J552)</f>
        <v>1698933.6</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3413872.06</v>
      </c>
      <c r="G553" s="70">
        <f t="shared" si="42"/>
        <v>689271.18</v>
      </c>
      <c r="H553" s="70">
        <f t="shared" si="42"/>
        <v>1048494.7699999999</v>
      </c>
      <c r="I553" s="70">
        <f t="shared" si="42"/>
        <v>2199.84</v>
      </c>
      <c r="J553" s="70">
        <f t="shared" si="42"/>
        <v>202864.12</v>
      </c>
      <c r="K553" s="70">
        <f t="shared" si="42"/>
        <v>5356701.9700000007</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16669.939999999999</v>
      </c>
      <c r="G563" s="18">
        <v>2118.27</v>
      </c>
      <c r="H563" s="18"/>
      <c r="I563" s="18">
        <v>71.959999999999994</v>
      </c>
      <c r="J563" s="18"/>
      <c r="K563" s="18"/>
      <c r="L563" s="69">
        <f>SUM(F563:K563)</f>
        <v>18860.169999999998</v>
      </c>
      <c r="M563" s="8"/>
      <c r="N563" s="165"/>
    </row>
    <row r="564" spans="1:14" s="3" customFormat="1" ht="12.2" customHeight="1" x14ac:dyDescent="0.15">
      <c r="A564" s="21" t="s">
        <v>634</v>
      </c>
      <c r="B564" s="22">
        <v>22</v>
      </c>
      <c r="C564" s="22">
        <v>6</v>
      </c>
      <c r="D564" s="2" t="s">
        <v>432</v>
      </c>
      <c r="E564" s="22"/>
      <c r="F564" s="18">
        <v>8334.9699999999993</v>
      </c>
      <c r="G564" s="18">
        <v>1059.3599999999999</v>
      </c>
      <c r="H564" s="18"/>
      <c r="I564" s="18">
        <v>35.99</v>
      </c>
      <c r="J564" s="18"/>
      <c r="K564" s="18"/>
      <c r="L564" s="69">
        <f>SUM(F564:K564)</f>
        <v>9430.32</v>
      </c>
      <c r="M564" s="8"/>
      <c r="N564" s="165"/>
    </row>
    <row r="565" spans="1:14" s="3" customFormat="1" ht="12.2" customHeight="1" thickBot="1" x14ac:dyDescent="0.2">
      <c r="A565" s="21" t="s">
        <v>635</v>
      </c>
      <c r="B565" s="22">
        <v>22</v>
      </c>
      <c r="C565" s="22">
        <v>7</v>
      </c>
      <c r="D565" s="2" t="s">
        <v>432</v>
      </c>
      <c r="E565" s="22"/>
      <c r="F565" s="18">
        <v>11113.29</v>
      </c>
      <c r="G565" s="18">
        <v>1412.33</v>
      </c>
      <c r="H565" s="18"/>
      <c r="I565" s="18">
        <v>47.98</v>
      </c>
      <c r="J565" s="18"/>
      <c r="K565" s="18"/>
      <c r="L565" s="69">
        <f>SUM(F565:K565)</f>
        <v>12573.6</v>
      </c>
      <c r="M565" s="8"/>
      <c r="N565" s="165"/>
    </row>
    <row r="566" spans="1:14" s="3" customFormat="1" ht="12.2" customHeight="1" thickTop="1" x14ac:dyDescent="0.15">
      <c r="A566" s="97" t="s">
        <v>65</v>
      </c>
      <c r="B566" s="41">
        <v>22</v>
      </c>
      <c r="C566" s="41">
        <v>8</v>
      </c>
      <c r="D566" s="115" t="s">
        <v>432</v>
      </c>
      <c r="E566" s="41"/>
      <c r="F566" s="70">
        <f t="shared" ref="F566:L566" si="44">SUM(F563:F565)</f>
        <v>36118.199999999997</v>
      </c>
      <c r="G566" s="70">
        <f t="shared" si="44"/>
        <v>4589.96</v>
      </c>
      <c r="H566" s="70">
        <f t="shared" si="44"/>
        <v>0</v>
      </c>
      <c r="I566" s="70">
        <f t="shared" si="44"/>
        <v>155.92999999999998</v>
      </c>
      <c r="J566" s="70">
        <f t="shared" si="44"/>
        <v>0</v>
      </c>
      <c r="K566" s="70">
        <f t="shared" si="44"/>
        <v>0</v>
      </c>
      <c r="L566" s="70">
        <f t="shared" si="44"/>
        <v>40864.089999999997</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36118.199999999997</v>
      </c>
      <c r="G572" s="70">
        <f t="shared" ref="G572:L572" si="46">G561+G566+G571</f>
        <v>4589.96</v>
      </c>
      <c r="H572" s="70">
        <f t="shared" si="46"/>
        <v>0</v>
      </c>
      <c r="I572" s="70">
        <f t="shared" si="46"/>
        <v>155.92999999999998</v>
      </c>
      <c r="J572" s="70">
        <f t="shared" si="46"/>
        <v>0</v>
      </c>
      <c r="K572" s="70">
        <f t="shared" si="46"/>
        <v>0</v>
      </c>
      <c r="L572" s="70">
        <f t="shared" si="46"/>
        <v>40864.089999999997</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v>6570.07</v>
      </c>
      <c r="I580" s="69">
        <f t="shared" si="47"/>
        <v>6570.07</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v>72956.88</v>
      </c>
      <c r="H581" s="18">
        <f>18931.94+68478</f>
        <v>87409.94</v>
      </c>
      <c r="I581" s="69">
        <f t="shared" si="47"/>
        <v>160366.82</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4260</v>
      </c>
      <c r="G583" s="18">
        <v>140056.66</v>
      </c>
      <c r="H583" s="18">
        <f>485165.24-18931.94</f>
        <v>466233.3</v>
      </c>
      <c r="I583" s="69">
        <f t="shared" si="47"/>
        <v>610549.96</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144111.51999999999</v>
      </c>
      <c r="I585" s="69">
        <f t="shared" si="47"/>
        <v>144111.51999999999</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320583.13</v>
      </c>
      <c r="I592" s="18">
        <v>236831.84</v>
      </c>
      <c r="J592" s="18">
        <v>246996.45</v>
      </c>
      <c r="K592" s="80">
        <f t="shared" ref="K592:K598" si="48">SUM(H592:J592)</f>
        <v>804411.41999999993</v>
      </c>
      <c r="L592" s="23" t="s">
        <v>288</v>
      </c>
      <c r="M592" s="8"/>
      <c r="N592" s="165"/>
    </row>
    <row r="593" spans="1:14" s="3" customFormat="1" ht="12.2" customHeight="1" x14ac:dyDescent="0.15">
      <c r="A593" s="3" t="s">
        <v>638</v>
      </c>
      <c r="B593" s="22">
        <v>23</v>
      </c>
      <c r="C593" s="22">
        <v>2</v>
      </c>
      <c r="D593" s="2" t="s">
        <v>432</v>
      </c>
      <c r="E593" s="22"/>
      <c r="F593" s="78">
        <v>2722</v>
      </c>
      <c r="G593" s="79" t="s">
        <v>97</v>
      </c>
      <c r="H593" s="18">
        <v>52824.61</v>
      </c>
      <c r="I593" s="18">
        <v>60635.3</v>
      </c>
      <c r="J593" s="18">
        <v>89404.21</v>
      </c>
      <c r="K593" s="80">
        <f t="shared" si="48"/>
        <v>202864.12</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70814.73</v>
      </c>
      <c r="K594" s="80">
        <f t="shared" si="48"/>
        <v>70814.73</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13519.92</v>
      </c>
      <c r="J595" s="18">
        <v>37796.239999999998</v>
      </c>
      <c r="K595" s="80">
        <f t="shared" si="48"/>
        <v>51316.159999999996</v>
      </c>
      <c r="L595" s="23" t="s">
        <v>288</v>
      </c>
      <c r="M595" s="8"/>
      <c r="N595" s="165"/>
    </row>
    <row r="596" spans="1:14" s="3" customFormat="1" ht="12.2" customHeight="1" x14ac:dyDescent="0.15">
      <c r="A596" s="103" t="s">
        <v>652</v>
      </c>
      <c r="B596" s="22">
        <v>23</v>
      </c>
      <c r="C596" s="22">
        <v>5</v>
      </c>
      <c r="D596" s="2" t="s">
        <v>432</v>
      </c>
      <c r="E596" s="22"/>
      <c r="F596" s="78">
        <v>2725</v>
      </c>
      <c r="G596" s="79" t="s">
        <v>97</v>
      </c>
      <c r="H596" s="18">
        <v>6312.7</v>
      </c>
      <c r="I596" s="18">
        <f>3592.86+523.86</f>
        <v>4116.72</v>
      </c>
      <c r="J596" s="18">
        <f>7141.48+1116.41</f>
        <v>8257.89</v>
      </c>
      <c r="K596" s="80">
        <f t="shared" si="48"/>
        <v>18687.309999999998</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v>8392.66</v>
      </c>
      <c r="J598" s="18">
        <v>5595.12</v>
      </c>
      <c r="K598" s="80">
        <f t="shared" si="48"/>
        <v>13987.779999999999</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379720.44</v>
      </c>
      <c r="I599" s="81">
        <f>SUM(I592:I598)</f>
        <v>323496.43999999994</v>
      </c>
      <c r="J599" s="81">
        <f>SUM(J592:J598)</f>
        <v>458864.64000000001</v>
      </c>
      <c r="K599" s="81">
        <f>SUM(K592:K598)</f>
        <v>1162081.52</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51720.4</v>
      </c>
      <c r="I605" s="18">
        <v>45302.8</v>
      </c>
      <c r="J605" s="18">
        <v>83692.06</v>
      </c>
      <c r="K605" s="80">
        <f>SUM(H605:J605)</f>
        <v>180715.26</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51720.4</v>
      </c>
      <c r="I606" s="81">
        <f>SUM(I603:I605)</f>
        <v>45302.8</v>
      </c>
      <c r="J606" s="81">
        <f>SUM(J603:J605)</f>
        <v>83692.06</v>
      </c>
      <c r="K606" s="81">
        <f>SUM(K603:K605)</f>
        <v>180715.26</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12475</v>
      </c>
      <c r="G612" s="18">
        <v>3615.61</v>
      </c>
      <c r="H612" s="18"/>
      <c r="I612" s="18"/>
      <c r="J612" s="18"/>
      <c r="K612" s="18"/>
      <c r="L612" s="69">
        <f>SUM(F612:K612)</f>
        <v>16090.61</v>
      </c>
      <c r="M612" s="8"/>
      <c r="N612" s="165"/>
    </row>
    <row r="613" spans="1:14" s="3" customFormat="1" ht="12.2" customHeight="1" x14ac:dyDescent="0.15">
      <c r="A613" s="21" t="s">
        <v>634</v>
      </c>
      <c r="B613" s="22">
        <v>23</v>
      </c>
      <c r="C613" s="22">
        <v>14</v>
      </c>
      <c r="D613" s="2" t="s">
        <v>432</v>
      </c>
      <c r="E613" s="22"/>
      <c r="F613" s="18">
        <v>7245</v>
      </c>
      <c r="G613" s="18">
        <v>1703.31</v>
      </c>
      <c r="H613" s="18">
        <v>258</v>
      </c>
      <c r="I613" s="18">
        <v>325.52999999999997</v>
      </c>
      <c r="J613" s="18"/>
      <c r="K613" s="18"/>
      <c r="L613" s="69">
        <f>SUM(F613:K613)</f>
        <v>9531.84</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19720</v>
      </c>
      <c r="G615" s="81">
        <f t="shared" si="49"/>
        <v>5318.92</v>
      </c>
      <c r="H615" s="81">
        <f t="shared" si="49"/>
        <v>258</v>
      </c>
      <c r="I615" s="81">
        <f t="shared" si="49"/>
        <v>325.52999999999997</v>
      </c>
      <c r="J615" s="81">
        <f t="shared" si="49"/>
        <v>0</v>
      </c>
      <c r="K615" s="81">
        <f t="shared" si="49"/>
        <v>0</v>
      </c>
      <c r="L615" s="70">
        <f t="shared" si="49"/>
        <v>25622.45</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3541441.74</v>
      </c>
      <c r="H618" s="80">
        <f>SUM(F52)</f>
        <v>3541441.7399999998</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204208.65000000002</v>
      </c>
      <c r="H619" s="80">
        <f>SUM(G52)</f>
        <v>204208.65000000002</v>
      </c>
      <c r="I619" s="87" t="s">
        <v>875</v>
      </c>
      <c r="J619" s="80">
        <f>G619-H619</f>
        <v>0</v>
      </c>
      <c r="K619" s="80"/>
      <c r="L619" s="80"/>
      <c r="M619" s="8"/>
    </row>
    <row r="620" spans="1:14" s="3" customFormat="1" ht="12.2" customHeight="1" x14ac:dyDescent="0.15">
      <c r="A620" s="74"/>
      <c r="B620" s="22"/>
      <c r="C620" s="22"/>
      <c r="D620" s="22"/>
      <c r="E620" s="22"/>
      <c r="F620" s="87" t="s">
        <v>685</v>
      </c>
      <c r="G620" s="80">
        <f>SUM(H19)</f>
        <v>384771.45</v>
      </c>
      <c r="H620" s="80">
        <f>SUM(H52)</f>
        <v>384771.44999999995</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1003276.75</v>
      </c>
      <c r="H622" s="80">
        <f>SUM(J52)</f>
        <v>1003276.75</v>
      </c>
      <c r="I622" s="87" t="s">
        <v>878</v>
      </c>
      <c r="J622" s="80">
        <f>G622-H622</f>
        <v>0</v>
      </c>
      <c r="K622" s="80"/>
      <c r="L622" s="80"/>
      <c r="M622" s="8"/>
    </row>
    <row r="623" spans="1:14" s="3" customFormat="1" ht="12.2" customHeight="1" x14ac:dyDescent="0.15">
      <c r="A623" s="74"/>
      <c r="B623" s="22"/>
      <c r="C623" s="22"/>
      <c r="D623" s="22"/>
      <c r="E623" s="22"/>
      <c r="F623" s="87" t="s">
        <v>864</v>
      </c>
      <c r="G623" s="80">
        <f>F51</f>
        <v>2641302.4299999997</v>
      </c>
      <c r="H623" s="80">
        <f>F477</f>
        <v>2641302.4299999997</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182910.92</v>
      </c>
      <c r="H624" s="80">
        <f>G477</f>
        <v>182910.91999999993</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966931.75</v>
      </c>
      <c r="H627" s="80">
        <f>J477</f>
        <v>966931.75</v>
      </c>
      <c r="I627" s="87" t="s">
        <v>105</v>
      </c>
      <c r="J627" s="80">
        <f t="shared" si="50"/>
        <v>0</v>
      </c>
      <c r="K627" s="67"/>
      <c r="L627" s="69"/>
      <c r="M627" s="8"/>
    </row>
    <row r="628" spans="1:13" s="3" customFormat="1" ht="12.2" customHeight="1" x14ac:dyDescent="0.15">
      <c r="A628" s="21"/>
      <c r="B628" s="22"/>
      <c r="C628" s="22"/>
      <c r="D628" s="22"/>
      <c r="E628" s="22"/>
      <c r="F628" s="86" t="s">
        <v>658</v>
      </c>
      <c r="G628" s="80">
        <f>F194</f>
        <v>24933284</v>
      </c>
      <c r="H628" s="80">
        <f>SUM(F469)</f>
        <v>24933284</v>
      </c>
      <c r="I628" s="87" t="s">
        <v>106</v>
      </c>
      <c r="J628" s="80">
        <f>G628-H628</f>
        <v>0</v>
      </c>
      <c r="K628" s="67"/>
      <c r="L628" s="69"/>
      <c r="M628" s="8"/>
    </row>
    <row r="629" spans="1:13" s="3" customFormat="1" ht="12.2" customHeight="1" x14ac:dyDescent="0.15">
      <c r="A629" s="21"/>
      <c r="B629" s="22"/>
      <c r="C629" s="22"/>
      <c r="D629" s="22"/>
      <c r="E629" s="22"/>
      <c r="F629" s="86" t="s">
        <v>659</v>
      </c>
      <c r="G629" s="80">
        <f>G194</f>
        <v>713258.87</v>
      </c>
      <c r="H629" s="80">
        <f>SUM(G469)</f>
        <v>713258.87</v>
      </c>
      <c r="I629" s="87" t="s">
        <v>107</v>
      </c>
      <c r="J629" s="80">
        <f>G629-H629</f>
        <v>0</v>
      </c>
      <c r="K629" s="67"/>
      <c r="L629" s="69"/>
      <c r="M629" s="8"/>
    </row>
    <row r="630" spans="1:13" s="3" customFormat="1" ht="12.2" customHeight="1" x14ac:dyDescent="0.15">
      <c r="A630" s="21"/>
      <c r="B630" s="22"/>
      <c r="C630" s="22"/>
      <c r="D630" s="22"/>
      <c r="E630" s="22"/>
      <c r="F630" s="86" t="s">
        <v>660</v>
      </c>
      <c r="G630" s="80">
        <f>H194</f>
        <v>3000556.1799999997</v>
      </c>
      <c r="H630" s="80">
        <f>SUM(H469)</f>
        <v>3000556.18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431442.01</v>
      </c>
      <c r="H632" s="80">
        <f>SUM(J469)</f>
        <v>431442.01</v>
      </c>
      <c r="I632" s="87" t="s">
        <v>110</v>
      </c>
      <c r="J632" s="80">
        <f>G632-H632</f>
        <v>0</v>
      </c>
      <c r="K632" s="67"/>
      <c r="L632" s="69"/>
      <c r="M632" s="8"/>
    </row>
    <row r="633" spans="1:13" s="3" customFormat="1" ht="12.2" customHeight="1" x14ac:dyDescent="0.15">
      <c r="A633" s="21"/>
      <c r="B633" s="22"/>
      <c r="C633" s="22"/>
      <c r="D633" s="22"/>
      <c r="E633" s="22"/>
      <c r="F633" s="86" t="s">
        <v>394</v>
      </c>
      <c r="G633" s="80">
        <f>SUM(L272)</f>
        <v>24518250.100000001</v>
      </c>
      <c r="H633" s="80">
        <f>SUM(F473)</f>
        <v>24518250.100000001</v>
      </c>
      <c r="I633" s="87" t="s">
        <v>111</v>
      </c>
      <c r="J633" s="80">
        <f t="shared" si="50"/>
        <v>0</v>
      </c>
      <c r="K633" s="67"/>
      <c r="L633" s="69"/>
      <c r="M633" s="8"/>
    </row>
    <row r="634" spans="1:13" s="3" customFormat="1" ht="12.2" customHeight="1" x14ac:dyDescent="0.15">
      <c r="A634" s="21"/>
      <c r="B634" s="22"/>
      <c r="C634" s="22"/>
      <c r="D634" s="22"/>
      <c r="E634" s="22"/>
      <c r="F634" s="86" t="s">
        <v>395</v>
      </c>
      <c r="G634" s="80">
        <f>SUM(L353)</f>
        <v>3000556.1799999997</v>
      </c>
      <c r="H634" s="80">
        <f>SUM(H473)</f>
        <v>3000556.18</v>
      </c>
      <c r="I634" s="87" t="s">
        <v>112</v>
      </c>
      <c r="J634" s="80">
        <f>G634-H634</f>
        <v>0</v>
      </c>
      <c r="K634" s="67"/>
      <c r="L634" s="69"/>
      <c r="M634" s="8"/>
    </row>
    <row r="635" spans="1:13" s="124" customFormat="1" ht="12.2" customHeight="1" x14ac:dyDescent="0.15">
      <c r="A635" s="21"/>
      <c r="B635" s="22"/>
      <c r="C635" s="22"/>
      <c r="D635" s="22"/>
      <c r="E635" s="22"/>
      <c r="F635" s="99" t="s">
        <v>247</v>
      </c>
      <c r="G635" s="80">
        <f>I363</f>
        <v>259727.13</v>
      </c>
      <c r="H635" s="80">
        <f>I370</f>
        <v>259727.13</v>
      </c>
      <c r="I635" s="100" t="s">
        <v>248</v>
      </c>
      <c r="J635" s="80">
        <f>G635-H635</f>
        <v>0</v>
      </c>
      <c r="K635" s="67"/>
      <c r="L635" s="69"/>
      <c r="M635" s="123"/>
    </row>
    <row r="636" spans="1:13" s="124" customFormat="1" ht="12.2" customHeight="1" x14ac:dyDescent="0.15">
      <c r="A636" s="21"/>
      <c r="B636" s="22"/>
      <c r="C636" s="22"/>
      <c r="D636" s="22"/>
      <c r="E636" s="22"/>
      <c r="F636" s="86" t="s">
        <v>113</v>
      </c>
      <c r="G636" s="80">
        <f>SUM(L363)</f>
        <v>678815.93</v>
      </c>
      <c r="H636" s="80">
        <f>SUM(G473)</f>
        <v>678815.93</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431442.01</v>
      </c>
      <c r="H638" s="108">
        <f>SUM(J469)</f>
        <v>431442.01</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482598.49</v>
      </c>
      <c r="H639" s="108">
        <f>SUM(J473)</f>
        <v>482598.49</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27725.65</v>
      </c>
      <c r="H640" s="80">
        <f>SUM(F462)</f>
        <v>27725.65</v>
      </c>
      <c r="I640" s="87" t="s">
        <v>840</v>
      </c>
      <c r="J640" s="80">
        <f t="shared" si="50"/>
        <v>0</v>
      </c>
      <c r="K640" s="67"/>
      <c r="L640" s="69"/>
      <c r="M640" s="8"/>
    </row>
    <row r="641" spans="1:13" s="3" customFormat="1" ht="12.2" customHeight="1" x14ac:dyDescent="0.15">
      <c r="A641" s="21"/>
      <c r="B641" s="22"/>
      <c r="C641" s="22"/>
      <c r="D641" s="22"/>
      <c r="E641" s="22"/>
      <c r="F641" s="86" t="s">
        <v>119</v>
      </c>
      <c r="G641" s="80">
        <f>SUM(G447)</f>
        <v>975551.1</v>
      </c>
      <c r="H641" s="80">
        <f>SUM(G462)</f>
        <v>975551.1</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1003276.75</v>
      </c>
      <c r="H643" s="80">
        <f>SUM(I462)</f>
        <v>1003276.75</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29847.33</v>
      </c>
      <c r="H645" s="80">
        <f>H409</f>
        <v>29847.329999999998</v>
      </c>
      <c r="I645" s="87" t="s">
        <v>480</v>
      </c>
      <c r="J645" s="80">
        <f t="shared" si="50"/>
        <v>0</v>
      </c>
      <c r="K645" s="67"/>
      <c r="L645" s="69"/>
      <c r="M645" s="8"/>
    </row>
    <row r="646" spans="1:13" s="3" customFormat="1" ht="12.2" customHeight="1" x14ac:dyDescent="0.15">
      <c r="A646" s="21"/>
      <c r="B646" s="22"/>
      <c r="C646" s="22"/>
      <c r="D646" s="22"/>
      <c r="E646" s="22"/>
      <c r="F646" s="86" t="s">
        <v>664</v>
      </c>
      <c r="G646" s="80">
        <f>J184</f>
        <v>120000</v>
      </c>
      <c r="H646" s="80">
        <f>G409</f>
        <v>120000</v>
      </c>
      <c r="I646" s="87" t="s">
        <v>481</v>
      </c>
      <c r="J646" s="80">
        <f t="shared" si="50"/>
        <v>0</v>
      </c>
      <c r="K646" s="67"/>
      <c r="L646" s="69"/>
      <c r="M646" s="8"/>
    </row>
    <row r="647" spans="1:13" s="3" customFormat="1" ht="12.2" customHeight="1" x14ac:dyDescent="0.15">
      <c r="A647" s="21"/>
      <c r="B647" s="22"/>
      <c r="C647" s="22"/>
      <c r="D647" s="22"/>
      <c r="E647" s="22"/>
      <c r="F647" s="86" t="s">
        <v>662</v>
      </c>
      <c r="G647" s="80">
        <f>J194</f>
        <v>431442.01</v>
      </c>
      <c r="H647" s="80">
        <f>L409</f>
        <v>431442.01</v>
      </c>
      <c r="I647" s="87" t="s">
        <v>477</v>
      </c>
      <c r="J647" s="80">
        <f t="shared" si="50"/>
        <v>0</v>
      </c>
      <c r="K647" s="67"/>
      <c r="L647" s="69"/>
      <c r="M647" s="8"/>
    </row>
    <row r="648" spans="1:13" s="3" customFormat="1" ht="12.2" customHeight="1" x14ac:dyDescent="0.15">
      <c r="A648" s="21"/>
      <c r="B648" s="22"/>
      <c r="C648" s="22"/>
      <c r="D648" s="22"/>
      <c r="E648" s="22"/>
      <c r="F648" s="86" t="s">
        <v>51</v>
      </c>
      <c r="G648" s="80">
        <f>K599</f>
        <v>1162081.52</v>
      </c>
      <c r="H648" s="80">
        <f>L209+L227+L245</f>
        <v>1162081.52</v>
      </c>
      <c r="I648" s="87" t="s">
        <v>396</v>
      </c>
      <c r="J648" s="80">
        <f t="shared" si="50"/>
        <v>0</v>
      </c>
      <c r="K648" s="67"/>
      <c r="L648" s="69"/>
      <c r="M648" s="8"/>
    </row>
    <row r="649" spans="1:13" s="3" customFormat="1" ht="12.2" customHeight="1" x14ac:dyDescent="0.15">
      <c r="A649" s="21"/>
      <c r="B649" s="22"/>
      <c r="C649" s="22"/>
      <c r="D649" s="22"/>
      <c r="E649" s="22"/>
      <c r="F649" s="86" t="s">
        <v>52</v>
      </c>
      <c r="G649" s="80">
        <f>K606</f>
        <v>180715.26</v>
      </c>
      <c r="H649" s="80">
        <f>(J258+J339)-(J256+J337)</f>
        <v>180715.26</v>
      </c>
      <c r="I649" s="87" t="s">
        <v>699</v>
      </c>
      <c r="J649" s="80">
        <f t="shared" si="50"/>
        <v>0</v>
      </c>
      <c r="K649" s="67"/>
      <c r="L649" s="69"/>
      <c r="M649" s="8"/>
    </row>
    <row r="650" spans="1:13" s="3" customFormat="1" ht="12.2" customHeight="1" x14ac:dyDescent="0.15">
      <c r="A650" s="21"/>
      <c r="B650" s="22"/>
      <c r="C650" s="22"/>
      <c r="D650" s="22"/>
      <c r="E650" s="22"/>
      <c r="F650" s="86" t="s">
        <v>387</v>
      </c>
      <c r="G650" s="80">
        <f>L209</f>
        <v>379720.44</v>
      </c>
      <c r="H650" s="80">
        <f>H599</f>
        <v>379720.44</v>
      </c>
      <c r="I650" s="87" t="s">
        <v>388</v>
      </c>
      <c r="J650" s="80">
        <f t="shared" si="50"/>
        <v>0</v>
      </c>
      <c r="K650" s="67"/>
      <c r="L650" s="69"/>
      <c r="M650" s="8"/>
    </row>
    <row r="651" spans="1:13" s="3" customFormat="1" ht="12.2" customHeight="1" x14ac:dyDescent="0.15">
      <c r="A651" s="21"/>
      <c r="B651" s="22"/>
      <c r="C651" s="22"/>
      <c r="D651" s="22"/>
      <c r="E651" s="22"/>
      <c r="F651" s="86" t="s">
        <v>392</v>
      </c>
      <c r="G651" s="80">
        <f>L227</f>
        <v>323496.43999999994</v>
      </c>
      <c r="H651" s="80">
        <f>I599</f>
        <v>323496.43999999994</v>
      </c>
      <c r="I651" s="87" t="s">
        <v>389</v>
      </c>
      <c r="J651" s="80">
        <f t="shared" si="50"/>
        <v>0</v>
      </c>
      <c r="K651" s="67"/>
      <c r="L651" s="69"/>
      <c r="M651" s="8"/>
    </row>
    <row r="652" spans="1:13" s="3" customFormat="1" ht="12.2" customHeight="1" x14ac:dyDescent="0.15">
      <c r="A652" s="21"/>
      <c r="B652" s="22"/>
      <c r="C652" s="22"/>
      <c r="D652" s="22"/>
      <c r="E652" s="22"/>
      <c r="F652" s="86" t="s">
        <v>393</v>
      </c>
      <c r="G652" s="80">
        <f>L245</f>
        <v>458864.64000000007</v>
      </c>
      <c r="H652" s="80">
        <f>J599</f>
        <v>458864.64000000001</v>
      </c>
      <c r="I652" s="87" t="s">
        <v>390</v>
      </c>
      <c r="J652" s="80">
        <f t="shared" si="50"/>
        <v>0</v>
      </c>
      <c r="K652" s="67"/>
      <c r="L652" s="69"/>
      <c r="M652" s="8"/>
    </row>
    <row r="653" spans="1:13" s="3" customFormat="1" ht="12.2" customHeight="1" x14ac:dyDescent="0.15">
      <c r="A653" s="21"/>
      <c r="B653" s="22"/>
      <c r="C653" s="22"/>
      <c r="D653" s="22"/>
      <c r="E653" s="22"/>
      <c r="F653" s="86" t="s">
        <v>665</v>
      </c>
      <c r="G653" s="80">
        <f>G180+G182</f>
        <v>74721.62</v>
      </c>
      <c r="H653" s="80">
        <f>K264+K346</f>
        <v>74721.62</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120000</v>
      </c>
      <c r="H656" s="80">
        <f>K267+K348</f>
        <v>120000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9977801.040000001</v>
      </c>
      <c r="G661" s="13">
        <f>(L230+L310+L360)</f>
        <v>7952692.9200000009</v>
      </c>
      <c r="H661" s="13">
        <f>(L248+L329+L361)</f>
        <v>8026362.6000000006</v>
      </c>
      <c r="I661" s="13">
        <f>SUM(F661:H661)</f>
        <v>25956856.560000002</v>
      </c>
      <c r="J661" s="13"/>
      <c r="K661" s="13"/>
      <c r="L661" s="13"/>
      <c r="M661" s="9"/>
    </row>
    <row r="662" spans="1:13" s="3" customFormat="1" ht="12.2" customHeight="1" x14ac:dyDescent="0.2">
      <c r="A662" s="1" t="s">
        <v>127</v>
      </c>
      <c r="F662" s="13">
        <f>(L359/IF(SUM(L359:L361)=0,1,SUM(L359:L361))*(SUM(G97:G110)))</f>
        <v>125826.2894087758</v>
      </c>
      <c r="G662" s="13">
        <f>(L360/IF(SUM(L359:L361)=0,1,SUM(L359:L361))*(SUM(G97:G110)))</f>
        <v>71397.737213959452</v>
      </c>
      <c r="H662" s="13">
        <f>(L361/IF(SUM(L359:L361)=0,1,SUM(L359:L361))*(SUM(G97:G110)))</f>
        <v>80544.783377264728</v>
      </c>
      <c r="I662" s="13">
        <f>SUM(F662:H662)</f>
        <v>277768.81</v>
      </c>
      <c r="J662"/>
      <c r="K662" s="13"/>
      <c r="L662" s="13"/>
      <c r="M662" s="8"/>
    </row>
    <row r="663" spans="1:13" s="3" customFormat="1" ht="12.2" customHeight="1" x14ac:dyDescent="0.2">
      <c r="A663" s="1" t="s">
        <v>128</v>
      </c>
      <c r="F663" s="13">
        <f>(L209+L288)-(J209+J288)</f>
        <v>400408.07</v>
      </c>
      <c r="G663" s="13">
        <f>(L227+L307)-(J227+J307)</f>
        <v>341488.36999999994</v>
      </c>
      <c r="H663" s="13">
        <f>(L245+L326)-(J245+J326)</f>
        <v>471790.18000000005</v>
      </c>
      <c r="I663" s="13">
        <f>SUM(F663:H663)</f>
        <v>1213686.6200000001</v>
      </c>
      <c r="J663"/>
      <c r="K663" s="13"/>
      <c r="L663" s="13"/>
      <c r="M663" s="9"/>
    </row>
    <row r="664" spans="1:13" s="3" customFormat="1" ht="12.2" customHeight="1" x14ac:dyDescent="0.15">
      <c r="A664" s="142" t="s">
        <v>129</v>
      </c>
      <c r="B664" s="124"/>
      <c r="C664" s="124"/>
      <c r="D664" s="124"/>
      <c r="E664" s="124"/>
      <c r="F664" s="143">
        <f>SUM(F576:F588)+SUM(H603:H605)+SUM(L612)</f>
        <v>72071.010000000009</v>
      </c>
      <c r="G664" s="143">
        <f>SUM(G576:G588)+SUM(I603:I605)+L613</f>
        <v>267848.18000000005</v>
      </c>
      <c r="H664" s="143">
        <f>SUM(H576:H588)+SUM(J603:J605)+L614</f>
        <v>788016.89000000013</v>
      </c>
      <c r="I664" s="13">
        <f>SUM(F664:H664)</f>
        <v>1127936.08</v>
      </c>
      <c r="J664" s="13"/>
      <c r="K664" s="13"/>
      <c r="L664" s="13"/>
      <c r="M664" s="9"/>
    </row>
    <row r="665" spans="1:13" s="3" customFormat="1" ht="12.2" customHeight="1" x14ac:dyDescent="0.15">
      <c r="A665" s="1" t="s">
        <v>130</v>
      </c>
      <c r="F665" s="13">
        <f>F661-SUM(F662:F664)</f>
        <v>9379495.6705912258</v>
      </c>
      <c r="G665" s="13">
        <f>G661-SUM(G662:G664)</f>
        <v>7271958.6327860411</v>
      </c>
      <c r="H665" s="13">
        <f>H661-SUM(H662:H664)</f>
        <v>6686010.7466227356</v>
      </c>
      <c r="I665" s="13">
        <f>I661-SUM(I662:I664)</f>
        <v>23337465.050000001</v>
      </c>
      <c r="J665" s="13"/>
      <c r="K665" s="13"/>
      <c r="L665" s="13"/>
      <c r="M665" s="8"/>
    </row>
    <row r="666" spans="1:13" s="3" customFormat="1" ht="12.2" customHeight="1" x14ac:dyDescent="0.2">
      <c r="A666" s="1" t="s">
        <v>131</v>
      </c>
      <c r="F666" s="183">
        <v>453.69</v>
      </c>
      <c r="G666" s="184">
        <v>338.75</v>
      </c>
      <c r="H666" s="184">
        <v>354.89</v>
      </c>
      <c r="I666" s="13">
        <f>SUM(F666:H666)</f>
        <v>1147.33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20673.8</v>
      </c>
      <c r="G668" s="13">
        <f>ROUND(G665/G666,2)</f>
        <v>21467.040000000001</v>
      </c>
      <c r="H668" s="13">
        <f>ROUND(H665/H666,2)</f>
        <v>18839.669999999998</v>
      </c>
      <c r="I668" s="13">
        <f>ROUND(I665/I666,2)</f>
        <v>20340.669999999998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-12.28</v>
      </c>
      <c r="I671" s="13">
        <f>SUM(F671:H671)</f>
        <v>-12.28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20673.8</v>
      </c>
      <c r="G673" s="13">
        <f>ROUND((G665+G670)/(G666+G671),2)</f>
        <v>21467.040000000001</v>
      </c>
      <c r="H673" s="13">
        <f>ROUND((H665+H670)/(H666+H671),2)</f>
        <v>19514.93</v>
      </c>
      <c r="I673" s="13">
        <f>ROUND((I665+I670)/(I666+I671),2)</f>
        <v>20560.740000000002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G18" sqref="G18"/>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150869.55000000002</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84053.05</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23076.31</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v>43740.19</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Shaker Regional</v>
      </c>
      <c r="C5" s="317"/>
      <c r="D5" s="317"/>
      <c r="E5" s="317"/>
      <c r="F5" s="317"/>
    </row>
    <row r="8" spans="1:9" ht="18" x14ac:dyDescent="0.25">
      <c r="A8" s="240" t="s">
        <v>1560</v>
      </c>
      <c r="F8" s="247" t="s">
        <v>1578</v>
      </c>
    </row>
    <row r="9" spans="1:9" ht="15" x14ac:dyDescent="0.2">
      <c r="A9" s="238" t="s">
        <v>1561</v>
      </c>
      <c r="B9" s="241">
        <f>'DOE25'!G97</f>
        <v>275505.33</v>
      </c>
      <c r="F9" s="238" t="s">
        <v>1574</v>
      </c>
    </row>
    <row r="10" spans="1:9" ht="15" x14ac:dyDescent="0.2">
      <c r="A10" s="238" t="s">
        <v>1562</v>
      </c>
      <c r="B10" s="241">
        <f>'DOE25'!G112-'DOE25'!G97</f>
        <v>2263.4799999999814</v>
      </c>
      <c r="F10" s="238" t="s">
        <v>1575</v>
      </c>
    </row>
    <row r="11" spans="1:9" ht="15" x14ac:dyDescent="0.2">
      <c r="A11" s="238" t="s">
        <v>1563</v>
      </c>
      <c r="B11" s="241">
        <f>'DOE25'!G140</f>
        <v>51697.74</v>
      </c>
      <c r="F11" s="238" t="s">
        <v>1576</v>
      </c>
    </row>
    <row r="12" spans="1:9" ht="15" x14ac:dyDescent="0.2">
      <c r="A12" s="238" t="s">
        <v>1564</v>
      </c>
      <c r="B12" s="241">
        <f>'DOE25'!G170</f>
        <v>309070.7</v>
      </c>
      <c r="F12" s="238" t="s">
        <v>1577</v>
      </c>
    </row>
    <row r="13" spans="1:9" ht="15" x14ac:dyDescent="0.2">
      <c r="A13" s="238" t="s">
        <v>1565</v>
      </c>
      <c r="B13" s="241">
        <f>'DOE25'!G193-'DOE25'!G180</f>
        <v>0</v>
      </c>
      <c r="F13" s="238" t="s">
        <v>1587</v>
      </c>
    </row>
    <row r="14" spans="1:9" ht="18" x14ac:dyDescent="0.25">
      <c r="A14" s="240" t="s">
        <v>732</v>
      </c>
      <c r="B14" s="242">
        <f>SUM(B9:B13)</f>
        <v>638537.25</v>
      </c>
    </row>
    <row r="16" spans="1:9" ht="18" x14ac:dyDescent="0.25">
      <c r="A16" s="240" t="s">
        <v>786</v>
      </c>
      <c r="F16" s="247" t="s">
        <v>1579</v>
      </c>
    </row>
    <row r="17" spans="1:6" ht="15" x14ac:dyDescent="0.2">
      <c r="A17" s="238" t="s">
        <v>1566</v>
      </c>
      <c r="B17" s="241">
        <f>'DOE25'!L363-'DOE25'!L362</f>
        <v>678815.93</v>
      </c>
      <c r="F17" s="238" t="s">
        <v>1580</v>
      </c>
    </row>
    <row r="18" spans="1:6" ht="15" x14ac:dyDescent="0.2">
      <c r="A18" s="238" t="s">
        <v>1567</v>
      </c>
      <c r="B18" s="251"/>
      <c r="F18" s="247" t="s">
        <v>1604</v>
      </c>
    </row>
    <row r="19" spans="1:6" ht="18" x14ac:dyDescent="0.25">
      <c r="A19" s="240" t="s">
        <v>725</v>
      </c>
      <c r="B19" s="242">
        <f>SUM(B17:B18)</f>
        <v>678815.93</v>
      </c>
    </row>
    <row r="21" spans="1:6" ht="18.75" thickBot="1" x14ac:dyDescent="0.3">
      <c r="A21" s="240" t="s">
        <v>1568</v>
      </c>
    </row>
    <row r="22" spans="1:6" ht="18.75" thickTop="1" x14ac:dyDescent="0.25">
      <c r="A22" s="240" t="s">
        <v>1569</v>
      </c>
      <c r="B22" s="246">
        <f>B14-B19</f>
        <v>-40278.680000000051</v>
      </c>
      <c r="F22" s="238" t="s">
        <v>1581</v>
      </c>
    </row>
    <row r="26" spans="1:6" ht="18" x14ac:dyDescent="0.25">
      <c r="A26" s="240" t="s">
        <v>186</v>
      </c>
    </row>
    <row r="27" spans="1:6" ht="15" x14ac:dyDescent="0.2">
      <c r="A27" s="238" t="s">
        <v>1570</v>
      </c>
      <c r="B27" s="241">
        <f>'DOE25'!G180</f>
        <v>74721.62</v>
      </c>
      <c r="F27" s="238" t="s">
        <v>1582</v>
      </c>
    </row>
    <row r="28" spans="1:6" ht="15" x14ac:dyDescent="0.2">
      <c r="A28" s="238" t="s">
        <v>1572</v>
      </c>
      <c r="B28" s="241">
        <f>'DOE25'!L362</f>
        <v>0</v>
      </c>
      <c r="F28" s="238" t="s">
        <v>1583</v>
      </c>
    </row>
    <row r="31" spans="1:6" ht="15" x14ac:dyDescent="0.2">
      <c r="A31" s="238" t="s">
        <v>1797</v>
      </c>
      <c r="B31" s="241">
        <f>'DOE25'!G466</f>
        <v>148467.98000000001</v>
      </c>
      <c r="F31" s="238" t="s">
        <v>1584</v>
      </c>
    </row>
    <row r="33" spans="1:6" ht="15" x14ac:dyDescent="0.2">
      <c r="A33" s="238" t="s">
        <v>1798</v>
      </c>
      <c r="B33" s="241">
        <f>'DOE25'!G477</f>
        <v>182910.91999999993</v>
      </c>
      <c r="F33" s="238" t="s">
        <v>1585</v>
      </c>
    </row>
    <row r="36" spans="1:6" ht="15" x14ac:dyDescent="0.2">
      <c r="A36" s="238" t="s">
        <v>1571</v>
      </c>
      <c r="B36" s="252">
        <v>46294.71</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2" sqref="C12"/>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Shaker Regional</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6006295.3699999992</v>
      </c>
      <c r="C9" s="167">
        <f>'DOE25'!G198+'DOE25'!G216+'DOE25'!G234+'DOE25'!G277+'DOE25'!G296+'DOE25'!G315</f>
        <v>3346246.3300000005</v>
      </c>
    </row>
    <row r="10" spans="1:3" x14ac:dyDescent="0.2">
      <c r="A10" t="s">
        <v>775</v>
      </c>
      <c r="B10" s="177">
        <v>5375077.0199999996</v>
      </c>
      <c r="C10" s="177">
        <v>3117544.67</v>
      </c>
    </row>
    <row r="11" spans="1:3" x14ac:dyDescent="0.2">
      <c r="A11" t="s">
        <v>776</v>
      </c>
      <c r="B11" s="177">
        <v>467233.11</v>
      </c>
      <c r="C11" s="177">
        <v>215245.56</v>
      </c>
    </row>
    <row r="12" spans="1:3" x14ac:dyDescent="0.2">
      <c r="A12" t="s">
        <v>777</v>
      </c>
      <c r="B12" s="177">
        <v>163985.24</v>
      </c>
      <c r="C12" s="177">
        <v>13456.1</v>
      </c>
    </row>
    <row r="13" spans="1:3" x14ac:dyDescent="0.2">
      <c r="A13" t="str">
        <f>IF(B9=B13,IF(C9=C13,"Check Total OK","Check Total Error"),"Check Total Error")</f>
        <v>Check Total OK</v>
      </c>
      <c r="B13" s="169">
        <f>SUM(B10:B12)</f>
        <v>6006295.3700000001</v>
      </c>
      <c r="C13" s="169">
        <f>SUM(C10:C12)</f>
        <v>3346246.33</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2223543.1799999997</v>
      </c>
      <c r="C18" s="167">
        <f>'DOE25'!G199+'DOE25'!G217+'DOE25'!G235+'DOE25'!G278+'DOE25'!G297+'DOE25'!G316</f>
        <v>1313347.8500000001</v>
      </c>
    </row>
    <row r="19" spans="1:3" x14ac:dyDescent="0.2">
      <c r="A19" t="s">
        <v>775</v>
      </c>
      <c r="B19" s="177">
        <v>1355482.63</v>
      </c>
      <c r="C19" s="177">
        <f>157018.67+668956.82</f>
        <v>825975.49</v>
      </c>
    </row>
    <row r="20" spans="1:3" x14ac:dyDescent="0.2">
      <c r="A20" t="s">
        <v>776</v>
      </c>
      <c r="B20" s="177">
        <v>868060.55</v>
      </c>
      <c r="C20" s="177">
        <f>100555.86+386816.5</f>
        <v>487372.36</v>
      </c>
    </row>
    <row r="21" spans="1:3" x14ac:dyDescent="0.2">
      <c r="A21" t="s">
        <v>777</v>
      </c>
      <c r="B21" s="177"/>
      <c r="C21" s="177"/>
    </row>
    <row r="22" spans="1:3" x14ac:dyDescent="0.2">
      <c r="A22" t="str">
        <f>IF(B18=B22,IF(C18=C22,"Check Total OK","Check Total Error"),"Check Total Error")</f>
        <v>Check Total OK</v>
      </c>
      <c r="B22" s="169">
        <f>SUM(B19:B21)</f>
        <v>2223543.1799999997</v>
      </c>
      <c r="C22" s="169">
        <f>SUM(C19:C21)</f>
        <v>1313347.8500000001</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23480.53</v>
      </c>
      <c r="C27" s="172">
        <f>'DOE25'!G200+'DOE25'!G218+'DOE25'!G236+'DOE25'!G279+'DOE25'!G298+'DOE25'!G317</f>
        <v>1796.3</v>
      </c>
    </row>
    <row r="28" spans="1:3" x14ac:dyDescent="0.2">
      <c r="A28" t="s">
        <v>775</v>
      </c>
      <c r="B28" s="177">
        <v>23480.53</v>
      </c>
      <c r="C28" s="177">
        <v>1796.3</v>
      </c>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23480.53</v>
      </c>
      <c r="C31" s="169">
        <f>SUM(C28:C30)</f>
        <v>1796.3</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298915.06</v>
      </c>
      <c r="C36" s="173">
        <f>'DOE25'!G201+'DOE25'!G219+'DOE25'!G237+'DOE25'!G280+'DOE25'!G299+'DOE25'!G318</f>
        <v>101878.77999999998</v>
      </c>
    </row>
    <row r="37" spans="1:3" x14ac:dyDescent="0.2">
      <c r="A37" t="s">
        <v>775</v>
      </c>
      <c r="B37" s="177">
        <v>182906.13</v>
      </c>
      <c r="C37" s="177">
        <f>47234.81+15376.23+28384.02</f>
        <v>90995.06</v>
      </c>
    </row>
    <row r="38" spans="1:3" x14ac:dyDescent="0.2">
      <c r="A38" t="s">
        <v>776</v>
      </c>
      <c r="B38" s="177">
        <v>7712.01</v>
      </c>
      <c r="C38" s="177">
        <f>406.82+608.22+116.24+648.32</f>
        <v>1779.6</v>
      </c>
    </row>
    <row r="39" spans="1:3" x14ac:dyDescent="0.2">
      <c r="A39" t="s">
        <v>777</v>
      </c>
      <c r="B39" s="177">
        <v>108296.92</v>
      </c>
      <c r="C39" s="177">
        <v>9104.1200000000008</v>
      </c>
    </row>
    <row r="40" spans="1:3" x14ac:dyDescent="0.2">
      <c r="A40" t="str">
        <f>IF(B36=B40,IF(C36=C40,"Check Total OK","Check Total Error"),"Check Total Error")</f>
        <v>Check Total OK</v>
      </c>
      <c r="B40" s="169">
        <f>SUM(B37:B39)</f>
        <v>298915.06</v>
      </c>
      <c r="C40" s="169">
        <f>SUM(C37:C39)</f>
        <v>101878.78</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16" activePane="bottomLeft" state="frozen"/>
      <selection activeCell="F46" sqref="F46"/>
      <selection pane="bottomLeft"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Shaker Regional</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13928780.25</v>
      </c>
      <c r="D5" s="19">
        <f>SUM('DOE25'!L198:L201)+SUM('DOE25'!L216:L219)+SUM('DOE25'!L234:L237)-F5-G5-H5</f>
        <v>13858164.459999999</v>
      </c>
      <c r="E5" s="180"/>
      <c r="F5" s="181"/>
      <c r="G5" s="19">
        <f>SUM('DOE25'!J198:J201)+SUM('DOE25'!J216:J219)+SUM('DOE25'!J234:J237)</f>
        <v>37505.9</v>
      </c>
      <c r="H5" s="19">
        <f>SUM('DOE25'!K198:K201)+SUM('DOE25'!K216:K219)+SUM('DOE25'!K234:K237)</f>
        <v>33109.89</v>
      </c>
      <c r="I5" s="192"/>
    </row>
    <row r="6" spans="1:9" x14ac:dyDescent="0.2">
      <c r="A6" s="31">
        <v>2100</v>
      </c>
      <c r="B6" t="s">
        <v>796</v>
      </c>
      <c r="C6" s="206">
        <f t="shared" si="0"/>
        <v>3153909.5599999996</v>
      </c>
      <c r="D6" s="19">
        <f>'DOE25'!L203+'DOE25'!L221+'DOE25'!L239-F6-G6-H6</f>
        <v>3151104.2499999995</v>
      </c>
      <c r="E6" s="180"/>
      <c r="F6" s="181"/>
      <c r="G6" s="19">
        <f>'DOE25'!J203+'DOE25'!J221+'DOE25'!J239</f>
        <v>1198.31</v>
      </c>
      <c r="H6" s="19">
        <f>'DOE25'!K203+'DOE25'!K221+'DOE25'!K239</f>
        <v>1607</v>
      </c>
      <c r="I6" s="192"/>
    </row>
    <row r="7" spans="1:9" x14ac:dyDescent="0.2">
      <c r="A7" s="31">
        <v>2200</v>
      </c>
      <c r="B7" t="s">
        <v>820</v>
      </c>
      <c r="C7" s="206">
        <f t="shared" si="0"/>
        <v>1163169.27</v>
      </c>
      <c r="D7" s="19">
        <f>'DOE25'!L204+'DOE25'!L222+'DOE25'!L240-F7-G7-H7</f>
        <v>1137702.73</v>
      </c>
      <c r="E7" s="180"/>
      <c r="F7" s="181"/>
      <c r="G7" s="19">
        <f>'DOE25'!J204+'DOE25'!J222+'DOE25'!J240</f>
        <v>25426.54</v>
      </c>
      <c r="H7" s="19">
        <f>'DOE25'!K204+'DOE25'!K222+'DOE25'!K240</f>
        <v>40</v>
      </c>
      <c r="I7" s="192"/>
    </row>
    <row r="8" spans="1:9" x14ac:dyDescent="0.2">
      <c r="A8" s="31">
        <v>2300</v>
      </c>
      <c r="B8" t="s">
        <v>797</v>
      </c>
      <c r="C8" s="206">
        <f t="shared" si="0"/>
        <v>406788.13</v>
      </c>
      <c r="D8" s="180"/>
      <c r="E8" s="19">
        <f>'DOE25'!L205+'DOE25'!L223+'DOE25'!L241-F8-G8-H8-D9-D11</f>
        <v>399737.89</v>
      </c>
      <c r="F8" s="181"/>
      <c r="G8" s="19">
        <f>'DOE25'!J205+'DOE25'!J223+'DOE25'!J241</f>
        <v>0</v>
      </c>
      <c r="H8" s="19">
        <f>'DOE25'!K205+'DOE25'!K223+'DOE25'!K241</f>
        <v>7050.2400000000007</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1452700.87</v>
      </c>
      <c r="D12" s="19">
        <f>'DOE25'!L206+'DOE25'!L224+'DOE25'!L242-F12-G12-H12</f>
        <v>1435080.48</v>
      </c>
      <c r="E12" s="180"/>
      <c r="F12" s="181"/>
      <c r="G12" s="19">
        <f>'DOE25'!J206+'DOE25'!J224+'DOE25'!J242</f>
        <v>2154.56</v>
      </c>
      <c r="H12" s="19">
        <f>'DOE25'!K206+'DOE25'!K224+'DOE25'!K242</f>
        <v>15465.83</v>
      </c>
      <c r="I12" s="192"/>
    </row>
    <row r="13" spans="1:9" x14ac:dyDescent="0.2">
      <c r="A13" s="31">
        <v>2500</v>
      </c>
      <c r="B13" t="s">
        <v>798</v>
      </c>
      <c r="C13" s="206">
        <f t="shared" si="0"/>
        <v>430205.97</v>
      </c>
      <c r="D13" s="180"/>
      <c r="E13" s="19">
        <f>'DOE25'!L207+'DOE25'!L225+'DOE25'!L243-F13-G13-H13</f>
        <v>428028.57</v>
      </c>
      <c r="F13" s="181"/>
      <c r="G13" s="19">
        <f>'DOE25'!J207+'DOE25'!J225+'DOE25'!J243</f>
        <v>179.99</v>
      </c>
      <c r="H13" s="19">
        <f>'DOE25'!K207+'DOE25'!K225+'DOE25'!K243</f>
        <v>1997.41</v>
      </c>
      <c r="I13" s="192"/>
    </row>
    <row r="14" spans="1:9" x14ac:dyDescent="0.2">
      <c r="A14" s="31">
        <v>2600</v>
      </c>
      <c r="B14" t="s">
        <v>818</v>
      </c>
      <c r="C14" s="206">
        <f t="shared" si="0"/>
        <v>1973457.7999999998</v>
      </c>
      <c r="D14" s="19">
        <f>'DOE25'!L208+'DOE25'!L226+'DOE25'!L244-F14-G14-H14</f>
        <v>1939953.8699999999</v>
      </c>
      <c r="E14" s="180"/>
      <c r="F14" s="181"/>
      <c r="G14" s="19">
        <f>'DOE25'!J208+'DOE25'!J226+'DOE25'!J244</f>
        <v>33503.93</v>
      </c>
      <c r="H14" s="19">
        <f>'DOE25'!K208+'DOE25'!K226+'DOE25'!K244</f>
        <v>0</v>
      </c>
      <c r="I14" s="192"/>
    </row>
    <row r="15" spans="1:9" x14ac:dyDescent="0.2">
      <c r="A15" s="31">
        <v>2700</v>
      </c>
      <c r="B15" t="s">
        <v>799</v>
      </c>
      <c r="C15" s="206">
        <f t="shared" si="0"/>
        <v>1162081.52</v>
      </c>
      <c r="D15" s="19">
        <f>'DOE25'!L209+'DOE25'!L227+'DOE25'!L245-F15-G15-H15</f>
        <v>1162081.52</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2046044.0299999998</v>
      </c>
      <c r="D22" s="180"/>
      <c r="E22" s="180"/>
      <c r="F22" s="180"/>
      <c r="G22" s="19">
        <f>'DOE25'!L256+'DOE25'!L337</f>
        <v>2046044.0299999998</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440727.64</v>
      </c>
      <c r="D29" s="212">
        <f>'DOE25'!L359+'DOE25'!L360+'DOE25'!L361-'DOE25'!I368-F29-G29-H29-F39</f>
        <v>424290.65</v>
      </c>
      <c r="E29" s="180"/>
      <c r="F29" s="180"/>
      <c r="G29" s="19">
        <f>'DOE25'!J359+'DOE25'!J360+'DOE25'!J361</f>
        <v>15434.99</v>
      </c>
      <c r="H29" s="19">
        <f>'DOE25'!K359+'DOE25'!K360+'DOE25'!K361</f>
        <v>1002</v>
      </c>
      <c r="I29" s="192"/>
    </row>
    <row r="30" spans="1:9" x14ac:dyDescent="0.2">
      <c r="A30" s="31"/>
      <c r="C30" s="207"/>
      <c r="D30" s="19"/>
      <c r="F30" s="201"/>
      <c r="G30" s="19"/>
      <c r="H30" s="19"/>
      <c r="I30" s="192"/>
    </row>
    <row r="31" spans="1:9" x14ac:dyDescent="0.2">
      <c r="A31" s="31" t="s">
        <v>817</v>
      </c>
      <c r="B31" t="s">
        <v>816</v>
      </c>
      <c r="C31" s="206">
        <f>SUM(D31:I31)</f>
        <v>1606947.26</v>
      </c>
      <c r="D31" s="19">
        <f>'DOE25'!L291+'DOE25'!L310+'DOE25'!L329+'DOE25'!L334+'DOE25'!L335+'DOE25'!L336-F31-G31-H31</f>
        <v>1523356.23</v>
      </c>
      <c r="E31" s="180"/>
      <c r="F31" s="181"/>
      <c r="G31" s="19">
        <f>'DOE25'!J291+'DOE25'!J310+'DOE25'!J329+'DOE25'!J334+'DOE25'!J335+'DOE25'!J336</f>
        <v>80746.03</v>
      </c>
      <c r="H31" s="19">
        <f>'DOE25'!K291+'DOE25'!K310+'DOE25'!K329+'DOE25'!K334+'DOE25'!K335+'DOE25'!K336</f>
        <v>2845</v>
      </c>
      <c r="I31" s="192"/>
    </row>
    <row r="32" spans="1:9" ht="12" thickBot="1" x14ac:dyDescent="0.25">
      <c r="C32" s="207"/>
      <c r="G32" s="188"/>
      <c r="H32" s="188"/>
      <c r="I32" s="194"/>
    </row>
    <row r="33" spans="1:9" ht="12" thickTop="1" x14ac:dyDescent="0.2">
      <c r="B33" t="s">
        <v>809</v>
      </c>
      <c r="D33" s="182">
        <f t="shared" ref="D33:I33" si="1">SUM(D5:D31)</f>
        <v>24631734.189999998</v>
      </c>
      <c r="E33" s="182">
        <f t="shared" si="1"/>
        <v>827766.46</v>
      </c>
      <c r="F33" s="182">
        <f t="shared" si="1"/>
        <v>0</v>
      </c>
      <c r="G33" s="182">
        <f t="shared" si="1"/>
        <v>2242194.2799999998</v>
      </c>
      <c r="H33" s="182">
        <f t="shared" si="1"/>
        <v>63117.37</v>
      </c>
      <c r="I33" s="182">
        <f t="shared" si="1"/>
        <v>0</v>
      </c>
    </row>
    <row r="34" spans="1:9" ht="12" thickBot="1" x14ac:dyDescent="0.25"/>
    <row r="35" spans="1:9" ht="12" thickBot="1" x14ac:dyDescent="0.25">
      <c r="B35" s="188" t="s">
        <v>830</v>
      </c>
      <c r="D35" s="189">
        <f>E33</f>
        <v>827766.46</v>
      </c>
      <c r="E35" s="185"/>
      <c r="F35" s="295" t="s">
        <v>1608</v>
      </c>
      <c r="G35" s="296"/>
      <c r="H35" s="296"/>
      <c r="I35" s="297"/>
    </row>
    <row r="36" spans="1:9" ht="12" thickTop="1" x14ac:dyDescent="0.2">
      <c r="B36" t="s">
        <v>810</v>
      </c>
      <c r="D36" s="19">
        <f>D33</f>
        <v>24631734.189999998</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A8" sqref="A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Shaker Regional</v>
      </c>
      <c r="B2">
        <f>'DOE25'!B2</f>
        <v>486</v>
      </c>
      <c r="J2" s="224" t="s">
        <v>1808</v>
      </c>
      <c r="K2" s="309">
        <f>SUM('DOE25'!L198:L201)+SUM('DOE25'!L216:L219)+SUM('DOE25'!L234:L237)+SUM('DOE25'!L277:L280)+SUM('DOE25'!L296:L299)+SUM('DOE25'!L315:L318)</f>
        <v>14889160.92</v>
      </c>
      <c r="L2" s="309">
        <f>'DOE25'!L203+'DOE25'!L221+'DOE25'!L239+'DOE25'!L282+'DOE25'!L301+'DOE25'!L320</f>
        <v>3156470.4799999995</v>
      </c>
      <c r="M2" s="309">
        <f>'DOE25'!L204+'DOE25'!L222+'DOE25'!L240+'DOE25'!L283+'DOE25'!L302+'DOE25'!L321</f>
        <v>1561098.8299999998</v>
      </c>
      <c r="N2" s="309">
        <f>'DOE25'!L206+'DOE25'!L224+'DOE25'!L242+'DOE25'!L285+'DOE25'!L304+'DOE25'!L323</f>
        <v>1452700.87</v>
      </c>
      <c r="O2" s="309">
        <f>'Salaries-Benefits'!B10+'Salaries-Benefits'!B12+'Salaries-Benefits'!B19+'Salaries-Benefits'!B21+'Salaries-Benefits'!B28+'Salaries-Benefits'!B30+'Salaries-Benefits'!B37+'Salaries-Benefits'!B39</f>
        <v>7209228.4699999997</v>
      </c>
      <c r="P2" s="309">
        <f>'Salaries-Benefits'!B11+'Salaries-Benefits'!B20+'Salaries-Benefits'!B29+'Salaries-Benefits'!B38</f>
        <v>1343005.6700000002</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-14889160.92</v>
      </c>
      <c r="L3" s="311">
        <f t="shared" ref="L3:P3" si="0">L21+L33+L43-L2</f>
        <v>-3156470.4799999995</v>
      </c>
      <c r="M3" s="311">
        <f t="shared" si="0"/>
        <v>-1561098.8299999998</v>
      </c>
      <c r="N3" s="311">
        <f t="shared" si="0"/>
        <v>-1452700.87</v>
      </c>
      <c r="O3" s="311">
        <f t="shared" si="0"/>
        <v>-7209228.4699999997</v>
      </c>
      <c r="P3" s="311">
        <f t="shared" si="0"/>
        <v>-1343005.6700000002</v>
      </c>
      <c r="Q3" s="310"/>
      <c r="R3" s="306"/>
      <c r="S3" s="215"/>
      <c r="T3" s="215"/>
      <c r="U3" s="216"/>
    </row>
    <row r="4" spans="1:21" ht="55.5" customHeight="1" thickBot="1" x14ac:dyDescent="0.25">
      <c r="A4" s="224" t="s">
        <v>1522</v>
      </c>
      <c r="B4" s="224" t="s">
        <v>1523</v>
      </c>
      <c r="C4" s="224" t="s">
        <v>896</v>
      </c>
      <c r="D4" s="224" t="s">
        <v>786</v>
      </c>
      <c r="E4" s="224" t="s">
        <v>786</v>
      </c>
      <c r="F4" s="228">
        <f>SUM(F5:F20)</f>
        <v>9670304.7100000009</v>
      </c>
      <c r="G4" s="229">
        <f>'DOE25'!L212+'DOE25'!L291</f>
        <v>9670304.7100000009</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Belmont Elementary School</v>
      </c>
      <c r="B6" s="230">
        <f>IFERROR(VLOOKUP(A6,'School Tables'!$C$3:$D$365,2,FALSE),"")</f>
        <v>22135</v>
      </c>
      <c r="C6" s="223" t="str">
        <f>IFERROR(INDEX('School Tables'!$B$3:$B$365,MATCH('School Level Expenditures'!B6,'School Tables'!$D$3:$D$365,0)),"")</f>
        <v>Shaker Regional</v>
      </c>
      <c r="D6" s="220">
        <v>6586412.2000000002</v>
      </c>
      <c r="E6" s="220">
        <v>717648.86</v>
      </c>
      <c r="F6" s="232">
        <f t="shared" ref="F6:F20" si="1">D6+E6</f>
        <v>7304061.0600000005</v>
      </c>
      <c r="G6" s="223"/>
      <c r="H6" s="223"/>
      <c r="J6" t="str">
        <f>A6</f>
        <v>Belmont Elementary School</v>
      </c>
      <c r="K6" s="20"/>
      <c r="L6" s="20"/>
      <c r="M6" s="308"/>
      <c r="N6" s="20"/>
      <c r="O6" s="20"/>
      <c r="P6" s="20"/>
      <c r="Q6" s="20"/>
    </row>
    <row r="7" spans="1:21" x14ac:dyDescent="0.2">
      <c r="A7" t="str" cm="1">
        <f t="array" ref="A7">IFERROR(INDEX('School Tables'!$A$4:$G$325,'School Tables'!$J5,3),"")</f>
        <v>Canterbury Elementary School</v>
      </c>
      <c r="B7" s="230">
        <f>IFERROR(VLOOKUP(A7,'School Tables'!$C$3:$D$365,2,FALSE),"")</f>
        <v>22165</v>
      </c>
      <c r="C7" s="223" t="str">
        <f>IFERROR(INDEX('School Tables'!$B$3:$B$365,MATCH('School Level Expenditures'!B7,'School Tables'!$D$3:$D$365,0)),"")</f>
        <v>Shaker Regional</v>
      </c>
      <c r="D7" s="220">
        <v>2243282.11</v>
      </c>
      <c r="E7" s="220">
        <v>122961.54</v>
      </c>
      <c r="F7" s="232">
        <f t="shared" si="1"/>
        <v>2366243.65</v>
      </c>
      <c r="G7" s="223"/>
      <c r="H7" s="223"/>
      <c r="J7" t="str">
        <f t="shared" ref="J7:J20" si="2">A7</f>
        <v>Canterbury Elementary School</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8829694.3100000005</v>
      </c>
      <c r="E21" s="262">
        <f>SUM(E5:E20)</f>
        <v>840610.4</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7778209.9699999997</v>
      </c>
      <c r="G24" s="229">
        <f>'DOE25'!L230+'DOE25'!L310</f>
        <v>7778209.9700000007</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Belmont Middle School</v>
      </c>
      <c r="B26" s="230">
        <f>IFERROR(VLOOKUP(A26,'School Tables'!$N$4:$O$75,2,FALSE),"")</f>
        <v>22150</v>
      </c>
      <c r="C26" s="223" t="str">
        <f>IFERROR(INDEX('School Tables'!$M$4:$M$75,MATCH('School Level Expenditures'!A26,'School Tables'!$N$4:$N$75,0)),"")</f>
        <v>Shaker Regional</v>
      </c>
      <c r="D26" s="220">
        <v>7350266.1299999999</v>
      </c>
      <c r="E26" s="220">
        <f>419551.18+8392.66</f>
        <v>427943.83999999997</v>
      </c>
      <c r="F26" s="232">
        <f t="shared" ref="F26:F32" si="4">D26+E26</f>
        <v>7778209.9699999997</v>
      </c>
      <c r="G26" s="223"/>
      <c r="H26" s="223"/>
      <c r="J26" t="str">
        <f t="shared" ref="J26:J32" si="5">A26</f>
        <v>Belmont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7350266.1299999999</v>
      </c>
      <c r="E33" s="262">
        <f>SUM(E25:E32)</f>
        <v>427943.83999999997</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7829525.9500000002</v>
      </c>
      <c r="G36" s="229">
        <f>'DOE25'!L248+'DOE25'!L329</f>
        <v>7829525.9500000002</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Belmont High School</v>
      </c>
      <c r="B38" s="230">
        <f>IFERROR(VLOOKUP(A38,'School Tables'!$Y$4:$Z$100,2,FALSE),"")</f>
        <v>22145</v>
      </c>
      <c r="C38" s="223" t="str">
        <f>IFERROR(INDEX('School Tables'!$X$4:$X$100,MATCH('School Level Expenditures'!A38,'School Tables'!$Y$4:$Y$100,0)),"")</f>
        <v>Shaker Regional</v>
      </c>
      <c r="D38" s="220">
        <v>7482740.2999999998</v>
      </c>
      <c r="E38" s="220">
        <v>346785.65</v>
      </c>
      <c r="F38" s="232">
        <f t="shared" si="7"/>
        <v>7829525.9500000002</v>
      </c>
      <c r="G38" s="223"/>
      <c r="H38" s="223"/>
      <c r="J38" t="str">
        <f t="shared" ref="J38:J42" si="8">A38</f>
        <v>Belmont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7482740.2999999998</v>
      </c>
      <c r="E43" s="263">
        <f>SUM(E37:E42)</f>
        <v>346785.65</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D29" sqref="D2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Shaker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3341841.75</v>
      </c>
      <c r="D8" s="73">
        <f>'DOE25'!G9</f>
        <v>104521.22</v>
      </c>
      <c r="E8" s="73">
        <f>'DOE25'!H9</f>
        <v>0</v>
      </c>
      <c r="F8" s="73">
        <f>'DOE25'!I9</f>
        <v>0</v>
      </c>
      <c r="G8" s="73">
        <f>'DOE25'!J9</f>
        <v>194473.34</v>
      </c>
      <c r="H8" s="13">
        <f>SUM(C8:G8)</f>
        <v>3640836.31</v>
      </c>
      <c r="I8" s="90"/>
    </row>
    <row r="9" spans="1:9" x14ac:dyDescent="0.2">
      <c r="A9" s="1" t="s">
        <v>140</v>
      </c>
      <c r="B9" s="6">
        <v>110</v>
      </c>
      <c r="C9" s="73">
        <f>'DOE25'!F10</f>
        <v>3014.96</v>
      </c>
      <c r="D9" s="73">
        <f>'DOE25'!G10</f>
        <v>0</v>
      </c>
      <c r="E9" s="73">
        <f>'DOE25'!H10</f>
        <v>0</v>
      </c>
      <c r="F9" s="73">
        <f>'DOE25'!I10</f>
        <v>0</v>
      </c>
      <c r="G9" s="73">
        <f>'DOE25'!J10</f>
        <v>808803.41</v>
      </c>
      <c r="H9" s="13">
        <f t="shared" ref="H9:H18" si="0">SUM(C9:G9)</f>
        <v>811818.37</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117845.14000000003</v>
      </c>
      <c r="D11" s="73">
        <f>'DOE25'!G12</f>
        <v>16311.85</v>
      </c>
      <c r="E11" s="73">
        <f>'DOE25'!H12</f>
        <v>0</v>
      </c>
      <c r="F11" s="73">
        <f>'DOE25'!I12</f>
        <v>0</v>
      </c>
      <c r="G11" s="73">
        <f>'DOE25'!J12</f>
        <v>0</v>
      </c>
      <c r="H11" s="13">
        <f t="shared" si="0"/>
        <v>134156.99000000002</v>
      </c>
      <c r="I11" s="90"/>
    </row>
    <row r="12" spans="1:9" x14ac:dyDescent="0.2">
      <c r="A12" s="1" t="s">
        <v>143</v>
      </c>
      <c r="B12" s="6">
        <v>140</v>
      </c>
      <c r="C12" s="73">
        <f>'DOE25'!F13</f>
        <v>67021.91</v>
      </c>
      <c r="D12" s="73">
        <f>'DOE25'!G13</f>
        <v>76473.08</v>
      </c>
      <c r="E12" s="73">
        <f>'DOE25'!H13</f>
        <v>371446.21</v>
      </c>
      <c r="F12" s="73">
        <f>'DOE25'!I13</f>
        <v>0</v>
      </c>
      <c r="G12" s="73">
        <f>'DOE25'!J13</f>
        <v>0</v>
      </c>
      <c r="H12" s="13">
        <f t="shared" si="0"/>
        <v>514941.2</v>
      </c>
      <c r="I12" s="90"/>
    </row>
    <row r="13" spans="1:9" x14ac:dyDescent="0.2">
      <c r="A13" s="1" t="s">
        <v>144</v>
      </c>
      <c r="B13" s="6">
        <v>150</v>
      </c>
      <c r="C13" s="73">
        <f>'DOE25'!F14</f>
        <v>9217.98</v>
      </c>
      <c r="D13" s="73">
        <f>'DOE25'!G14</f>
        <v>6902.5</v>
      </c>
      <c r="E13" s="73">
        <f>'DOE25'!H14</f>
        <v>13325.24</v>
      </c>
      <c r="F13" s="73">
        <f>'DOE25'!I14</f>
        <v>0</v>
      </c>
      <c r="G13" s="73">
        <f>'DOE25'!J14</f>
        <v>0</v>
      </c>
      <c r="H13" s="13">
        <f t="shared" si="0"/>
        <v>29445.72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2500</v>
      </c>
      <c r="D16" s="73">
        <f>'DOE25'!G17</f>
        <v>0</v>
      </c>
      <c r="E16" s="73">
        <f>'DOE25'!H17</f>
        <v>0</v>
      </c>
      <c r="F16" s="73">
        <f>'DOE25'!I17</f>
        <v>0</v>
      </c>
      <c r="G16" s="73">
        <f>'DOE25'!J17</f>
        <v>0</v>
      </c>
      <c r="H16" s="13">
        <f t="shared" si="0"/>
        <v>2500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3541441.74</v>
      </c>
      <c r="D18" s="38">
        <f>SUM(D8:D17)</f>
        <v>204208.65000000002</v>
      </c>
      <c r="E18" s="38">
        <f>SUM(E8:E17)</f>
        <v>384771.45</v>
      </c>
      <c r="F18" s="38">
        <f>SUM(F8:F17)</f>
        <v>0</v>
      </c>
      <c r="G18" s="38">
        <f>SUM(G8:G17)</f>
        <v>1003276.75</v>
      </c>
      <c r="H18" s="38">
        <f t="shared" si="0"/>
        <v>5133698.59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265358.07</v>
      </c>
      <c r="F21" s="73">
        <f>'DOE25'!I22</f>
        <v>0</v>
      </c>
      <c r="G21" s="73">
        <f>'DOE25'!J22</f>
        <v>0</v>
      </c>
      <c r="H21" s="13">
        <f t="shared" ref="H21:H31" si="1">SUM(C21:G21)</f>
        <v>265358.07</v>
      </c>
      <c r="I21" s="90"/>
    </row>
    <row r="22" spans="1:9" x14ac:dyDescent="0.2">
      <c r="A22" s="1" t="s">
        <v>151</v>
      </c>
      <c r="B22" s="6">
        <v>410</v>
      </c>
      <c r="C22" s="73">
        <f>'DOE25'!F23</f>
        <v>2676</v>
      </c>
      <c r="D22" s="73">
        <f>'DOE25'!G23</f>
        <v>0</v>
      </c>
      <c r="E22" s="73">
        <f>'DOE25'!H23</f>
        <v>0</v>
      </c>
      <c r="F22" s="73">
        <f>'DOE25'!I23</f>
        <v>0</v>
      </c>
      <c r="G22" s="73">
        <f>'DOE25'!J23</f>
        <v>36345</v>
      </c>
      <c r="H22" s="13">
        <f t="shared" si="1"/>
        <v>39021</v>
      </c>
      <c r="I22" s="90"/>
    </row>
    <row r="23" spans="1:9" x14ac:dyDescent="0.2">
      <c r="A23" s="1" t="s">
        <v>152</v>
      </c>
      <c r="B23" s="6">
        <v>420</v>
      </c>
      <c r="C23" s="73">
        <f>'DOE25'!F24</f>
        <v>222544.1</v>
      </c>
      <c r="D23" s="73">
        <f>'DOE25'!G24</f>
        <v>1111.49</v>
      </c>
      <c r="E23" s="73">
        <f>'DOE25'!H24</f>
        <v>44813.11</v>
      </c>
      <c r="F23" s="73">
        <f>'DOE25'!I24</f>
        <v>0</v>
      </c>
      <c r="G23" s="73">
        <f>'DOE25'!J24</f>
        <v>0</v>
      </c>
      <c r="H23" s="13">
        <f t="shared" si="1"/>
        <v>268468.7</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93281.36</v>
      </c>
      <c r="D27" s="73">
        <f>'DOE25'!G28</f>
        <v>5420.09</v>
      </c>
      <c r="E27" s="73">
        <f>'DOE25'!H28</f>
        <v>0</v>
      </c>
      <c r="F27" s="73">
        <f>'DOE25'!I28</f>
        <v>0</v>
      </c>
      <c r="G27" s="23" t="s">
        <v>288</v>
      </c>
      <c r="H27" s="13">
        <f t="shared" si="1"/>
        <v>98701.45</v>
      </c>
      <c r="I27" s="90"/>
    </row>
    <row r="28" spans="1:9" x14ac:dyDescent="0.2">
      <c r="A28" s="1" t="s">
        <v>157</v>
      </c>
      <c r="B28" s="6">
        <v>470</v>
      </c>
      <c r="C28" s="73">
        <f>'DOE25'!F29</f>
        <v>581637.85</v>
      </c>
      <c r="D28" s="73">
        <f>'DOE25'!G29</f>
        <v>0</v>
      </c>
      <c r="E28" s="73">
        <f>'DOE25'!H29</f>
        <v>9516.74</v>
      </c>
      <c r="F28" s="73">
        <f>'DOE25'!I29</f>
        <v>0</v>
      </c>
      <c r="G28" s="23" t="s">
        <v>288</v>
      </c>
      <c r="H28" s="13">
        <f t="shared" si="1"/>
        <v>591154.59</v>
      </c>
      <c r="I28" s="90"/>
    </row>
    <row r="29" spans="1:9" x14ac:dyDescent="0.2">
      <c r="A29" s="1" t="s">
        <v>158</v>
      </c>
      <c r="B29" s="6">
        <v>480</v>
      </c>
      <c r="C29" s="73">
        <f>'DOE25'!F30</f>
        <v>0</v>
      </c>
      <c r="D29" s="73">
        <f>'DOE25'!G30</f>
        <v>14766.15</v>
      </c>
      <c r="E29" s="73">
        <f>'DOE25'!H30</f>
        <v>65083.53</v>
      </c>
      <c r="F29" s="73">
        <f>'DOE25'!I30</f>
        <v>0</v>
      </c>
      <c r="G29" s="23" t="s">
        <v>288</v>
      </c>
      <c r="H29" s="13">
        <f t="shared" si="1"/>
        <v>79849.679999999993</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900139.31</v>
      </c>
      <c r="D31" s="38">
        <f>SUM(D21:D30)</f>
        <v>21297.73</v>
      </c>
      <c r="E31" s="38">
        <f>SUM(E21:E30)</f>
        <v>384771.44999999995</v>
      </c>
      <c r="F31" s="38">
        <f>SUM(F21:F30)</f>
        <v>0</v>
      </c>
      <c r="G31" s="38">
        <f>SUM(G21:G30)</f>
        <v>36345</v>
      </c>
      <c r="H31" s="38">
        <f t="shared" si="1"/>
        <v>1342553.49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2500</v>
      </c>
      <c r="D35" s="73">
        <f>'DOE25'!G36</f>
        <v>0</v>
      </c>
      <c r="E35" s="73">
        <f>'DOE25'!H36</f>
        <v>0</v>
      </c>
      <c r="F35" s="73">
        <f>'DOE25'!I36</f>
        <v>0</v>
      </c>
      <c r="G35" s="23" t="s">
        <v>288</v>
      </c>
      <c r="H35" s="13">
        <f t="shared" si="2"/>
        <v>2500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293540.74</v>
      </c>
      <c r="D42" s="73">
        <f>'DOE25'!G43</f>
        <v>0</v>
      </c>
      <c r="E42" s="73">
        <f>'DOE25'!H43</f>
        <v>0</v>
      </c>
      <c r="F42" s="73">
        <f>'DOE25'!I43</f>
        <v>0</v>
      </c>
      <c r="G42" s="73">
        <f>'DOE25'!J43</f>
        <v>0</v>
      </c>
      <c r="H42" s="13">
        <f t="shared" si="2"/>
        <v>293540.74</v>
      </c>
      <c r="I42" s="90"/>
    </row>
    <row r="43" spans="1:9" x14ac:dyDescent="0.2">
      <c r="A43" s="1" t="s">
        <v>862</v>
      </c>
      <c r="B43" s="6">
        <v>755</v>
      </c>
      <c r="C43" s="73">
        <f>'DOE25'!F44</f>
        <v>170000</v>
      </c>
      <c r="D43" s="73">
        <f>'DOE25'!G44</f>
        <v>0</v>
      </c>
      <c r="E43" s="73">
        <f>'DOE25'!H44</f>
        <v>0</v>
      </c>
      <c r="F43" s="73">
        <f>'DOE25'!I44</f>
        <v>0</v>
      </c>
      <c r="G43" s="23" t="s">
        <v>288</v>
      </c>
      <c r="H43" s="13">
        <f t="shared" si="2"/>
        <v>170000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800000</v>
      </c>
      <c r="D45" s="23" t="s">
        <v>288</v>
      </c>
      <c r="E45" s="23" t="s">
        <v>288</v>
      </c>
      <c r="F45" s="23" t="s">
        <v>288</v>
      </c>
      <c r="G45" s="23" t="s">
        <v>288</v>
      </c>
      <c r="H45" s="13">
        <f t="shared" si="2"/>
        <v>800000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182910.92</v>
      </c>
      <c r="E47" s="73">
        <f>'DOE25'!H48</f>
        <v>0</v>
      </c>
      <c r="F47" s="73">
        <f>'DOE25'!I48</f>
        <v>0</v>
      </c>
      <c r="G47" s="73">
        <f>'DOE25'!J48</f>
        <v>966931.75</v>
      </c>
      <c r="H47" s="13">
        <f t="shared" si="2"/>
        <v>1149842.67</v>
      </c>
      <c r="I47" s="90"/>
    </row>
    <row r="48" spans="1:9" x14ac:dyDescent="0.2">
      <c r="A48" s="1" t="s">
        <v>881</v>
      </c>
      <c r="B48" s="6">
        <v>753</v>
      </c>
      <c r="C48" s="73">
        <f>'DOE25'!F49</f>
        <v>1870.14</v>
      </c>
      <c r="D48" s="73">
        <f>'DOE25'!G49</f>
        <v>0</v>
      </c>
      <c r="E48" s="73">
        <f>'DOE25'!H49</f>
        <v>0</v>
      </c>
      <c r="F48" s="73">
        <f>'DOE25'!I49</f>
        <v>0</v>
      </c>
      <c r="G48" s="73">
        <f>'DOE25'!J49</f>
        <v>0</v>
      </c>
      <c r="H48" s="13">
        <f t="shared" si="2"/>
        <v>1870.14</v>
      </c>
      <c r="I48" s="90"/>
    </row>
    <row r="49" spans="1:9" ht="12" thickBot="1" x14ac:dyDescent="0.25">
      <c r="A49" s="28" t="s">
        <v>882</v>
      </c>
      <c r="B49" s="56">
        <v>770</v>
      </c>
      <c r="C49" s="73">
        <f>'DOE25'!F50</f>
        <v>1373391.55</v>
      </c>
      <c r="D49" s="23" t="s">
        <v>288</v>
      </c>
      <c r="E49" s="23" t="s">
        <v>288</v>
      </c>
      <c r="F49" s="23" t="s">
        <v>288</v>
      </c>
      <c r="G49" s="23" t="s">
        <v>288</v>
      </c>
      <c r="H49" s="13">
        <f t="shared" si="2"/>
        <v>1373391.55</v>
      </c>
      <c r="I49" s="90"/>
    </row>
    <row r="50" spans="1:9" ht="12.75" thickTop="1" thickBot="1" x14ac:dyDescent="0.25">
      <c r="A50" s="35" t="s">
        <v>883</v>
      </c>
      <c r="B50" s="44"/>
      <c r="C50" s="38">
        <f>SUM(C34:C49)</f>
        <v>2641302.4299999997</v>
      </c>
      <c r="D50" s="38">
        <f>SUM(D34:D49)</f>
        <v>182910.92</v>
      </c>
      <c r="E50" s="38">
        <f>SUM(E34:E49)</f>
        <v>0</v>
      </c>
      <c r="F50" s="38">
        <f>SUM(F34:F49)</f>
        <v>0</v>
      </c>
      <c r="G50" s="38">
        <f>SUM(G34:G49)</f>
        <v>966931.75</v>
      </c>
      <c r="H50" s="38">
        <f t="shared" si="2"/>
        <v>3791145.0999999996</v>
      </c>
      <c r="I50" s="90"/>
    </row>
    <row r="51" spans="1:9" ht="12" thickTop="1" x14ac:dyDescent="0.2">
      <c r="A51" s="35" t="s">
        <v>884</v>
      </c>
      <c r="B51" s="2"/>
      <c r="C51" s="38">
        <f>C50+C31</f>
        <v>3541441.7399999998</v>
      </c>
      <c r="D51" s="38">
        <f>D50+D31</f>
        <v>204208.65000000002</v>
      </c>
      <c r="E51" s="38">
        <f>E50+E31</f>
        <v>384771.44999999995</v>
      </c>
      <c r="F51" s="38">
        <f>F50+F31</f>
        <v>0</v>
      </c>
      <c r="G51" s="38">
        <f>G50+G31</f>
        <v>1003276.75</v>
      </c>
      <c r="H51" s="38">
        <f t="shared" si="2"/>
        <v>5133698.59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16688973</v>
      </c>
      <c r="D56" s="73">
        <f>'DOE25'!G60</f>
        <v>0</v>
      </c>
      <c r="E56" s="73">
        <f>'DOE25'!H60</f>
        <v>0</v>
      </c>
      <c r="F56" s="73">
        <f>'DOE25'!I60</f>
        <v>0</v>
      </c>
      <c r="G56" s="73">
        <f>'DOE25'!J60</f>
        <v>0</v>
      </c>
      <c r="H56" s="13">
        <f t="shared" ref="H56:H63" si="3">SUM(C56:G56)</f>
        <v>16688973</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51558.13</v>
      </c>
      <c r="D59" s="73">
        <f>'DOE25'!G96</f>
        <v>0</v>
      </c>
      <c r="E59" s="73">
        <f>'DOE25'!H96</f>
        <v>0</v>
      </c>
      <c r="F59" s="73">
        <f>'DOE25'!I96</f>
        <v>0</v>
      </c>
      <c r="G59" s="73">
        <f>'DOE25'!J96</f>
        <v>29847.33</v>
      </c>
      <c r="H59" s="13">
        <f t="shared" si="3"/>
        <v>81405.459999999992</v>
      </c>
      <c r="I59"/>
    </row>
    <row r="60" spans="1:9" x14ac:dyDescent="0.2">
      <c r="A60" s="1" t="s">
        <v>170</v>
      </c>
      <c r="B60" s="22" t="s">
        <v>171</v>
      </c>
      <c r="C60" s="23" t="s">
        <v>288</v>
      </c>
      <c r="D60" s="73">
        <f>'DOE25'!G97</f>
        <v>275505.33</v>
      </c>
      <c r="E60" s="23" t="s">
        <v>288</v>
      </c>
      <c r="F60" s="23" t="s">
        <v>288</v>
      </c>
      <c r="G60" s="23" t="s">
        <v>288</v>
      </c>
      <c r="H60" s="13">
        <f t="shared" si="3"/>
        <v>275505.33</v>
      </c>
      <c r="I60"/>
    </row>
    <row r="61" spans="1:9" ht="12" thickBot="1" x14ac:dyDescent="0.25">
      <c r="A61" s="1" t="s">
        <v>172</v>
      </c>
      <c r="B61" s="22" t="s">
        <v>173</v>
      </c>
      <c r="C61" s="73">
        <f>SUM('DOE25'!F98:F110)</f>
        <v>253066.74</v>
      </c>
      <c r="D61" s="73">
        <f>SUM('DOE25'!G98:G110)</f>
        <v>2263.48</v>
      </c>
      <c r="E61" s="73">
        <f>SUM('DOE25'!H98:H110)</f>
        <v>92458.59</v>
      </c>
      <c r="F61" s="73">
        <f>SUM('DOE25'!I98:I110)</f>
        <v>0</v>
      </c>
      <c r="G61" s="73">
        <f>SUM('DOE25'!J98:J110)</f>
        <v>281594.68</v>
      </c>
      <c r="H61" s="13">
        <f t="shared" si="3"/>
        <v>629383.49</v>
      </c>
      <c r="I61"/>
    </row>
    <row r="62" spans="1:9" ht="12.75" thickTop="1" thickBot="1" x14ac:dyDescent="0.25">
      <c r="A62" s="28" t="s">
        <v>174</v>
      </c>
      <c r="B62" s="6"/>
      <c r="C62" s="93">
        <f>SUM(C57:C61)</f>
        <v>304624.87</v>
      </c>
      <c r="D62" s="93">
        <f>SUM(D57:D61)</f>
        <v>277768.81</v>
      </c>
      <c r="E62" s="93">
        <f>SUM(E57:E61)</f>
        <v>92458.59</v>
      </c>
      <c r="F62" s="93">
        <f>SUM(F57:F61)</f>
        <v>0</v>
      </c>
      <c r="G62" s="93">
        <f>SUM(G57:G61)</f>
        <v>311442.01</v>
      </c>
      <c r="H62" s="13">
        <f t="shared" si="3"/>
        <v>986294.27999999991</v>
      </c>
      <c r="I62"/>
    </row>
    <row r="63" spans="1:9" ht="12" thickTop="1" x14ac:dyDescent="0.2">
      <c r="A63" s="28" t="s">
        <v>175</v>
      </c>
      <c r="B63" s="6"/>
      <c r="C63" s="21">
        <f>C56+C62</f>
        <v>16993597.870000001</v>
      </c>
      <c r="D63" s="21">
        <f>D56+D62</f>
        <v>277768.81</v>
      </c>
      <c r="E63" s="21">
        <f>E56+E62</f>
        <v>92458.59</v>
      </c>
      <c r="F63" s="21">
        <f>F56+F62</f>
        <v>0</v>
      </c>
      <c r="G63" s="21">
        <f>G56+G62</f>
        <v>311442.01</v>
      </c>
      <c r="H63" s="13">
        <f t="shared" si="3"/>
        <v>17675267.280000001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5739778.6799999997</v>
      </c>
      <c r="D66" s="23" t="s">
        <v>288</v>
      </c>
      <c r="E66" s="23" t="s">
        <v>288</v>
      </c>
      <c r="F66" s="23" t="s">
        <v>288</v>
      </c>
      <c r="G66" s="23" t="s">
        <v>288</v>
      </c>
      <c r="H66" s="13">
        <f t="shared" ref="H66:H81" si="4">SUM(C66:G66)</f>
        <v>5739778.6799999997</v>
      </c>
      <c r="I66"/>
    </row>
    <row r="67" spans="1:9" x14ac:dyDescent="0.2">
      <c r="A67" s="1" t="s">
        <v>770</v>
      </c>
      <c r="B67" s="6">
        <v>3112</v>
      </c>
      <c r="C67" s="73">
        <f>'DOE25'!F118</f>
        <v>1448137</v>
      </c>
      <c r="D67" s="23"/>
      <c r="E67" s="23"/>
      <c r="F67" s="23"/>
      <c r="G67" s="23"/>
      <c r="H67" s="13">
        <f t="shared" si="4"/>
        <v>1448137</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150911.88</v>
      </c>
      <c r="D69" s="73">
        <f>'DOE25'!G120</f>
        <v>0</v>
      </c>
      <c r="E69" s="73">
        <f>'DOE25'!H120</f>
        <v>0</v>
      </c>
      <c r="F69" s="73">
        <f>'DOE25'!I120</f>
        <v>0</v>
      </c>
      <c r="G69" s="73">
        <f>'DOE25'!J120</f>
        <v>0</v>
      </c>
      <c r="H69" s="13">
        <f t="shared" si="4"/>
        <v>150911.88</v>
      </c>
      <c r="I69"/>
    </row>
    <row r="70" spans="1:9" ht="12" thickTop="1" x14ac:dyDescent="0.2">
      <c r="A70" s="28" t="s">
        <v>252</v>
      </c>
      <c r="B70" s="2"/>
      <c r="C70" s="97">
        <f>SUM(C66:C69)</f>
        <v>7338827.5599999996</v>
      </c>
      <c r="D70" s="97">
        <f>D69</f>
        <v>0</v>
      </c>
      <c r="E70" s="97">
        <f>E69</f>
        <v>0</v>
      </c>
      <c r="F70" s="97">
        <f>F69</f>
        <v>0</v>
      </c>
      <c r="G70" s="97">
        <f>G69</f>
        <v>0</v>
      </c>
      <c r="H70" s="13">
        <f t="shared" si="4"/>
        <v>7338827.5599999996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140157.13</v>
      </c>
      <c r="D75" s="23" t="s">
        <v>288</v>
      </c>
      <c r="E75" s="23" t="s">
        <v>288</v>
      </c>
      <c r="F75" s="23" t="s">
        <v>288</v>
      </c>
      <c r="G75" s="23" t="s">
        <v>288</v>
      </c>
      <c r="H75" s="13">
        <f t="shared" si="4"/>
        <v>140157.13</v>
      </c>
      <c r="I75"/>
    </row>
    <row r="76" spans="1:9" x14ac:dyDescent="0.2">
      <c r="A76" s="1" t="s">
        <v>257</v>
      </c>
      <c r="B76" s="6" t="s">
        <v>179</v>
      </c>
      <c r="C76" s="73">
        <f>SUM('DOE25'!F127:F130)</f>
        <v>8773.6</v>
      </c>
      <c r="D76" s="23" t="s">
        <v>288</v>
      </c>
      <c r="E76" s="73">
        <f>SUM('DOE25'!H127:H130)</f>
        <v>12743.71</v>
      </c>
      <c r="F76" s="73">
        <f>SUM('DOE25'!I127:I130)</f>
        <v>0</v>
      </c>
      <c r="G76" s="23" t="s">
        <v>288</v>
      </c>
      <c r="H76" s="13">
        <f t="shared" si="4"/>
        <v>21517.309999999998</v>
      </c>
      <c r="I76"/>
    </row>
    <row r="77" spans="1:9" ht="12" thickBot="1" x14ac:dyDescent="0.25">
      <c r="A77" s="1" t="s">
        <v>258</v>
      </c>
      <c r="B77" s="6" t="s">
        <v>180</v>
      </c>
      <c r="C77" s="73">
        <f>SUM('DOE25'!F131:F135)</f>
        <v>0</v>
      </c>
      <c r="D77" s="73">
        <f>SUM('DOE25'!G131:G135)</f>
        <v>51697.74</v>
      </c>
      <c r="E77" s="73">
        <f>SUM('DOE25'!H131:H135)</f>
        <v>0</v>
      </c>
      <c r="F77" s="73">
        <f>SUM('DOE25'!I131:I135)</f>
        <v>0</v>
      </c>
      <c r="G77" s="73">
        <f>SUM('DOE25'!J131:J135)</f>
        <v>0</v>
      </c>
      <c r="H77" s="13">
        <f t="shared" si="4"/>
        <v>51697.74</v>
      </c>
      <c r="I77"/>
    </row>
    <row r="78" spans="1:9" ht="12.75" thickTop="1" thickBot="1" x14ac:dyDescent="0.25">
      <c r="A78" s="28" t="s">
        <v>259</v>
      </c>
      <c r="B78" s="6"/>
      <c r="C78" s="93">
        <f>SUM(C72:C77)</f>
        <v>148930.73000000001</v>
      </c>
      <c r="D78" s="93">
        <f>SUM(D72:D77)</f>
        <v>51697.74</v>
      </c>
      <c r="E78" s="93">
        <f>SUM(E72:E77)</f>
        <v>12743.71</v>
      </c>
      <c r="F78" s="93">
        <f>SUM(F72:F77)</f>
        <v>0</v>
      </c>
      <c r="G78" s="93">
        <f>SUM(G72:G77)</f>
        <v>0</v>
      </c>
      <c r="H78" s="13">
        <f t="shared" si="4"/>
        <v>213372.18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7487758.29</v>
      </c>
      <c r="D81" s="93">
        <f>SUM(D79:D80)+D78+D70</f>
        <v>51697.74</v>
      </c>
      <c r="E81" s="93">
        <f>SUM(E79:E80)+E78+E70</f>
        <v>12743.71</v>
      </c>
      <c r="F81" s="93">
        <f>SUM(F79:F80)+F78+F70</f>
        <v>0</v>
      </c>
      <c r="G81" s="93">
        <f>SUM(G79:G80)+G78+G70</f>
        <v>0</v>
      </c>
      <c r="H81" s="93">
        <f t="shared" si="4"/>
        <v>7552199.7400000002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242807.84</v>
      </c>
      <c r="D88" s="253">
        <f>SUM('DOE25'!G153:G162)</f>
        <v>309070.7</v>
      </c>
      <c r="E88" s="253">
        <f>SUM('DOE25'!H153:H162)</f>
        <v>2895353.88</v>
      </c>
      <c r="F88" s="253">
        <f>SUM('DOE25'!I153:I162)</f>
        <v>0</v>
      </c>
      <c r="G88" s="23" t="s">
        <v>288</v>
      </c>
      <c r="H88" s="13">
        <f t="shared" si="5"/>
        <v>3447232.42</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242807.84</v>
      </c>
      <c r="D91" s="94">
        <f>SUM(D85:D90)</f>
        <v>309070.7</v>
      </c>
      <c r="E91" s="94">
        <f>SUM(E85:E90)</f>
        <v>2895353.88</v>
      </c>
      <c r="F91" s="94">
        <f>SUM(F85:F90)</f>
        <v>0</v>
      </c>
      <c r="G91" s="23" t="s">
        <v>288</v>
      </c>
      <c r="H91" s="13">
        <f t="shared" si="5"/>
        <v>3447232.42</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74721.62</v>
      </c>
      <c r="E96" s="73">
        <f>'DOE25'!H180</f>
        <v>0</v>
      </c>
      <c r="F96" s="73">
        <f>'DOE25'!I180</f>
        <v>0</v>
      </c>
      <c r="G96" s="73">
        <f>'DOE25'!J180</f>
        <v>120000</v>
      </c>
      <c r="H96" s="13">
        <f t="shared" si="5"/>
        <v>194721.62</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209120</v>
      </c>
      <c r="D100" s="73">
        <f>SUM('DOE25'!G187:G188)</f>
        <v>0</v>
      </c>
      <c r="E100" s="73">
        <f>SUM('DOE25'!H187:H188)</f>
        <v>0</v>
      </c>
      <c r="F100" s="73">
        <f>SUM('DOE25'!I187:I188)</f>
        <v>0</v>
      </c>
      <c r="G100" s="23" t="s">
        <v>288</v>
      </c>
      <c r="H100" s="13">
        <f t="shared" si="5"/>
        <v>209120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209120</v>
      </c>
      <c r="D103" s="68">
        <f>SUM(D93:D102)</f>
        <v>74721.62</v>
      </c>
      <c r="E103" s="68">
        <f>SUM(E93:E102)</f>
        <v>0</v>
      </c>
      <c r="F103" s="68">
        <f>SUM(F93:F102)</f>
        <v>0</v>
      </c>
      <c r="G103" s="68">
        <f>SUM(G93:G102)</f>
        <v>120000</v>
      </c>
      <c r="H103" s="68">
        <f t="shared" si="5"/>
        <v>403841.62</v>
      </c>
    </row>
    <row r="104" spans="1:8" ht="12.75" thickTop="1" thickBot="1" x14ac:dyDescent="0.25">
      <c r="A104" s="32" t="s">
        <v>761</v>
      </c>
      <c r="C104" s="68">
        <f>C63+C81+C91+C103</f>
        <v>24933284</v>
      </c>
      <c r="D104" s="68">
        <f>D63+D81+D91+D103</f>
        <v>713258.87</v>
      </c>
      <c r="E104" s="68">
        <f>E63+E81+E91+E103</f>
        <v>3000556.1799999997</v>
      </c>
      <c r="F104" s="68">
        <f>F63+F81+F91+F103</f>
        <v>0</v>
      </c>
      <c r="G104" s="68">
        <f>G63+G81+G103</f>
        <v>431442.01</v>
      </c>
      <c r="H104" s="68">
        <f t="shared" si="5"/>
        <v>29078541.060000002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9206747.0099999998</v>
      </c>
      <c r="D109" s="23" t="s">
        <v>288</v>
      </c>
      <c r="E109" s="73">
        <f>('DOE25'!L277)+('DOE25'!L296)+('DOE25'!L315)</f>
        <v>550303</v>
      </c>
      <c r="F109" s="23" t="s">
        <v>288</v>
      </c>
      <c r="G109" s="23" t="s">
        <v>288</v>
      </c>
      <c r="H109" s="13">
        <f t="shared" ref="H109:H115" si="6">SUM(C109:G109)</f>
        <v>9757050.0099999998</v>
      </c>
    </row>
    <row r="110" spans="1:8" x14ac:dyDescent="0.2">
      <c r="A110" t="s">
        <v>198</v>
      </c>
      <c r="B110" s="31" t="s">
        <v>199</v>
      </c>
      <c r="C110" s="73">
        <f>('DOE25'!L199)+('DOE25'!L217)+('DOE25'!L235)</f>
        <v>4048760.33</v>
      </c>
      <c r="D110" s="23" t="s">
        <v>288</v>
      </c>
      <c r="E110" s="73">
        <f>('DOE25'!L278)+('DOE25'!L297)+('DOE25'!L316)</f>
        <v>344247.06000000006</v>
      </c>
      <c r="F110" s="23" t="s">
        <v>288</v>
      </c>
      <c r="G110" s="23" t="s">
        <v>288</v>
      </c>
      <c r="H110" s="13">
        <f t="shared" si="6"/>
        <v>4393007.3900000006</v>
      </c>
    </row>
    <row r="111" spans="1:8" x14ac:dyDescent="0.2">
      <c r="A111" t="s">
        <v>200</v>
      </c>
      <c r="B111" s="31" t="s">
        <v>165</v>
      </c>
      <c r="C111" s="73">
        <f>('DOE25'!L200)+('DOE25'!L218)+('DOE25'!L236)</f>
        <v>169388.34999999998</v>
      </c>
      <c r="D111" s="23" t="s">
        <v>288</v>
      </c>
      <c r="E111" s="73">
        <f>('DOE25'!L279)+('DOE25'!L298)+('DOE25'!L317)</f>
        <v>0</v>
      </c>
      <c r="F111" s="23" t="s">
        <v>288</v>
      </c>
      <c r="G111" s="23" t="s">
        <v>288</v>
      </c>
      <c r="H111" s="13">
        <f t="shared" si="6"/>
        <v>169388.34999999998</v>
      </c>
    </row>
    <row r="112" spans="1:8" x14ac:dyDescent="0.2">
      <c r="A112" t="s">
        <v>201</v>
      </c>
      <c r="B112" s="31" t="s">
        <v>167</v>
      </c>
      <c r="C112" s="73">
        <f>('DOE25'!L201)+('DOE25'!L219)+('DOE25'!L237)</f>
        <v>503884.56</v>
      </c>
      <c r="D112" s="23" t="s">
        <v>288</v>
      </c>
      <c r="E112" s="73">
        <f>+('DOE25'!L280)+('DOE25'!L299)+('DOE25'!L318)</f>
        <v>65830.61</v>
      </c>
      <c r="F112" s="23" t="s">
        <v>288</v>
      </c>
      <c r="G112" s="23" t="s">
        <v>288</v>
      </c>
      <c r="H112" s="13">
        <f t="shared" si="6"/>
        <v>569715.17000000004</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13928780.25</v>
      </c>
      <c r="D115" s="68">
        <f>SUM(D109:D114)</f>
        <v>0</v>
      </c>
      <c r="E115" s="68">
        <f>SUM(E109:E114)</f>
        <v>960380.67</v>
      </c>
      <c r="F115" s="68">
        <f>SUM(F109:F114)</f>
        <v>0</v>
      </c>
      <c r="G115" s="68">
        <f>SUM(G109:G114)</f>
        <v>0</v>
      </c>
      <c r="H115" s="68">
        <f t="shared" si="6"/>
        <v>14889160.92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3153909.5599999996</v>
      </c>
      <c r="D118" s="23" t="s">
        <v>288</v>
      </c>
      <c r="E118" s="73">
        <f>+('DOE25'!L282)+('DOE25'!L301)+('DOE25'!L320)</f>
        <v>2560.92</v>
      </c>
      <c r="F118" s="23" t="s">
        <v>288</v>
      </c>
      <c r="G118" s="23" t="s">
        <v>288</v>
      </c>
      <c r="H118" s="13">
        <f t="shared" ref="H118:H145" si="7">SUM(C118:G118)</f>
        <v>3156470.4799999995</v>
      </c>
    </row>
    <row r="119" spans="1:8" x14ac:dyDescent="0.2">
      <c r="A119" t="s">
        <v>208</v>
      </c>
      <c r="B119" s="31" t="s">
        <v>209</v>
      </c>
      <c r="C119" s="73">
        <f>('DOE25'!L204)+('DOE25'!L222)+('DOE25'!L240)</f>
        <v>1163169.27</v>
      </c>
      <c r="D119" s="23" t="s">
        <v>288</v>
      </c>
      <c r="E119" s="73">
        <f>+('DOE25'!L283)+('DOE25'!L302)+('DOE25'!L321)</f>
        <v>397929.56000000006</v>
      </c>
      <c r="F119" s="23" t="s">
        <v>288</v>
      </c>
      <c r="G119" s="23" t="s">
        <v>288</v>
      </c>
      <c r="H119" s="13">
        <f t="shared" si="7"/>
        <v>1561098.83</v>
      </c>
    </row>
    <row r="120" spans="1:8" x14ac:dyDescent="0.2">
      <c r="A120" t="s">
        <v>210</v>
      </c>
      <c r="B120" s="31" t="s">
        <v>211</v>
      </c>
      <c r="C120" s="73">
        <f>('DOE25'!L205)+('DOE25'!L223)+('DOE25'!L241)</f>
        <v>406788.13</v>
      </c>
      <c r="D120" s="23" t="s">
        <v>288</v>
      </c>
      <c r="E120" s="73">
        <f>+('DOE25'!L284)+('DOE25'!L303)+('DOE25'!L322)</f>
        <v>0</v>
      </c>
      <c r="F120" s="23" t="s">
        <v>288</v>
      </c>
      <c r="G120" s="23" t="s">
        <v>288</v>
      </c>
      <c r="H120" s="13">
        <f t="shared" si="7"/>
        <v>406788.13</v>
      </c>
    </row>
    <row r="121" spans="1:8" x14ac:dyDescent="0.2">
      <c r="A121" t="s">
        <v>212</v>
      </c>
      <c r="B121" s="31" t="s">
        <v>213</v>
      </c>
      <c r="C121" s="73">
        <f>('DOE25'!L206)+('DOE25'!L224)+('DOE25'!L242)</f>
        <v>1452700.87</v>
      </c>
      <c r="D121" s="23" t="s">
        <v>288</v>
      </c>
      <c r="E121" s="73">
        <f>+('DOE25'!L285)+('DOE25'!L304)+('DOE25'!L323)</f>
        <v>0</v>
      </c>
      <c r="F121" s="23" t="s">
        <v>288</v>
      </c>
      <c r="G121" s="23" t="s">
        <v>288</v>
      </c>
      <c r="H121" s="13">
        <f t="shared" si="7"/>
        <v>1452700.87</v>
      </c>
    </row>
    <row r="122" spans="1:8" x14ac:dyDescent="0.2">
      <c r="A122" t="s">
        <v>214</v>
      </c>
      <c r="B122" s="31" t="s">
        <v>215</v>
      </c>
      <c r="C122" s="73">
        <f>('DOE25'!L207)+('DOE25'!L225)+('DOE25'!L243)</f>
        <v>430205.97</v>
      </c>
      <c r="D122" s="23" t="s">
        <v>288</v>
      </c>
      <c r="E122" s="73">
        <f>+('DOE25'!L286)+('DOE25'!L305)+('DOE25'!L324)</f>
        <v>0</v>
      </c>
      <c r="F122" s="23" t="s">
        <v>288</v>
      </c>
      <c r="G122" s="23" t="s">
        <v>288</v>
      </c>
      <c r="H122" s="13">
        <f t="shared" si="7"/>
        <v>430205.97</v>
      </c>
    </row>
    <row r="123" spans="1:8" x14ac:dyDescent="0.2">
      <c r="A123" t="s">
        <v>216</v>
      </c>
      <c r="B123" s="31" t="s">
        <v>217</v>
      </c>
      <c r="C123" s="73">
        <f>('DOE25'!L208)+('DOE25'!L226)+('DOE25'!L244)</f>
        <v>1973457.7999999998</v>
      </c>
      <c r="D123" s="23" t="s">
        <v>288</v>
      </c>
      <c r="E123" s="73">
        <f>+('DOE25'!L287)+('DOE25'!L306)+('DOE25'!L325)</f>
        <v>194471.01</v>
      </c>
      <c r="F123" s="23" t="s">
        <v>288</v>
      </c>
      <c r="G123" s="23" t="s">
        <v>288</v>
      </c>
      <c r="H123" s="13">
        <f t="shared" si="7"/>
        <v>2167928.8099999996</v>
      </c>
    </row>
    <row r="124" spans="1:8" x14ac:dyDescent="0.2">
      <c r="A124" t="s">
        <v>218</v>
      </c>
      <c r="B124" s="31" t="s">
        <v>219</v>
      </c>
      <c r="C124" s="73">
        <f>('DOE25'!L209)+('DOE25'!L227)+('DOE25'!L245+'DOE25'!L255)</f>
        <v>1162081.52</v>
      </c>
      <c r="D124" s="23" t="s">
        <v>288</v>
      </c>
      <c r="E124" s="73">
        <f>+('DOE25'!L288)+('DOE25'!L307)+('DOE25'!L326)</f>
        <v>51605.1</v>
      </c>
      <c r="F124" s="23" t="s">
        <v>288</v>
      </c>
      <c r="G124" s="23" t="s">
        <v>288</v>
      </c>
      <c r="H124" s="13">
        <f t="shared" si="7"/>
        <v>1213686.6200000001</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678815.93</v>
      </c>
      <c r="E127" s="23" t="s">
        <v>288</v>
      </c>
      <c r="F127" s="23" t="s">
        <v>288</v>
      </c>
      <c r="G127" s="23" t="s">
        <v>288</v>
      </c>
      <c r="H127" s="13">
        <f t="shared" si="7"/>
        <v>678815.93</v>
      </c>
    </row>
    <row r="128" spans="1:8" ht="12.75" thickTop="1" thickBot="1" x14ac:dyDescent="0.25">
      <c r="A128" s="32" t="s">
        <v>226</v>
      </c>
      <c r="C128" s="68">
        <f>SUM(C118:C127)</f>
        <v>9742313.1199999992</v>
      </c>
      <c r="D128" s="68">
        <f>SUM(D118:D127)</f>
        <v>678815.93</v>
      </c>
      <c r="E128" s="68">
        <f>SUM(E118:E127)</f>
        <v>646566.59</v>
      </c>
      <c r="F128" s="68">
        <f>SUM(F118:F127)</f>
        <v>0</v>
      </c>
      <c r="G128" s="68">
        <f>SUM(G118:G127)</f>
        <v>0</v>
      </c>
      <c r="H128" s="68">
        <f t="shared" si="7"/>
        <v>11067695.639999999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652435.11</v>
      </c>
      <c r="D130" s="23" t="s">
        <v>288</v>
      </c>
      <c r="E130" s="92">
        <f>'DOE25'!L337</f>
        <v>1393608.92</v>
      </c>
      <c r="F130" s="92">
        <f>SUM('DOE25'!L375:'DOE25'!L381)</f>
        <v>0</v>
      </c>
      <c r="G130" s="23" t="s">
        <v>288</v>
      </c>
      <c r="H130" s="13">
        <f t="shared" si="7"/>
        <v>2046044.0299999998</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2127.6799999999998</v>
      </c>
      <c r="H134" s="13">
        <f t="shared" si="7"/>
        <v>2127.6799999999998</v>
      </c>
    </row>
    <row r="135" spans="1:8" x14ac:dyDescent="0.2">
      <c r="A135" t="s">
        <v>233</v>
      </c>
      <c r="B135" s="31" t="s">
        <v>234</v>
      </c>
      <c r="C135" s="73">
        <f>'DOE25'!L264</f>
        <v>74721.62</v>
      </c>
      <c r="D135" s="23" t="s">
        <v>288</v>
      </c>
      <c r="E135" s="92">
        <f>'DOE25'!L346</f>
        <v>0</v>
      </c>
      <c r="F135" s="23" t="s">
        <v>288</v>
      </c>
      <c r="G135" s="23" t="s">
        <v>288</v>
      </c>
      <c r="H135" s="13">
        <f t="shared" si="7"/>
        <v>74721.62</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1046.46</v>
      </c>
      <c r="D138" s="23" t="s">
        <v>288</v>
      </c>
      <c r="E138" s="23" t="s">
        <v>288</v>
      </c>
      <c r="F138" s="23" t="s">
        <v>288</v>
      </c>
      <c r="G138" s="23" t="s">
        <v>288</v>
      </c>
      <c r="H138" s="13">
        <f t="shared" si="7"/>
        <v>1046.46</v>
      </c>
    </row>
    <row r="139" spans="1:8" x14ac:dyDescent="0.2">
      <c r="A139" t="s">
        <v>239</v>
      </c>
      <c r="B139" s="31">
        <v>5252</v>
      </c>
      <c r="C139" s="73">
        <f>'DOE25'!L402</f>
        <v>430395.55</v>
      </c>
      <c r="D139" s="23" t="s">
        <v>288</v>
      </c>
      <c r="E139" s="23" t="s">
        <v>288</v>
      </c>
      <c r="F139" s="23" t="s">
        <v>288</v>
      </c>
      <c r="G139" s="23" t="s">
        <v>288</v>
      </c>
      <c r="H139" s="13">
        <f t="shared" si="7"/>
        <v>430395.55</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-311442.01</v>
      </c>
      <c r="D141" s="23" t="s">
        <v>288</v>
      </c>
      <c r="E141" s="23" t="s">
        <v>288</v>
      </c>
      <c r="F141" s="23" t="s">
        <v>288</v>
      </c>
      <c r="G141" s="23" t="s">
        <v>288</v>
      </c>
      <c r="H141" s="13">
        <f t="shared" si="7"/>
        <v>-311442.01</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847156.73</v>
      </c>
      <c r="D144" s="98">
        <f>SUM(D130:D143)</f>
        <v>0</v>
      </c>
      <c r="E144" s="98">
        <f>SUM(E130:E143)</f>
        <v>1393608.92</v>
      </c>
      <c r="F144" s="98">
        <f>SUM(F130:F143)</f>
        <v>0</v>
      </c>
      <c r="G144" s="98">
        <f>SUM(G130:G143)</f>
        <v>2127.6799999999998</v>
      </c>
      <c r="H144" s="98">
        <f t="shared" si="7"/>
        <v>2242893.33</v>
      </c>
    </row>
    <row r="145" spans="1:9" ht="12.75" thickTop="1" thickBot="1" x14ac:dyDescent="0.25">
      <c r="A145" s="32" t="s">
        <v>244</v>
      </c>
      <c r="C145" s="68">
        <f>(C115+C128+C144)</f>
        <v>24518250.099999998</v>
      </c>
      <c r="D145" s="68">
        <f>(D115+D128+D144)</f>
        <v>678815.93</v>
      </c>
      <c r="E145" s="68">
        <f>(E115+E128+E144)</f>
        <v>3000556.1799999997</v>
      </c>
      <c r="F145" s="68">
        <f>(F115+F128+F144)</f>
        <v>0</v>
      </c>
      <c r="G145" s="68">
        <f>(G115+G128+G144)</f>
        <v>2127.6799999999998</v>
      </c>
      <c r="H145" s="68">
        <f t="shared" si="7"/>
        <v>28199749.889999997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16"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Shaker Regional</v>
      </c>
    </row>
    <row r="3" spans="1:4" x14ac:dyDescent="0.2">
      <c r="B3" s="137" t="s">
        <v>1799</v>
      </c>
    </row>
    <row r="4" spans="1:4" x14ac:dyDescent="0.2">
      <c r="B4" t="s">
        <v>61</v>
      </c>
      <c r="C4" s="129">
        <f>IF('DOE25'!F666+'DOE25'!F671=0,0,ROUND('DOE25'!F673,0))</f>
        <v>20674</v>
      </c>
    </row>
    <row r="5" spans="1:4" x14ac:dyDescent="0.2">
      <c r="B5" t="s">
        <v>700</v>
      </c>
      <c r="C5" s="129">
        <f>IF('DOE25'!G666+'DOE25'!G671=0,0,ROUND('DOE25'!G673,0))</f>
        <v>21467</v>
      </c>
    </row>
    <row r="6" spans="1:4" x14ac:dyDescent="0.2">
      <c r="B6" t="s">
        <v>62</v>
      </c>
      <c r="C6" s="129">
        <f>IF('DOE25'!H666+'DOE25'!H671=0,0,ROUND('DOE25'!H673,0))</f>
        <v>19515</v>
      </c>
    </row>
    <row r="7" spans="1:4" x14ac:dyDescent="0.2">
      <c r="B7" t="s">
        <v>701</v>
      </c>
      <c r="C7" s="129">
        <f>IF('DOE25'!I666+'DOE25'!I671=0,0,ROUND('DOE25'!I673,0))</f>
        <v>20561</v>
      </c>
    </row>
    <row r="9" spans="1:4" x14ac:dyDescent="0.2">
      <c r="A9" s="136" t="s">
        <v>94</v>
      </c>
      <c r="B9" s="137" t="s">
        <v>1800</v>
      </c>
      <c r="C9" s="131" t="s">
        <v>720</v>
      </c>
      <c r="D9" s="131" t="s">
        <v>721</v>
      </c>
    </row>
    <row r="10" spans="1:4" x14ac:dyDescent="0.2">
      <c r="A10">
        <v>1100</v>
      </c>
      <c r="B10" t="s">
        <v>702</v>
      </c>
      <c r="C10" s="129">
        <f>ROUND('DOE25'!L198+'DOE25'!L216+'DOE25'!L234+'DOE25'!L277+'DOE25'!L296+'DOE25'!L315,0)</f>
        <v>9757050</v>
      </c>
      <c r="D10" s="132">
        <f>ROUND((C10/$C$28)*100,1)</f>
        <v>38</v>
      </c>
    </row>
    <row r="11" spans="1:4" x14ac:dyDescent="0.2">
      <c r="A11">
        <v>1200</v>
      </c>
      <c r="B11" t="s">
        <v>703</v>
      </c>
      <c r="C11" s="129">
        <f>ROUND('DOE25'!L199+'DOE25'!L217+'DOE25'!L235+'DOE25'!L278+'DOE25'!L297+'DOE25'!L316,0)</f>
        <v>4393007</v>
      </c>
      <c r="D11" s="132">
        <f>ROUND((C11/$C$28)*100,1)</f>
        <v>17.100000000000001</v>
      </c>
    </row>
    <row r="12" spans="1:4" x14ac:dyDescent="0.2">
      <c r="A12">
        <v>1300</v>
      </c>
      <c r="B12" t="s">
        <v>704</v>
      </c>
      <c r="C12" s="129">
        <f>ROUND('DOE25'!L200+'DOE25'!L218+'DOE25'!L236+'DOE25'!L279+'DOE25'!L298+'DOE25'!L317,0)</f>
        <v>169388</v>
      </c>
      <c r="D12" s="132">
        <f>ROUND((C12/$C$28)*100,1)</f>
        <v>0.7</v>
      </c>
    </row>
    <row r="13" spans="1:4" x14ac:dyDescent="0.2">
      <c r="A13">
        <v>1400</v>
      </c>
      <c r="B13" t="s">
        <v>705</v>
      </c>
      <c r="C13" s="129">
        <f>ROUND('DOE25'!L201+'DOE25'!L219+'DOE25'!L237+'DOE25'!L280+'DOE25'!L299+'DOE25'!L318,0)</f>
        <v>569715</v>
      </c>
      <c r="D13" s="132">
        <f>ROUND((C13/$C$28)*100,1)</f>
        <v>2.2000000000000002</v>
      </c>
    </row>
    <row r="14" spans="1:4" x14ac:dyDescent="0.2">
      <c r="D14" s="132"/>
    </row>
    <row r="15" spans="1:4" x14ac:dyDescent="0.2">
      <c r="A15">
        <v>2100</v>
      </c>
      <c r="B15" t="s">
        <v>706</v>
      </c>
      <c r="C15" s="129">
        <f>ROUND('DOE25'!L203+'DOE25'!L221+'DOE25'!L239+'DOE25'!L282+'DOE25'!L301+'DOE25'!L320,0)</f>
        <v>3156470</v>
      </c>
      <c r="D15" s="132">
        <f t="shared" ref="D15:D27" si="0">ROUND((C15/$C$28)*100,1)</f>
        <v>12.3</v>
      </c>
    </row>
    <row r="16" spans="1:4" x14ac:dyDescent="0.2">
      <c r="A16">
        <v>2200</v>
      </c>
      <c r="B16" t="s">
        <v>707</v>
      </c>
      <c r="C16" s="129">
        <f>ROUND('DOE25'!L204+'DOE25'!L222+'DOE25'!L240+'DOE25'!L283+'DOE25'!L302+'DOE25'!L321,0)</f>
        <v>1561099</v>
      </c>
      <c r="D16" s="132">
        <f t="shared" si="0"/>
        <v>6.1</v>
      </c>
    </row>
    <row r="17" spans="1:4" x14ac:dyDescent="0.2">
      <c r="A17" s="133" t="s">
        <v>723</v>
      </c>
      <c r="B17" t="s">
        <v>738</v>
      </c>
      <c r="C17" s="129">
        <f>ROUND('DOE25'!L205+'DOE25'!L210+'DOE25'!L223+'DOE25'!L228+'DOE25'!L241+'DOE25'!L246+'DOE25'!L284+'DOE25'!L289+'DOE25'!L303+'DOE25'!L308+'DOE25'!L322+'DOE25'!L327,0)</f>
        <v>406788</v>
      </c>
      <c r="D17" s="132">
        <f t="shared" si="0"/>
        <v>1.6</v>
      </c>
    </row>
    <row r="18" spans="1:4" x14ac:dyDescent="0.2">
      <c r="A18">
        <v>2400</v>
      </c>
      <c r="B18" t="s">
        <v>711</v>
      </c>
      <c r="C18" s="129">
        <f>ROUND('DOE25'!L206+'DOE25'!L224+'DOE25'!L242+'DOE25'!L285+'DOE25'!L304+'DOE25'!L323,0)</f>
        <v>1452701</v>
      </c>
      <c r="D18" s="132">
        <f t="shared" si="0"/>
        <v>5.7</v>
      </c>
    </row>
    <row r="19" spans="1:4" x14ac:dyDescent="0.2">
      <c r="A19">
        <v>2500</v>
      </c>
      <c r="B19" t="s">
        <v>708</v>
      </c>
      <c r="C19" s="129">
        <f>ROUND('DOE25'!L207+'DOE25'!L225+'DOE25'!L243+'DOE25'!L286+'DOE25'!L305+'DOE25'!L324,0)</f>
        <v>430206</v>
      </c>
      <c r="D19" s="132">
        <f t="shared" si="0"/>
        <v>1.7</v>
      </c>
    </row>
    <row r="20" spans="1:4" x14ac:dyDescent="0.2">
      <c r="A20">
        <v>2600</v>
      </c>
      <c r="B20" t="s">
        <v>709</v>
      </c>
      <c r="C20" s="129">
        <f>ROUND('DOE25'!L208+'DOE25'!L226+'DOE25'!L244+'DOE25'!L287+'DOE25'!L306+'DOE25'!L325,0)</f>
        <v>2167929</v>
      </c>
      <c r="D20" s="132">
        <f t="shared" si="0"/>
        <v>8.4</v>
      </c>
    </row>
    <row r="21" spans="1:4" x14ac:dyDescent="0.2">
      <c r="A21">
        <v>2700</v>
      </c>
      <c r="B21" t="s">
        <v>710</v>
      </c>
      <c r="C21" s="129">
        <f>ROUND('DOE25'!L209+'DOE25'!L227+'DOE25'!L245+'DOE25'!L288+'DOE25'!L307+'DOE25'!L326,0)</f>
        <v>1213687</v>
      </c>
      <c r="D21" s="132">
        <f t="shared" si="0"/>
        <v>4.7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401047.19</v>
      </c>
      <c r="D27" s="132">
        <f t="shared" si="0"/>
        <v>1.6</v>
      </c>
    </row>
    <row r="28" spans="1:4" x14ac:dyDescent="0.2">
      <c r="B28" s="136" t="s">
        <v>719</v>
      </c>
      <c r="C28" s="130">
        <f>SUM(C10:C27)</f>
        <v>25679087.190000001</v>
      </c>
      <c r="D28" s="134">
        <f>ROUND(SUM(D10:D27),0)</f>
        <v>100</v>
      </c>
    </row>
    <row r="29" spans="1:4" x14ac:dyDescent="0.2">
      <c r="A29">
        <v>4000</v>
      </c>
      <c r="B29" t="s">
        <v>724</v>
      </c>
      <c r="C29" s="129">
        <f>ROUND('DOE25'!L256+'DOE25'!L337+'DOE25'!L375+'DOE25'!L376+'DOE25'!L377+'DOE25'!L378+'DOE25'!L379+'DOE25'!L380+'DOE25'!L381,0)</f>
        <v>2046044</v>
      </c>
    </row>
    <row r="30" spans="1:4" x14ac:dyDescent="0.2">
      <c r="B30" s="136" t="s">
        <v>725</v>
      </c>
      <c r="C30" s="130">
        <f>SUM(C28:C29)</f>
        <v>27725131.190000001</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16688973</v>
      </c>
      <c r="D35" s="132">
        <f t="shared" ref="D35:D40" si="1">ROUND((C35/$C$41)*100,1)</f>
        <v>58.8</v>
      </c>
    </row>
    <row r="36" spans="1:4" x14ac:dyDescent="0.2">
      <c r="B36" s="71" t="s">
        <v>739</v>
      </c>
      <c r="C36" s="129">
        <f>SUM('DOE25'!F112:J112)-SUM('DOE25'!G97:G110)+('DOE25'!F175+'DOE25'!F176+'DOE25'!I175+'DOE25'!I176)-C35</f>
        <v>708525.47000000253</v>
      </c>
      <c r="D36" s="132">
        <f t="shared" si="1"/>
        <v>2.5</v>
      </c>
    </row>
    <row r="37" spans="1:4" x14ac:dyDescent="0.2">
      <c r="A37" s="133" t="s">
        <v>834</v>
      </c>
      <c r="B37" s="71" t="s">
        <v>728</v>
      </c>
      <c r="C37" s="129">
        <f>ROUND('DOE25'!F117+'DOE25'!F118,0)</f>
        <v>7187916</v>
      </c>
      <c r="D37" s="132">
        <f t="shared" si="1"/>
        <v>25.3</v>
      </c>
    </row>
    <row r="38" spans="1:4" x14ac:dyDescent="0.2">
      <c r="A38" s="133" t="s">
        <v>734</v>
      </c>
      <c r="B38" s="71" t="s">
        <v>729</v>
      </c>
      <c r="C38" s="129">
        <f>ROUND(SUM('DOE25'!F140:J140)-SUM('DOE25'!F117:F119),0)</f>
        <v>364284</v>
      </c>
      <c r="D38" s="132">
        <f t="shared" si="1"/>
        <v>1.3</v>
      </c>
    </row>
    <row r="39" spans="1:4" x14ac:dyDescent="0.2">
      <c r="A39">
        <v>4000</v>
      </c>
      <c r="B39" s="71" t="s">
        <v>730</v>
      </c>
      <c r="C39" s="129">
        <f>ROUND('DOE25'!F170+'DOE25'!G170+'DOE25'!H170+'DOE25'!I170,0)</f>
        <v>3447232</v>
      </c>
      <c r="D39" s="132">
        <f t="shared" si="1"/>
        <v>12.1</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28396930.470000003</v>
      </c>
      <c r="D41" s="134">
        <f>SUM(D35:D40)</f>
        <v>99.999999999999986</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Shaker Regional</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21</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5</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4</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36</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f>IF('School Level Expenditures'!$B$2='School Tables'!W7,'School Tables'!AD7,"")</f>
        <v>4</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f>IF('School Level Expenditures'!$B$2='School Tables'!L8,'School Tables'!S8,"")</f>
        <v>5</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f>IF('School Level Expenditures'!$B$2=A24,'School Tables'!H24,"")</f>
        <v>21</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38.25"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f>IF('School Level Expenditures'!$B$2=A39,'School Tables'!H39,"")</f>
        <v>36</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51"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2023-08-14T15:42:58Z</cp:lastPrinted>
  <dcterms:created xsi:type="dcterms:W3CDTF">1997-12-04T19:04:30Z</dcterms:created>
  <dcterms:modified xsi:type="dcterms:W3CDTF">2023-12-29T14:23:35Z</dcterms:modified>
</cp:coreProperties>
</file>