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7C68B40-9441-4AF4-B938-4E0AC16DCB0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59" i="1" l="1"/>
  <c r="I359" i="1"/>
  <c r="H361" i="1"/>
  <c r="H360" i="1"/>
  <c r="O6" i="14"/>
  <c r="O38" i="14"/>
  <c r="O26" i="14"/>
  <c r="O7" i="14"/>
  <c r="Q38" i="14"/>
  <c r="Q26" i="14"/>
  <c r="Q7" i="14"/>
  <c r="Q6" i="14"/>
  <c r="P26" i="14"/>
  <c r="P7" i="14"/>
  <c r="P6" i="14"/>
  <c r="P38" i="14"/>
  <c r="N7" i="14"/>
  <c r="N38" i="14"/>
  <c r="N6" i="14"/>
  <c r="N26" i="14"/>
  <c r="M7" i="14"/>
  <c r="M38" i="14"/>
  <c r="M26" i="14"/>
  <c r="M6" i="14"/>
  <c r="L7" i="14"/>
  <c r="L6" i="14"/>
  <c r="L38" i="14"/>
  <c r="L26" i="14"/>
  <c r="K7" i="14"/>
  <c r="K6" i="14"/>
  <c r="D7" i="14" l="1"/>
  <c r="D6" i="14"/>
  <c r="D38" i="14"/>
  <c r="F31" i="13"/>
  <c r="F16" i="13"/>
  <c r="F15" i="13"/>
  <c r="F14" i="13"/>
  <c r="F6" i="13" l="1"/>
  <c r="D9" i="13"/>
  <c r="C12" i="12" l="1"/>
  <c r="C11" i="12" l="1"/>
  <c r="C19" i="12"/>
  <c r="C21" i="12"/>
  <c r="C20" i="12"/>
  <c r="B19" i="12"/>
  <c r="B21" i="12"/>
  <c r="C39" i="12"/>
  <c r="B39" i="12"/>
  <c r="C30" i="12"/>
  <c r="C29" i="12"/>
  <c r="C28" i="12"/>
  <c r="C10" i="12"/>
  <c r="B10" i="12"/>
  <c r="B12" i="12"/>
  <c r="E13" i="17"/>
  <c r="E11" i="17"/>
  <c r="E9" i="17"/>
  <c r="G614" i="1" l="1"/>
  <c r="G613" i="1"/>
  <c r="I612" i="1"/>
  <c r="G612" i="1"/>
  <c r="F614" i="1"/>
  <c r="F613" i="1"/>
  <c r="F612" i="1"/>
  <c r="H527" i="1"/>
  <c r="I522" i="1"/>
  <c r="H522" i="1"/>
  <c r="G522" i="1"/>
  <c r="F522" i="1"/>
  <c r="F528" i="1"/>
  <c r="I527" i="1"/>
  <c r="G528" i="1"/>
  <c r="G527" i="1"/>
  <c r="F527" i="1"/>
  <c r="I523" i="1" l="1"/>
  <c r="G524" i="1"/>
  <c r="G523" i="1"/>
  <c r="F524" i="1"/>
  <c r="F523" i="1"/>
  <c r="H529" i="1"/>
  <c r="H528" i="1"/>
  <c r="F583" i="1"/>
  <c r="J605" i="1"/>
  <c r="I605" i="1"/>
  <c r="H605" i="1"/>
  <c r="F198" i="1"/>
  <c r="H234" i="1"/>
  <c r="H216" i="1"/>
  <c r="H198" i="1"/>
  <c r="H245" i="1"/>
  <c r="H596" i="1"/>
  <c r="H161" i="1"/>
  <c r="H159" i="1"/>
  <c r="H156" i="1"/>
  <c r="H155" i="1"/>
  <c r="H154" i="1"/>
  <c r="H110" i="1"/>
  <c r="F110" i="1"/>
  <c r="F70" i="1"/>
  <c r="F120" i="1"/>
  <c r="F277" i="1"/>
  <c r="F234" i="1"/>
  <c r="F296" i="1"/>
  <c r="I296" i="1"/>
  <c r="F315" i="1"/>
  <c r="J296" i="1"/>
  <c r="H296" i="1"/>
  <c r="G296" i="1"/>
  <c r="J315" i="1"/>
  <c r="I315" i="1"/>
  <c r="H315" i="1"/>
  <c r="G315" i="1"/>
  <c r="J277" i="1"/>
  <c r="I277" i="1"/>
  <c r="H277" i="1"/>
  <c r="G277" i="1"/>
  <c r="F368" i="1"/>
  <c r="K262" i="1"/>
  <c r="K261" i="1"/>
  <c r="G97" i="1"/>
  <c r="G234" i="1"/>
  <c r="F216" i="1"/>
  <c r="G216" i="1"/>
  <c r="G198" i="1"/>
  <c r="I427" i="1"/>
  <c r="H427" i="1"/>
  <c r="F22" i="1" l="1"/>
  <c r="F12"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C72" i="2"/>
  <c r="F72" i="2"/>
  <c r="H72" i="2" s="1"/>
  <c r="C73" i="2"/>
  <c r="F73" i="2"/>
  <c r="C74" i="2"/>
  <c r="H74" i="2" s="1"/>
  <c r="C75" i="2"/>
  <c r="H75" i="2" s="1"/>
  <c r="C76" i="2"/>
  <c r="E76" i="2"/>
  <c r="F76" i="2"/>
  <c r="C77" i="2"/>
  <c r="D77" i="2"/>
  <c r="D78" i="2" s="1"/>
  <c r="E77" i="2"/>
  <c r="F77" i="2"/>
  <c r="G77" i="2"/>
  <c r="C79" i="2"/>
  <c r="D79" i="2"/>
  <c r="E79" i="2"/>
  <c r="C80" i="2"/>
  <c r="H80" i="2" s="1"/>
  <c r="E80"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J652" i="1" l="1"/>
  <c r="H102" i="2"/>
  <c r="H87" i="2"/>
  <c r="H58" i="2"/>
  <c r="H100" i="2"/>
  <c r="H98" i="2"/>
  <c r="H94" i="2"/>
  <c r="H93" i="2"/>
  <c r="C85" i="2"/>
  <c r="H79" i="2"/>
  <c r="H76" i="2"/>
  <c r="H73" i="2"/>
  <c r="E120" i="2"/>
  <c r="E125" i="2"/>
  <c r="E124" i="2"/>
  <c r="G663" i="1"/>
  <c r="E121" i="2"/>
  <c r="E112" i="2"/>
  <c r="H125" i="2"/>
  <c r="D29" i="13"/>
  <c r="C29" i="13" s="1"/>
  <c r="G662" i="1"/>
  <c r="H143" i="2"/>
  <c r="H132" i="2"/>
  <c r="H131" i="2"/>
  <c r="H113" i="2"/>
  <c r="C32" i="10"/>
  <c r="H89" i="2"/>
  <c r="H101" i="2"/>
  <c r="H99" i="2"/>
  <c r="H47" i="2"/>
  <c r="H30" i="2"/>
  <c r="H23" i="2"/>
  <c r="H15" i="2"/>
  <c r="A40" i="12"/>
  <c r="G651" i="1"/>
  <c r="N2" i="14"/>
  <c r="N3" i="14" s="1"/>
  <c r="M2" i="14"/>
  <c r="M3" i="14" s="1"/>
  <c r="C13" i="10"/>
  <c r="C12" i="10"/>
  <c r="C110" i="2"/>
  <c r="D15" i="13"/>
  <c r="C15" i="13" s="1"/>
  <c r="E13" i="13"/>
  <c r="C13" i="13" s="1"/>
  <c r="C121" i="2"/>
  <c r="H121" i="2" s="1"/>
  <c r="C120" i="2"/>
  <c r="H120" i="2" s="1"/>
  <c r="C119" i="2"/>
  <c r="D6" i="13"/>
  <c r="C6" i="13" s="1"/>
  <c r="L2" i="14"/>
  <c r="L3" i="14" s="1"/>
  <c r="C112" i="2"/>
  <c r="K2" i="14"/>
  <c r="K3" i="14" s="1"/>
  <c r="H97" i="2"/>
  <c r="F85" i="2"/>
  <c r="H85" i="2" s="1"/>
  <c r="H59" i="2"/>
  <c r="H35" i="2"/>
  <c r="H34" i="2"/>
  <c r="H29" i="2"/>
  <c r="H28" i="2"/>
  <c r="H27" i="2"/>
  <c r="H26" i="2"/>
  <c r="H25" i="2"/>
  <c r="H24" i="2"/>
  <c r="H44" i="2"/>
  <c r="H36" i="2"/>
  <c r="H48" i="2"/>
  <c r="H22" i="2"/>
  <c r="H17" i="2"/>
  <c r="H13" i="2"/>
  <c r="H12" i="2"/>
  <c r="H11" i="2"/>
  <c r="I409" i="1"/>
  <c r="F409" i="1"/>
  <c r="H644" i="1" s="1"/>
  <c r="J644" i="1" s="1"/>
  <c r="G409" i="1"/>
  <c r="H646" i="1" s="1"/>
  <c r="J646" i="1" s="1"/>
  <c r="G646" i="1"/>
  <c r="G78" i="2"/>
  <c r="H77" i="2"/>
  <c r="G70" i="2"/>
  <c r="H69" i="2"/>
  <c r="J140" i="1"/>
  <c r="G62" i="2"/>
  <c r="H61" i="2"/>
  <c r="J112" i="1"/>
  <c r="H477" i="1"/>
  <c r="H625" i="1" s="1"/>
  <c r="J625" i="1" s="1"/>
  <c r="G477" i="1"/>
  <c r="H9" i="2"/>
  <c r="H8"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57" i="2"/>
  <c r="F194" i="1"/>
  <c r="G628" i="1" s="1"/>
  <c r="J628" i="1" s="1"/>
  <c r="H70" i="2"/>
  <c r="C81" i="2"/>
  <c r="H81" i="2" s="1"/>
  <c r="H112" i="2"/>
  <c r="G24" i="14"/>
  <c r="H24" i="14" s="1"/>
  <c r="I24" i="14" s="1"/>
  <c r="H118" i="2"/>
  <c r="H123" i="2"/>
  <c r="H122" i="2"/>
  <c r="H119" i="2"/>
  <c r="E128" i="2"/>
  <c r="D128" i="2"/>
  <c r="D145" i="2" s="1"/>
  <c r="H127" i="2"/>
  <c r="H114" i="2"/>
  <c r="H91" i="2"/>
  <c r="I662" i="1"/>
  <c r="E51" i="2"/>
  <c r="D51" i="2"/>
  <c r="I663" i="1"/>
  <c r="H103" i="2"/>
  <c r="H78" i="2"/>
  <c r="H62" i="2"/>
  <c r="H50" i="2"/>
  <c r="H42" i="2"/>
  <c r="H31" i="2"/>
  <c r="H21" i="2"/>
  <c r="H16" i="2"/>
  <c r="H134"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M24" i="14"/>
  <c r="H128" i="2"/>
  <c r="H51"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<sst xmlns="http://schemas.openxmlformats.org/spreadsheetml/2006/main" count="6562" uniqueCount="1817">
  <si>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</si>
  <si>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</si>
  <si>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</si>
  <si>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</si>
  <si>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</si>
  <si>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</si>
  <si>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</si>
  <si>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</si>
  <si>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</si>
  <si>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</si>
  <si>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</si>
  <si>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</si>
  <si>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</si>
  <si>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</si>
  <si>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</si>
  <si>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</si>
  <si>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</si>
  <si>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</si>
  <si>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</si>
  <si>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</si>
  <si>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</si>
  <si>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</si>
  <si>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</si>
  <si>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</si>
  <si>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</si>
  <si>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</si>
  <si>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</si>
  <si>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</si>
  <si>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</si>
  <si>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</si>
  <si>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</si>
  <si>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</si>
  <si>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</si>
  <si>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</si>
  <si>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</si>
  <si>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</si>
  <si>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</si>
  <si>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</si>
  <si>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</si>
  <si>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</si>
  <si>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</si>
  <si>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</si>
  <si>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</si>
  <si>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</si>
  <si>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</si>
  <si>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</si>
  <si>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</si>
  <si>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</si>
  <si>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</si>
  <si>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</si>
  <si>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</si>
  <si>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</si>
  <si>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</si>
  <si>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</si>
  <si>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</si>
  <si>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</si>
  <si>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</si>
  <si>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</si>
  <si>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</si>
  <si>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</si>
  <si>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</si>
  <si>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</si>
  <si>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</si>
  <si>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</si>
  <si>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</si>
  <si>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</si>
  <si>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</si>
  <si>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</si>
  <si>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</si>
  <si>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</si>
  <si>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</si>
  <si>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</si>
  <si>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</si>
  <si>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</si>
  <si>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</si>
  <si>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</si>
  <si>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</si>
  <si>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</si>
  <si>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</si>
  <si>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</si>
  <si>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</si>
  <si>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</si>
  <si>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</si>
  <si>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</si>
  <si>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</si>
  <si>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</si>
  <si>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</si>
  <si>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</si>
  <si>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</si>
  <si>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</si>
  <si>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</si>
  <si>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</si>
  <si>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</si>
  <si>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</si>
  <si>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</si>
  <si>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</si>
  <si>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</si>
  <si>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</si>
  <si>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</si>
  <si>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</si>
  <si>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</si>
  <si>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</si>
  <si>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</si>
  <si>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</si>
  <si>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</si>
  <si>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</si>
  <si>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</si>
  <si>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</si>
  <si>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</si>
  <si>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</si>
  <si>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</si>
  <si>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</si>
  <si>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</si>
  <si>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</si>
  <si>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</si>
  <si>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</si>
  <si>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</si>
  <si>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</si>
  <si>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</si>
  <si>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</si>
  <si>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</si>
  <si>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</si>
  <si>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</si>
  <si>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</si>
  <si>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</si>
  <si>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</si>
  <si>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</si>
  <si>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</si>
  <si>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</si>
  <si>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</si>
  <si>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</si>
  <si>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</si>
  <si>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</si>
  <si>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</si>
  <si>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</si>
  <si>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</si>
  <si>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</si>
  <si>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</si>
  <si>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</si>
  <si>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</si>
  <si>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</si>
  <si>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</si>
  <si>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</si>
  <si>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</si>
  <si>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</si>
  <si>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</si>
  <si>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</si>
  <si>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</si>
  <si>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</si>
  <si>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</si>
  <si>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</si>
  <si>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</si>
  <si>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</si>
  <si>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</si>
  <si>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</si>
  <si>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</si>
  <si>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</si>
  <si>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</si>
  <si>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</si>
  <si>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</si>
  <si>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</si>
  <si>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</si>
  <si>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</si>
  <si>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</si>
  <si>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</si>
  <si>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</si>
  <si>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</si>
  <si>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</si>
  <si>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</si>
  <si>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</si>
  <si>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</si>
  <si>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</si>
  <si>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</si>
  <si>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</si>
  <si>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</si>
  <si>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</si>
  <si>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</si>
  <si>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</si>
  <si>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</si>
  <si>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</si>
  <si>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</si>
  <si>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</si>
  <si>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</si>
  <si>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</si>
  <si>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</si>
  <si>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</si>
  <si>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</si>
  <si>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</si>
  <si>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</si>
  <si>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</si>
  <si>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</si>
  <si>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</si>
  <si>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</si>
  <si>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</si>
  <si>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</si>
  <si>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</si>
  <si>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</si>
  <si>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</si>
  <si>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</si>
  <si>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</si>
  <si>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</si>
  <si>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</si>
  <si>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</si>
  <si>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</si>
  <si>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</si>
  <si>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</si>
  <si>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</si>
  <si>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</si>
  <si>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</si>
  <si>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</si>
  <si>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</si>
  <si>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</si>
  <si>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</si>
  <si>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</si>
  <si>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</si>
  <si>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</si>
  <si>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</si>
  <si>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</si>
  <si>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</si>
  <si>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</si>
  <si>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</si>
  <si>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</si>
  <si>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</si>
  <si>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</si>
  <si>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</si>
  <si>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</si>
  <si>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</si>
  <si>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</si>
  <si>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</si>
  <si>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</si>
  <si>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</si>
  <si>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</si>
  <si>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</si>
  <si>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</si>
  <si>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</si>
  <si>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</si>
  <si>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</si>
  <si>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</si>
  <si>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</si>
  <si>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</si>
  <si>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</si>
  <si>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</si>
  <si>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</si>
  <si>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</si>
  <si>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</si>
  <si>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</si>
  <si>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</si>
  <si>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</si>
  <si>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</si>
  <si>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</si>
  <si>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</si>
  <si>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</si>
  <si>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</si>
  <si>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</si>
  <si>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</si>
  <si>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</si>
  <si>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</si>
  <si>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</si>
  <si>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</si>
  <si>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</si>
  <si>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</si>
  <si>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</si>
  <si>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</si>
  <si>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</si>
  <si>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</si>
  <si>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</si>
  <si>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</si>
  <si>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</si>
  <si>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</si>
  <si>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</si>
  <si>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</si>
  <si>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</si>
  <si>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</si>
  <si>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</si>
  <si>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</si>
  <si>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</si>
  <si>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</si>
  <si>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</si>
  <si>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</si>
  <si>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</si>
  <si>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</si>
  <si>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</si>
  <si>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</si>
  <si>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</si>
  <si>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</si>
  <si>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</si>
  <si>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</si>
  <si>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</si>
  <si>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</si>
  <si>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</si>
  <si>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</si>
  <si>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</si>
  <si>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</si>
  <si>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</si>
  <si>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</si>
  <si>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</si>
  <si>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</si>
  <si>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</si>
  <si>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</si>
  <si>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</si>
  <si>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</si>
  <si>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</si>
  <si>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</si>
  <si>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</si>
  <si>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</si>
  <si>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</si>
  <si>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</si>
  <si>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</si>
  <si>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</si>
  <si>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</si>
  <si>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</si>
  <si>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</si>
  <si>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</si>
  <si>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</si>
  <si>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</si>
  <si>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</si>
  <si>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</si>
  <si>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</si>
  <si>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</si>
  <si>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</si>
  <si>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</si>
  <si>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</si>
  <si>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</si>
  <si>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</si>
  <si>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</si>
  <si>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</si>
  <si>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</si>
  <si>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</si>
  <si>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</si>
  <si>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</si>
  <si>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</si>
  <si>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</si>
  <si>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</si>
  <si>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</si>
  <si>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</si>
  <si>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</si>
  <si>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</si>
  <si>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</si>
  <si>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</si>
  <si>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</si>
  <si>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</si>
  <si>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</si>
  <si>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</si>
  <si>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</si>
  <si>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</si>
  <si>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</si>
  <si>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</si>
  <si>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</si>
  <si>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</si>
  <si>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</si>
  <si>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</si>
  <si>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</si>
  <si>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</si>
  <si>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</si>
  <si>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</si>
  <si>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</si>
  <si>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</si>
  <si>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</si>
  <si>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</si>
  <si>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</si>
  <si>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</si>
  <si>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</si>
  <si>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</si>
  <si>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</si>
  <si>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</si>
  <si>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</si>
  <si>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</si>
  <si>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</si>
  <si>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</si>
  <si>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</si>
  <si>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</si>
  <si>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</si>
  <si>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</si>
  <si>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</si>
  <si>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</si>
  <si>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</si>
  <si>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</si>
  <si>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</si>
  <si>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</si>
  <si>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</si>
  <si>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</si>
  <si>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</si>
  <si>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</si>
  <si>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</si>
  <si>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</si>
  <si>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</si>
  <si>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</si>
  <si>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</si>
  <si>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</si>
  <si>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</si>
  <si>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</si>
  <si>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</si>
  <si>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</si>
  <si>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</si>
  <si>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</si>
  <si>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</si>
  <si>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</si>
  <si>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</si>
  <si>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</si>
  <si>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</si>
  <si>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</si>
  <si>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</si>
  <si>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</si>
  <si>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</si>
  <si>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</si>
  <si>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</si>
  <si>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</si>
  <si>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</si>
  <si>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</si>
  <si>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</si>
  <si>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</si>
  <si>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</si>
  <si>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</si>
  <si>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</si>
  <si>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</si>
  <si>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</si>
  <si>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</si>
  <si>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</si>
  <si>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</si>
  <si>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</si>
  <si>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</si>
  <si>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</si>
  <si>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</si>
  <si>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</si>
  <si>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</si>
  <si>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</si>
  <si>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</si>
  <si>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</si>
  <si>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</si>
  <si>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</si>
  <si>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</si>
  <si>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</si>
  <si>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</si>
  <si>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</si>
  <si>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</si>
  <si>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</si>
  <si>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</si>
  <si>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</si>
  <si>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</si>
  <si>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</si>
  <si>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</si>
  <si>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</si>
  <si>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</si>
  <si>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</si>
  <si>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</si>
  <si>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</si>
  <si>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</si>
  <si>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</si>
  <si>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</si>
  <si>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</si>
  <si>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</si>
  <si>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</si>
  <si>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</si>
  <si>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</si>
  <si>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</si>
  <si>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</si>
  <si>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</si>
  <si>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</si>
  <si>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</si>
  <si>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</si>
  <si>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</si>
  <si>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</si>
  <si>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</si>
  <si>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</si>
  <si>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</si>
  <si>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</si>
  <si>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</si>
  <si>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</si>
  <si>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</si>
  <si>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</si>
  <si>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</si>
  <si>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</si>
  <si>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</si>
  <si>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</si>
  <si>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</si>
  <si>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</si>
  <si>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</si>
  <si>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</si>
  <si>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</si>
  <si>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</si>
  <si>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</si>
  <si>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</si>
  <si>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</si>
  <si>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</si>
  <si>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</si>
  <si>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</si>
  <si>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</si>
  <si>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</si>
  <si>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</si>
  <si>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</si>
  <si>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</si>
  <si>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</si>
  <si>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</si>
  <si>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</si>
  <si>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</si>
  <si>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</si>
  <si>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</si>
  <si>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</si>
  <si>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</si>
  <si>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</si>
  <si>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</si>
  <si>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</si>
  <si>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</si>
  <si>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</si>
  <si>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</si>
  <si>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</si>
  <si>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</si>
  <si>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</si>
  <si>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</si>
  <si>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</si>
  <si>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</si>
  <si>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</si>
  <si>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</si>
  <si>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</si>
  <si>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</si>
  <si>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</si>
  <si>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</si>
  <si>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</si>
  <si>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</si>
  <si>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</si>
  <si>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</si>
  <si>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</si>
  <si>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</si>
  <si>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</si>
  <si>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</si>
  <si>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</si>
  <si>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</si>
  <si>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</si>
  <si>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</si>
  <si>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</si>
  <si>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</si>
  <si>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</si>
  <si>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</si>
  <si>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</si>
  <si>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</si>
  <si>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</si>
  <si>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</si>
  <si>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</si>
  <si>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</si>
  <si>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</si>
  <si>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</si>
  <si>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</si>
  <si>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</si>
  <si>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</si>
  <si>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</si>
  <si>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</si>
  <si>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</si>
  <si>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</si>
  <si>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</si>
  <si>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</si>
  <si>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</si>
  <si>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</si>
  <si>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</si>
  <si>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</si>
  <si>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</si>
  <si>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</si>
  <si>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</si>
  <si>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</si>
  <si>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</si>
  <si>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</si>
  <si>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</si>
  <si>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</si>
  <si>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</si>
  <si>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</si>
  <si>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</si>
  <si>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</si>
  <si>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</si>
  <si>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</si>
  <si>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</si>
  <si>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</si>
  <si>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</si>
  <si>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</si>
  <si>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</si>
  <si>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</si>
  <si>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</si>
  <si>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</si>
  <si>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</si>
  <si>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</si>
  <si>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</si>
  <si>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</si>
  <si>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</si>
  <si>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</si>
  <si>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</si>
  <si>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</si>
  <si>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</si>
  <si>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</si>
  <si>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</si>
  <si>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</si>
  <si>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</si>
  <si>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</si>
  <si>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</si>
  <si>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</si>
  <si>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</si>
  <si>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</si>
  <si>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</si>
  <si>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</si>
  <si>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</si>
  <si>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</si>
  <si>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</si>
  <si>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</si>
  <si>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</si>
  <si>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</si>
  <si>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</si>
  <si>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</si>
  <si>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</si>
  <si>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</si>
  <si>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</si>
  <si>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</si>
  <si>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</si>
  <si>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</si>
  <si>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</si>
  <si>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</si>
  <si>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</si>
  <si>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</si>
  <si>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</si>
  <si>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</si>
  <si>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</si>
  <si>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</si>
  <si>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</si>
  <si>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</si>
  <si>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</si>
  <si>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</si>
  <si>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</si>
  <si>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</si>
  <si>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</si>
  <si>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</si>
  <si>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</si>
  <si>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</si>
  <si>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</si>
  <si>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</si>
  <si>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</si>
  <si>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</si>
  <si>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</si>
  <si>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</si>
  <si>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</si>
  <si>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</si>
  <si>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</si>
  <si>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</si>
  <si>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</si>
  <si>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</si>
  <si>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</si>
  <si>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</si>
  <si>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</si>
  <si>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</si>
  <si>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</si>
  <si>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</si>
  <si>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</si>
  <si>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</si>
  <si>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</si>
  <si>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</si>
  <si>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</si>
  <si>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</si>
  <si>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</si>
  <si>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</si>
  <si>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</si>
  <si>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</si>
  <si>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</si>
  <si>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</si>
  <si>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</si>
  <si>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</si>
  <si>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</si>
  <si>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</si>
  <si>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</si>
  <si>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</si>
  <si>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</si>
  <si>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</si>
  <si>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</si>
  <si>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</si>
  <si>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</si>
  <si>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</si>
  <si>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</si>
  <si>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</si>
  <si>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</si>
  <si>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</si>
  <si>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</si>
  <si>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</si>
  <si>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</si>
  <si>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</si>
  <si>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</si>
  <si>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</si>
  <si>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</si>
  <si>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</si>
  <si>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</si>
  <si>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</si>
  <si>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</si>
  <si>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</si>
  <si>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</si>
  <si>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</si>
  <si>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</si>
  <si>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</si>
  <si>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</si>
  <si>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</si>
  <si>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</si>
  <si>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</si>
  <si>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</si>
  <si>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</si>
  <si>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</si>
  <si>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</si>
  <si>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</si>
  <si>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</si>
  <si>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</si>
  <si>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</si>
  <si>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</si>
  <si>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</si>
  <si>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</si>
  <si>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</si>
  <si>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</si>
  <si>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</si>
  <si>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</si>
  <si>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</si>
  <si>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</si>
  <si>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</si>
  <si>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</si>
  <si>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</si>
  <si>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</si>
  <si>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</si>
  <si>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</si>
  <si>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</si>
  <si>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</si>
  <si>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</si>
  <si>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</si>
  <si>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</si>
  <si>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</si>
  <si>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</si>
  <si>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</si>
  <si>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</si>
  <si>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</si>
  <si>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</si>
  <si>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</si>
  <si>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</si>
  <si>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</si>
  <si>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</si>
  <si>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</si>
  <si>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</si>
  <si>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</si>
  <si>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</si>
  <si>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</si>
  <si>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</si>
  <si>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</si>
  <si>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</si>
  <si>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</si>
  <si>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</si>
  <si>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</si>
  <si>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</si>
  <si>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</si>
  <si>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</si>
  <si>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</si>
  <si>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</si>
  <si>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</si>
  <si>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</si>
  <si>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</si>
  <si>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</si>
  <si>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</si>
  <si>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</si>
  <si>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</si>
  <si>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</si>
  <si>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</si>
  <si>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</si>
  <si>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</si>
  <si>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</si>
  <si>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</si>
  <si>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</si>
  <si>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</si>
  <si>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</si>
  <si>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</si>
  <si>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</si>
  <si>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</si>
  <si>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</si>
  <si>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</si>
  <si>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</si>
  <si>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</si>
  <si>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</si>
  <si>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</si>
  <si>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</si>
  <si>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</si>
  <si>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</si>
  <si>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</si>
  <si>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</si>
  <si>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</si>
  <si>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</si>
  <si>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</si>
  <si>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</si>
  <si>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</si>
  <si>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</si>
  <si>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</si>
  <si>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</si>
  <si>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</si>
  <si>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</si>
  <si>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</si>
  <si>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</si>
  <si>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</si>
  <si>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</si>
  <si>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</si>
  <si>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</si>
  <si>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</si>
  <si>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</si>
  <si>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</si>
  <si>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</si>
  <si>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</si>
  <si>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</si>
  <si>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</si>
  <si>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</si>
  <si>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</si>
  <si>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</si>
  <si>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</si>
  <si>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</si>
  <si>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</si>
  <si>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</si>
  <si>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</si>
  <si>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</si>
  <si>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</si>
  <si>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</si>
  <si>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</si>
  <si>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</si>
  <si>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</si>
  <si>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</si>
  <si>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</si>
  <si>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</si>
  <si>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</si>
  <si>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</si>
  <si>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</si>
  <si>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</si>
  <si>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</si>
  <si>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</si>
  <si>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</si>
  <si>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</si>
  <si>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</si>
  <si>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</si>
  <si>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</si>
  <si>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</si>
  <si>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</si>
  <si>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</si>
  <si>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</si>
  <si>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</si>
  <si>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</si>
  <si>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</si>
  <si>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</si>
  <si>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</si>
  <si>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</si>
  <si>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</si>
  <si>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</si>
  <si>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</si>
  <si>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</si>
  <si>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</si>
  <si>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</si>
  <si>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</si>
  <si>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</si>
  <si>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</si>
  <si>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</si>
  <si>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</si>
  <si>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</si>
  <si>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</si>
  <si>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</si>
  <si>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</si>
  <si>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</si>
  <si>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</si>
  <si>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</si>
  <si>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</si>
  <si>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</si>
  <si>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</si>
  <si>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</si>
  <si>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</si>
  <si>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</si>
  <si>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</si>
  <si>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</si>
  <si>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</si>
  <si>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</si>
  <si>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</si>
  <si>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</si>
  <si>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</si>
  <si>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</si>
  <si>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</si>
  <si>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</si>
  <si>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</si>
  <si>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</si>
  <si>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</si>
  <si>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</si>
  <si>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</si>
  <si>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</si>
  <si>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</si>
  <si>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</si>
  <si>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</si>
  <si>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</si>
  <si>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</si>
  <si>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</si>
  <si>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</si>
  <si>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</si>
  <si>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</si>
  <si>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</si>
  <si>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</si>
  <si>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</si>
  <si>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</si>
  <si>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</si>
  <si>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</si>
  <si>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</si>
  <si>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</si>
  <si>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</si>
  <si>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</si>
  <si>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</si>
  <si>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</si>
  <si>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</si>
  <si>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</si>
  <si>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</si>
  <si>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</si>
  <si>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</si>
  <si>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</si>
  <si>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</si>
  <si>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</si>
  <si>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</si>
  <si>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</si>
  <si>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</si>
  <si>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</si>
  <si>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</si>
  <si>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</si>
  <si>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</si>
  <si>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</si>
  <si>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</si>
  <si>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</si>
  <si>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</si>
  <si>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</si>
  <si>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</si>
  <si>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</si>
  <si>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</si>
  <si>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</si>
  <si>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</si>
  <si>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</si>
  <si>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</si>
  <si>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</si>
  <si>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</si>
  <si>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</si>
  <si>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</si>
  <si>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</si>
  <si>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</si>
  <si>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</si>
  <si>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</si>
  <si>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</si>
  <si>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</si>
  <si>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</si>
  <si>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</si>
  <si>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</si>
  <si>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</si>
  <si>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</si>
  <si>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</si>
  <si>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</si>
  <si>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</si>
  <si>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</si>
  <si>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</si>
  <si>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</si>
  <si>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</si>
  <si>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</si>
  <si>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</si>
  <si>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</si>
  <si>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</si>
  <si>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</si>
  <si>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</si>
  <si>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</si>
  <si>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</si>
  <si>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</si>
  <si>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</si>
  <si>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</si>
  <si>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</si>
  <si>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</si>
  <si>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</si>
  <si>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</si>
  <si>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</si>
  <si>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</si>
  <si>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</si>
  <si>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</si>
  <si>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</si>
  <si>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</si>
  <si>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</si>
  <si>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</si>
  <si>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</si>
  <si>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</si>
  <si>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</si>
  <si>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</si>
  <si>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</si>
  <si>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</si>
  <si>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</si>
  <si>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</si>
  <si>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</si>
  <si>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</si>
  <si>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</si>
  <si>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</si>
  <si>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</si>
  <si>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</si>
  <si>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</si>
  <si>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</si>
  <si>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</si>
  <si>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</si>
  <si>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</si>
  <si>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</si>
  <si>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</si>
  <si>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</si>
  <si>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</si>
  <si>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</si>
  <si>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</si>
  <si>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</si>
  <si>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</si>
  <si>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</si>
  <si>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</si>
  <si>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</si>
  <si>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</si>
  <si>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</si>
  <si>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</si>
  <si>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</si>
  <si>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</si>
  <si>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</si>
  <si>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</si>
  <si>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</si>
  <si>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</si>
  <si>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</si>
  <si>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</si>
  <si>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</si>
  <si>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</si>
  <si>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</si>
  <si>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</si>
  <si>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</si>
  <si>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</si>
  <si>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</si>
  <si>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</si>
  <si>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</si>
  <si>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</si>
  <si>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</si>
  <si>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</si>
  <si>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</si>
  <si>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</si>
  <si>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</si>
  <si>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</si>
  <si>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</si>
  <si>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</si>
  <si>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</si>
  <si>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</si>
  <si>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</si>
  <si>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</si>
  <si>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</si>
  <si>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</si>
  <si>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</si>
  <si>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</si>
  <si>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</si>
  <si>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</si>
  <si>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</si>
  <si>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</si>
  <si>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</si>
  <si>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</si>
  <si>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</si>
  <si>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</si>
  <si>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</si>
  <si>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</si>
  <si>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</si>
  <si>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</si>
  <si>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</si>
  <si>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</si>
  <si>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</si>
  <si>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</si>
  <si>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</si>
  <si>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</si>
  <si>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</si>
  <si>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</si>
  <si>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</si>
  <si>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</si>
  <si>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</si>
  <si>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</si>
  <si>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</si>
  <si>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</si>
  <si>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</si>
  <si>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</si>
  <si>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</si>
  <si>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</si>
  <si>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</si>
  <si>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</si>
  <si>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</si>
  <si>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</si>
  <si>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</si>
  <si>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</si>
  <si>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</si>
  <si>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</si>
  <si>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</si>
  <si>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</si>
  <si>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</si>
  <si>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</si>
  <si>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</si>
  <si>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</si>
  <si>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</si>
  <si>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</si>
  <si>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</si>
  <si>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</si>
  <si>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</si>
  <si>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</si>
  <si>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</si>
  <si>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</si>
  <si>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</si>
  <si>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</si>
  <si>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</si>
  <si>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</si>
  <si>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</si>
  <si>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</si>
  <si>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</si>
  <si>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</si>
  <si>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</si>
  <si>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</si>
  <si>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</si>
  <si>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</si>
  <si>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</si>
  <si>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</si>
  <si>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</si>
  <si>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</si>
  <si>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</si>
  <si>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</si>
  <si>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</si>
  <si>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</si>
  <si>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</si>
  <si>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</si>
  <si>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</si>
  <si>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</si>
  <si>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</si>
  <si>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</si>
  <si>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</si>
  <si>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</si>
  <si>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</si>
  <si>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</si>
  <si>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</si>
  <si>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</si>
  <si>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</si>
  <si>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</si>
  <si>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</si>
  <si>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</si>
  <si>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</si>
  <si>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</si>
  <si>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</si>
  <si>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</si>
  <si>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</si>
  <si>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</si>
  <si>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</si>
  <si>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</si>
  <si>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</si>
  <si>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</si>
  <si>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</si>
  <si>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</si>
  <si>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</si>
  <si>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</si>
  <si>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</si>
  <si>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</si>
  <si>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</si>
  <si>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</si>
  <si>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</si>
  <si>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</si>
  <si>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</si>
  <si>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</si>
  <si>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</si>
  <si>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</si>
  <si>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</si>
  <si>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</si>
  <si>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</si>
  <si>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</si>
  <si>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</si>
  <si>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</si>
  <si>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</si>
  <si>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</si>
  <si>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</si>
  <si>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</si>
  <si>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</si>
  <si>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</si>
  <si>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</si>
  <si>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</si>
  <si>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</si>
  <si>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</si>
  <si>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</si>
  <si>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</si>
  <si>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</si>
  <si>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</si>
  <si>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</si>
  <si>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</si>
  <si>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</si>
  <si>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</si>
  <si>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</si>
  <si>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</si>
  <si>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</si>
  <si>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</si>
  <si>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</si>
  <si>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</si>
  <si>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</si>
  <si>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</si>
  <si>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</si>
  <si>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</si>
  <si>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</si>
  <si>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</si>
  <si>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</si>
  <si>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</si>
  <si>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</si>
  <si>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</si>
  <si>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</si>
  <si>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</si>
  <si>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</si>
  <si>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</si>
  <si>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</si>
  <si>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</si>
  <si>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</si>
  <si>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</si>
  <si>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</si>
  <si>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</si>
  <si>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</si>
  <si>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</si>
  <si>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</si>
  <si>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</si>
  <si>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</si>
  <si>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</si>
  <si>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</si>
  <si>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</si>
  <si>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</si>
  <si>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</si>
  <si>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</si>
  <si>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</si>
  <si>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</si>
  <si>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</si>
  <si>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</si>
  <si>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</si>
  <si>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</si>
  <si>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</si>
  <si>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</si>
  <si>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</si>
  <si>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</si>
  <si>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</si>
  <si>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</si>
  <si>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</si>
  <si>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</si>
  <si>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</si>
  <si>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</si>
  <si>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</si>
  <si>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</si>
  <si>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</si>
  <si>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</si>
  <si>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</si>
  <si>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</si>
  <si>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</si>
  <si>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</si>
  <si>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</si>
  <si>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</si>
  <si>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</si>
  <si>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</si>
  <si>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</si>
  <si>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</si>
  <si>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</si>
  <si>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</si>
  <si>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</si>
  <si>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</si>
  <si>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</si>
  <si>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</si>
  <si>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</si>
  <si>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</si>
  <si>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</si>
  <si>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</si>
  <si>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</si>
  <si>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</si>
  <si>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</si>
  <si>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</si>
  <si>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</si>
  <si>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</si>
  <si>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</si>
  <si>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</si>
  <si>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</si>
  <si>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</si>
  <si>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</si>
  <si>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</si>
  <si>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</si>
  <si>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</si>
  <si>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</si>
  <si>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</si>
  <si>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</si>
  <si>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</si>
  <si>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</si>
  <si>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</si>
  <si>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</si>
  <si>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</si>
  <si>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</si>
  <si>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</si>
  <si>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</si>
  <si>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</si>
  <si>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</si>
  <si>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</si>
  <si>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</si>
  <si>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</si>
  <si>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</si>
  <si>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</si>
  <si>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</si>
  <si>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</si>
  <si>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</si>
  <si>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</si>
  <si>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</si>
  <si>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</si>
  <si>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</si>
  <si>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</si>
  <si>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</si>
  <si>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</si>
  <si>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</si>
  <si>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</si>
  <si>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</si>
  <si>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</si>
  <si>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</si>
  <si>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</si>
  <si>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</si>
  <si>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</si>
  <si>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</si>
  <si>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</si>
  <si>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</si>
  <si>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</si>
  <si>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</si>
  <si>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</si>
  <si>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</si>
  <si>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</si>
  <si>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</si>
  <si>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</si>
  <si>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</si>
  <si>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</si>
  <si>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</si>
  <si>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</si>
  <si>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</si>
  <si>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</si>
  <si>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</si>
  <si>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</si>
  <si>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</si>
  <si>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</si>
  <si>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</si>
  <si>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</si>
  <si>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</si>
  <si>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</si>
  <si>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</si>
  <si>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</si>
  <si>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</si>
  <si>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</si>
  <si>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</si>
  <si>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</si>
  <si>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</si>
  <si>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</si>
  <si>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</si>
  <si>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</si>
  <si>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</si>
  <si>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</si>
  <si>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</si>
  <si>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</si>
  <si>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</si>
  <si>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</si>
  <si>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</si>
  <si>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</si>
  <si>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</si>
  <si>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</si>
  <si>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</si>
  <si>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</si>
  <si>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</si>
  <si>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</si>
  <si>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</si>
  <si>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</si>
  <si>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</si>
  <si>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</si>
  <si>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</si>
  <si>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</si>
  <si>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</si>
  <si>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</si>
  <si>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</si>
  <si>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</si>
  <si>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</si>
  <si>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</si>
  <si>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</si>
  <si>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</si>
  <si>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</si>
  <si>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</si>
  <si>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</si>
  <si>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</si>
  <si>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</si>
  <si>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</si>
  <si>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</si>
  <si>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</si>
  <si>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</si>
  <si>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</si>
  <si>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</si>
  <si>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</si>
  <si>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</si>
  <si>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</si>
  <si>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</si>
  <si>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</si>
  <si>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</si>
  <si>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</si>
  <si>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</si>
  <si>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</si>
  <si>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</si>
  <si>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</si>
  <si>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</si>
  <si>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</si>
  <si>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</si>
  <si>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</si>
  <si>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</si>
  <si>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</si>
  <si>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</si>
  <si>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</si>
  <si>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</si>
  <si>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</si>
  <si>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</si>
  <si>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</si>
  <si>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</si>
  <si>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</si>
  <si>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</si>
  <si>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</si>
  <si>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</si>
  <si>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</si>
  <si>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</si>
  <si>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</si>
  <si>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</si>
  <si>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</si>
  <si>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</si>
  <si>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</si>
  <si>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</si>
  <si>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</si>
  <si>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</si>
  <si>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</si>
  <si>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</si>
  <si>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</si>
  <si>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</si>
  <si>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</si>
  <si>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</si>
  <si>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</si>
  <si>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</si>
  <si>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</si>
  <si>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</si>
  <si>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</si>
  <si>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</si>
  <si>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</si>
  <si>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</si>
  <si>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</si>
  <si>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</si>
  <si>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</si>
  <si>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</si>
  <si>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</si>
  <si>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</si>
  <si>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</si>
  <si>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</si>
  <si>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</si>
  <si>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</si>
  <si>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</si>
  <si>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</si>
  <si>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</si>
  <si>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</si>
  <si>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</si>
  <si>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</si>
  <si>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</si>
  <si>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</si>
  <si>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</si>
  <si>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</si>
  <si>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</si>
  <si>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</si>
  <si>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</si>
  <si>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</si>
  <si>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</si>
  <si>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</si>
  <si>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</si>
  <si>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</si>
  <si>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</si>
  <si>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</si>
  <si>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</si>
  <si>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</si>
  <si>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</si>
  <si>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</si>
  <si>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</si>
  <si>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</si>
  <si>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</si>
  <si>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</si>
  <si>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</si>
  <si>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</si>
  <si>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</si>
  <si>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</si>
  <si>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</si>
  <si>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</si>
  <si>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</si>
  <si>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</si>
  <si>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</si>
  <si>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</si>
  <si>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</si>
  <si>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</si>
  <si>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</si>
  <si>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</si>
  <si>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</si>
  <si>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</si>
  <si>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</si>
  <si>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</si>
  <si>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</si>
  <si>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</si>
  <si>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</si>
  <si>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</si>
  <si>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</si>
  <si>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</si>
  <si>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</si>
  <si>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</si>
  <si>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</si>
  <si>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</si>
  <si>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</si>
  <si>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</si>
  <si>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</si>
  <si>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</si>
  <si>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</si>
  <si>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</si>
  <si>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</si>
  <si>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</si>
  <si>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</si>
  <si>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</si>
  <si>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</si>
  <si>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</si>
  <si>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</si>
  <si>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</si>
  <si>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</si>
  <si>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</si>
  <si>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</si>
  <si>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</si>
  <si>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</si>
  <si>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</si>
  <si>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</si>
  <si>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</si>
  <si>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</si>
  <si>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</si>
  <si>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</si>
  <si>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</si>
  <si>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</si>
  <si>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</si>
  <si>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</si>
  <si>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</si>
  <si>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</si>
  <si>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</si>
  <si>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</si>
  <si>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</si>
  <si>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</si>
  <si>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</si>
  <si>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</si>
  <si>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</si>
  <si>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</si>
  <si>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</si>
  <si>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</si>
  <si>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</si>
  <si>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</si>
  <si>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</si>
  <si>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</si>
  <si>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</si>
  <si>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</si>
  <si>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</si>
  <si>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</si>
  <si>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</si>
  <si>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</si>
  <si>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</si>
  <si>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</si>
  <si>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</si>
  <si>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</si>
  <si>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</si>
  <si>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</si>
  <si>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</si>
  <si>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</si>
  <si>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</si>
  <si>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</si>
  <si>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</si>
  <si>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</si>
  <si>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</si>
  <si>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</si>
  <si>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</si>
  <si>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</si>
  <si>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</si>
  <si>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</si>
  <si>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</si>
  <si>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</si>
  <si>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</si>
  <si>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</si>
  <si>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</si>
  <si>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</si>
  <si>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</si>
  <si>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</si>
  <si>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</si>
  <si>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</si>
  <si>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</si>
  <si>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</si>
  <si>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</si>
  <si>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</si>
  <si>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</si>
  <si>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</si>
  <si>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</si>
  <si>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</si>
  <si>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</si>
  <si>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</si>
  <si>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</si>
  <si>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</si>
  <si>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</si>
  <si>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</si>
  <si>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</si>
  <si>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</si>
  <si>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</si>
  <si>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</si>
  <si>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</si>
  <si>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</si>
  <si>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</si>
  <si>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</si>
  <si>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</si>
  <si>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</si>
  <si>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</si>
  <si>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</si>
  <si>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</si>
  <si>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</si>
  <si>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</si>
  <si>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</si>
  <si>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</si>
  <si>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</si>
  <si>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</si>
  <si>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</si>
  <si>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</si>
  <si>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</si>
  <si>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</si>
  <si>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</si>
  <si>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</si>
  <si>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</si>
  <si>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</si>
  <si>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</si>
  <si>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</si>
  <si>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</si>
  <si>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</si>
  <si>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</si>
  <si>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</si>
  <si>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</si>
  <si>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</si>
  <si>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</si>
  <si>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</si>
  <si>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</si>
  <si>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</si>
  <si>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</si>
  <si>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</si>
  <si>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</si>
  <si>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</si>
  <si>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</si>
  <si>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</si>
  <si>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</si>
  <si>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</si>
  <si>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</si>
  <si>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</si>
  <si>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</si>
  <si>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</si>
  <si>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</si>
  <si>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</si>
  <si>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</si>
  <si>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</si>
  <si>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</si>
  <si>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</si>
  <si>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</si>
  <si>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</si>
  <si>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</si>
  <si>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</si>
  <si>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</si>
  <si>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</si>
  <si>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</si>
  <si>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</si>
  <si>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</si>
  <si>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</si>
  <si>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</si>
  <si>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</si>
  <si>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</si>
  <si>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</si>
  <si>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</si>
  <si>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</si>
  <si>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</si>
  <si>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</si>
  <si>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</si>
  <si>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</si>
  <si>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</si>
  <si>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</si>
  <si>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</si>
  <si>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</si>
  <si>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</si>
  <si>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</si>
  <si>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</si>
  <si>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</si>
  <si>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</si>
  <si>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</si>
  <si>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</si>
  <si>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</si>
  <si>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</si>
  <si>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</si>
  <si>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</si>
  <si>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</si>
  <si>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</si>
  <si>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</si>
  <si>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</si>
  <si>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</si>
  <si>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</si>
  <si>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</si>
  <si>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</si>
  <si>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</si>
  <si>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</si>
  <si>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</si>
  <si>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</si>
  <si>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</si>
  <si>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</si>
  <si>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</si>
  <si>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</si>
  <si>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</si>
  <si>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</si>
  <si>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</si>
  <si>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</si>
  <si>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</si>
  <si>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</si>
  <si>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</si>
  <si>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</si>
  <si>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</si>
  <si>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</si>
  <si>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</si>
  <si>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</si>
  <si>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</si>
  <si>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</si>
  <si>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</si>
  <si>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</si>
  <si>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</si>
  <si>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</si>
  <si>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</si>
  <si>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</si>
  <si>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</si>
  <si>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</si>
  <si>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</si>
  <si>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</si>
  <si>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</si>
  <si>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</si>
  <si>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</si>
  <si>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</si>
  <si>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</si>
  <si>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</si>
  <si>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</si>
  <si>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</si>
  <si>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</si>
  <si>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</si>
  <si>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</si>
  <si>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</si>
  <si>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</si>
  <si>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</si>
  <si>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</si>
  <si>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</si>
  <si>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</si>
  <si>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</si>
  <si>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</si>
  <si>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</si>
  <si>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</si>
  <si>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</si>
  <si>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</si>
  <si>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</si>
  <si>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</si>
  <si>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</si>
  <si>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</si>
  <si>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</si>
  <si>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</si>
  <si>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</si>
  <si>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</si>
  <si>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</si>
  <si>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</si>
  <si>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</si>
  <si>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</si>
  <si>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</si>
  <si>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</si>
  <si>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</si>
  <si>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</si>
  <si>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</si>
  <si>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</si>
  <si>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</si>
  <si>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</si>
  <si>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</si>
  <si>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</si>
  <si>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</si>
  <si>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</si>
  <si>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</si>
  <si>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</si>
  <si>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</si>
  <si>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</si>
  <si>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</si>
  <si>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</si>
  <si>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</si>
  <si>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</si>
  <si>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</si>
  <si>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</si>
  <si>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</si>
  <si>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</si>
  <si>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</si>
  <si>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</si>
  <si>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</si>
  <si>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</si>
  <si>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</si>
  <si>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</si>
  <si>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</si>
  <si>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</si>
  <si>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</si>
  <si>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</si>
  <si>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</si>
  <si>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</si>
  <si>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</si>
  <si>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</si>
  <si>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</si>
  <si>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</si>
  <si>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</si>
  <si>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</si>
  <si>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</si>
  <si>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</si>
  <si>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</si>
  <si>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</si>
  <si>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</si>
  <si>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</si>
  <si>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</si>
  <si>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</si>
  <si>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</si>
  <si>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</si>
  <si>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</si>
  <si>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</si>
  <si>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</si>
  <si>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</si>
  <si>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</si>
  <si>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</si>
  <si>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</si>
  <si>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1/10</t>
  </si>
  <si>
    <t>1/30</t>
  </si>
  <si>
    <t>8/13</t>
  </si>
  <si>
    <t>8/28</t>
  </si>
  <si>
    <t>City Council voted to allow us to use $100,000 of fund balance as revenue in FY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</si>
</sst>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1407</v>
      </c>
      <c r="B2">
        <f>INDEX('School Tables'!$AH$3:$AH$209,MATCH('DOE25'!A2,'School Tables'!$AJ$3:$AJ$209,0))</f>
        <v>491</v>
      </c>
      <c r="C2">
        <f>INDEX('School Tables'!$AI$3:$AI$209,MATCH('DOE25'!A2,'School Tables'!$AJ$3:$AJ$209,0))</f>
        <v>491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100000</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727270.89+550819.72</f>
        <v>1278090.6099999999</v>
      </c>
      <c r="G12" s="18">
        <v>441396.93</v>
      </c>
      <c r="H12" s="18">
        <v>0</v>
      </c>
      <c r="I12" s="18">
        <v>0</v>
      </c>
      <c r="J12" s="13">
        <f>SUM(I442)</f>
        <v>36772.65</v>
      </c>
      <c r="K12" s="23" t="s">
        <v>288</v>
      </c>
      <c r="L12" s="23" t="s">
        <v>288</v>
      </c>
      <c r="M12" s="8"/>
      <c r="N12" s="165"/>
    </row>
    <row r="13" spans="1:14" s="3" customFormat="1" ht="12.2" customHeight="1" x14ac:dyDescent="0.15">
      <c r="A13" s="1" t="s">
        <v>604</v>
      </c>
      <c r="B13" s="2" t="s">
        <v>289</v>
      </c>
      <c r="C13" s="6">
        <v>5</v>
      </c>
      <c r="D13" s="2" t="s">
        <v>428</v>
      </c>
      <c r="E13" s="6">
        <v>140</v>
      </c>
      <c r="F13" s="18">
        <v>91028.43</v>
      </c>
      <c r="G13" s="18">
        <v>118222.86</v>
      </c>
      <c r="H13" s="18">
        <v>1054184.47</v>
      </c>
      <c r="I13" s="18">
        <v>0</v>
      </c>
      <c r="J13" s="13">
        <f>SUM(I443)</f>
        <v>2500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1469119.0399999998</v>
      </c>
      <c r="G19" s="38">
        <f>SUM(G9:G18)</f>
        <v>559619.79</v>
      </c>
      <c r="H19" s="38">
        <f>SUM(H9:H18)</f>
        <v>1054184.47</v>
      </c>
      <c r="I19" s="38">
        <f>SUM(I9:I18)</f>
        <v>0</v>
      </c>
      <c r="J19" s="38">
        <f>SUM(J9:J18)</f>
        <v>39272.65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441396.93+36772.65</f>
        <v>478169.58</v>
      </c>
      <c r="G22" s="18">
        <v>0</v>
      </c>
      <c r="H22" s="18">
        <v>550819.72</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872918.84</v>
      </c>
      <c r="G23" s="18">
        <v>103992.44</v>
      </c>
      <c r="H23" s="18">
        <v>472135.21</v>
      </c>
      <c r="I23" s="18">
        <v>0</v>
      </c>
      <c r="J23" s="13">
        <f>SUM(I450)</f>
        <v>2622.89</v>
      </c>
      <c r="K23" s="23" t="s">
        <v>288</v>
      </c>
      <c r="L23" s="23" t="s">
        <v>288</v>
      </c>
      <c r="M23" s="8"/>
      <c r="N23" s="165"/>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18030.62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18996.87</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1369119.04</v>
      </c>
      <c r="G32" s="38">
        <f>SUM(G22:G31)</f>
        <v>122989.31</v>
      </c>
      <c r="H32" s="38">
        <f>SUM(H22:H31)</f>
        <v>1022954.9299999999</v>
      </c>
      <c r="I32" s="38">
        <f>SUM(I22:I31)</f>
        <v>0</v>
      </c>
      <c r="J32" s="38">
        <f>SUM(J22:J31)</f>
        <v>2622.89</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436630.48</v>
      </c>
      <c r="H48" s="18">
        <v>31229.54</v>
      </c>
      <c r="I48" s="18">
        <v>0</v>
      </c>
      <c r="J48" s="13">
        <f>SUM(I460)</f>
        <v>36649.760000000002</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100000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100000</v>
      </c>
      <c r="G51" s="38">
        <f>SUM(G35:G50)</f>
        <v>436630.48</v>
      </c>
      <c r="H51" s="38">
        <f>SUM(H35:H50)</f>
        <v>31229.54</v>
      </c>
      <c r="I51" s="38">
        <f>SUM(I35:I50)</f>
        <v>0</v>
      </c>
      <c r="J51" s="38">
        <f>SUM(J35:J50)</f>
        <v>36649.760000000002</v>
      </c>
      <c r="K51" s="42" t="s">
        <v>288</v>
      </c>
      <c r="L51" s="42" t="s">
        <v>288</v>
      </c>
      <c r="N51" s="131"/>
    </row>
    <row r="52" spans="1:14" s="3" customFormat="1" ht="12.2" customHeight="1" thickTop="1" x14ac:dyDescent="0.15">
      <c r="A52" s="35" t="s">
        <v>455</v>
      </c>
      <c r="B52" s="36" t="s">
        <v>289</v>
      </c>
      <c r="C52" s="6">
        <v>37</v>
      </c>
      <c r="D52" s="36" t="s">
        <v>653</v>
      </c>
      <c r="E52" s="36"/>
      <c r="F52" s="38">
        <f>F51+F32</f>
        <v>1469119.04</v>
      </c>
      <c r="G52" s="38">
        <f>G51+G32</f>
        <v>559619.79</v>
      </c>
      <c r="H52" s="38">
        <f>H51+H32</f>
        <v>1054184.47</v>
      </c>
      <c r="I52" s="38">
        <f>I51+I32</f>
        <v>0</v>
      </c>
      <c r="J52" s="38">
        <f>J51+J32</f>
        <v>39272.65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17115547.949999999</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17115547.949999999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43630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f>50310.58</f>
        <v>50310.58</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93940.58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0</v>
      </c>
      <c r="G96" s="18">
        <v>0</v>
      </c>
      <c r="H96" s="18">
        <v>0</v>
      </c>
      <c r="I96" s="18">
        <v>0</v>
      </c>
      <c r="J96" s="18">
        <v>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385115.22+47128.35+2451.25-207872.92+10202.47+60922+26806.01</f>
        <v>324752.37999999995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3500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200366+31431.05+367.02+26618.99+58067+191669.47</f>
        <v>508519.52999999991</v>
      </c>
      <c r="G110" s="18">
        <v>24512.71</v>
      </c>
      <c r="H110" s="18">
        <f>2000+500+57940.14+576</f>
        <v>61016.14</v>
      </c>
      <c r="I110" s="18">
        <v>0</v>
      </c>
      <c r="J110" s="18">
        <v>72838.259999999995</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512019.52999999991</v>
      </c>
      <c r="G111" s="38">
        <f>SUM(G96:G110)</f>
        <v>349265.08999999997</v>
      </c>
      <c r="H111" s="38">
        <f>SUM(H96:H110)</f>
        <v>61016.14</v>
      </c>
      <c r="I111" s="38">
        <f>SUM(I96:I110)</f>
        <v>0</v>
      </c>
      <c r="J111" s="38">
        <f>SUM(J96:J110)</f>
        <v>72838.259999999995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17721508.059999999</v>
      </c>
      <c r="G112" s="38">
        <f>G60+G111</f>
        <v>349265.08999999997</v>
      </c>
      <c r="H112" s="38">
        <f>H60+H79+H94+H111</f>
        <v>61016.14</v>
      </c>
      <c r="I112" s="38">
        <f>I60+I111</f>
        <v>0</v>
      </c>
      <c r="J112" s="38">
        <f>J60+J111</f>
        <v>72838.259999999995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8122364.46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1500784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2037.11+137384.56</f>
        <v>139421.66999999998</v>
      </c>
      <c r="G120" s="18">
        <v>47051.78</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9762570.1300000008</v>
      </c>
      <c r="G121" s="38">
        <f>SUM(G117:G120)</f>
        <v>47051.78</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486345.43</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469981.5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75984.59</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4208.8</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8575.9599999999991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47258.31</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1036520.32</v>
      </c>
      <c r="G136" s="38">
        <f>SUM(G123:G135)</f>
        <v>55834.27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10799090.450000001</v>
      </c>
      <c r="G140" s="38">
        <f>G121+SUM(G136:G137)</f>
        <v>102886.04999999999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90674.22+584684.25</f>
        <v>675358.47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1588.81+7218.67+2584.68+48916.43+36799.98+13287.73+61429.18+995.37</f>
        <v>172820.85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514.5+57589.77+50000</f>
        <v>108104.26999999999</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415524.61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4665.34+11191.56+26263.05+421696.54+3019.62</f>
        <v>466836.11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113085.22</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f>17198.27</f>
        <v>17198.27</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2145188.15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113085.22</v>
      </c>
      <c r="G163" s="38">
        <f>SUM(G150:G162)</f>
        <v>415524.61</v>
      </c>
      <c r="H163" s="38">
        <f>SUM(H150:H162)</f>
        <v>3585506.12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c r="H164" s="18"/>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113085.22</v>
      </c>
      <c r="G170" s="38">
        <f>G147+G163+SUM(G164:G169)</f>
        <v>415524.61</v>
      </c>
      <c r="H170" s="38">
        <f>H147+H163+SUM(H164:H169)</f>
        <v>3585506.12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28633683.729999997</v>
      </c>
      <c r="G194" s="38">
        <f>G112+G140+G170+G193</f>
        <v>867675.75</v>
      </c>
      <c r="H194" s="38">
        <f>H112+H140+H170+H193</f>
        <v>3646522.2600000002</v>
      </c>
      <c r="I194" s="38">
        <f>I112+I140+I170+I193</f>
        <v>0</v>
      </c>
      <c r="J194" s="38">
        <f>J112+J140+J193</f>
        <v>72838.259999999995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2576658.11+65683.39+0.02</f>
        <v>2642341.52</v>
      </c>
      <c r="G198" s="18">
        <f>1430349.96+137838.52</f>
        <v>1568188.48</v>
      </c>
      <c r="H198" s="18">
        <f>62893.02+978.02+13742.68</f>
        <v>77613.72</v>
      </c>
      <c r="I198" s="18">
        <v>60918.29</v>
      </c>
      <c r="J198" s="18">
        <v>2595.69</v>
      </c>
      <c r="K198" s="18">
        <v>0</v>
      </c>
      <c r="L198" s="13">
        <f>SUM(F198:K198)</f>
        <v>4351657.7</v>
      </c>
      <c r="M198" s="8"/>
      <c r="N198" s="165"/>
    </row>
    <row r="199" spans="1:14" s="3" customFormat="1" ht="12.2" customHeight="1" x14ac:dyDescent="0.15">
      <c r="A199" s="1" t="s">
        <v>439</v>
      </c>
      <c r="B199" s="2" t="s">
        <v>341</v>
      </c>
      <c r="C199" s="2" t="s">
        <v>291</v>
      </c>
      <c r="D199" s="2" t="s">
        <v>431</v>
      </c>
      <c r="E199" s="6">
        <v>1200</v>
      </c>
      <c r="F199" s="18">
        <v>1238822.8</v>
      </c>
      <c r="G199" s="18">
        <v>783271.05</v>
      </c>
      <c r="H199" s="18">
        <v>727221.62</v>
      </c>
      <c r="I199" s="18">
        <v>3483.01</v>
      </c>
      <c r="J199" s="18">
        <v>1618.73</v>
      </c>
      <c r="K199" s="18">
        <v>0</v>
      </c>
      <c r="L199" s="13">
        <f>SUM(F199:K199)</f>
        <v>2754417.21</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85636.27</v>
      </c>
      <c r="G201" s="18">
        <v>25912.95</v>
      </c>
      <c r="H201" s="18">
        <v>11719.22</v>
      </c>
      <c r="I201" s="18">
        <v>5311.89</v>
      </c>
      <c r="J201" s="18">
        <v>0</v>
      </c>
      <c r="K201" s="18">
        <v>0</v>
      </c>
      <c r="L201" s="13">
        <f>SUM(F201:K201)</f>
        <v>128580.33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362622.64</v>
      </c>
      <c r="G203" s="18">
        <v>200178.72</v>
      </c>
      <c r="H203" s="18">
        <v>238274.87</v>
      </c>
      <c r="I203" s="18">
        <v>3917.36</v>
      </c>
      <c r="J203" s="18">
        <v>0</v>
      </c>
      <c r="K203" s="18">
        <v>4266.92</v>
      </c>
      <c r="L203" s="13">
        <f t="shared" ref="L203:L209" si="0">SUM(F203:K203)</f>
        <v>809260.51</v>
      </c>
      <c r="M203" s="8"/>
      <c r="N203" s="165"/>
    </row>
    <row r="204" spans="1:14" s="3" customFormat="1" ht="12.2" customHeight="1" x14ac:dyDescent="0.15">
      <c r="A204" s="1" t="s">
        <v>443</v>
      </c>
      <c r="B204" s="2" t="s">
        <v>341</v>
      </c>
      <c r="C204" s="2" t="s">
        <v>295</v>
      </c>
      <c r="D204" s="2" t="s">
        <v>431</v>
      </c>
      <c r="E204" s="6">
        <v>2200</v>
      </c>
      <c r="F204" s="18">
        <v>63775</v>
      </c>
      <c r="G204" s="18">
        <v>43161.97</v>
      </c>
      <c r="H204" s="18">
        <v>28672.78</v>
      </c>
      <c r="I204" s="18">
        <v>4714.01</v>
      </c>
      <c r="J204" s="18">
        <v>0</v>
      </c>
      <c r="K204" s="18">
        <v>0</v>
      </c>
      <c r="L204" s="13">
        <f t="shared" si="0"/>
        <v>140323.76</v>
      </c>
      <c r="M204" s="8"/>
      <c r="N204" s="165"/>
    </row>
    <row r="205" spans="1:14" s="3" customFormat="1" ht="12.2" customHeight="1" x14ac:dyDescent="0.15">
      <c r="A205" s="1" t="s">
        <v>444</v>
      </c>
      <c r="B205" s="2" t="s">
        <v>341</v>
      </c>
      <c r="C205" s="2" t="s">
        <v>296</v>
      </c>
      <c r="D205" s="2" t="s">
        <v>431</v>
      </c>
      <c r="E205" s="6">
        <v>2300</v>
      </c>
      <c r="F205" s="18">
        <v>335149.09000000003</v>
      </c>
      <c r="G205" s="18">
        <v>157393.92000000001</v>
      </c>
      <c r="H205" s="18">
        <v>157954.49</v>
      </c>
      <c r="I205" s="18">
        <v>12746.48</v>
      </c>
      <c r="J205" s="18">
        <v>3203.51</v>
      </c>
      <c r="K205" s="18">
        <v>7527.31</v>
      </c>
      <c r="L205" s="13">
        <f t="shared" si="0"/>
        <v>673974.8</v>
      </c>
      <c r="M205" s="8"/>
      <c r="N205" s="165"/>
    </row>
    <row r="206" spans="1:14" s="3" customFormat="1" ht="12.2" customHeight="1" x14ac:dyDescent="0.15">
      <c r="A206" s="1" t="s">
        <v>445</v>
      </c>
      <c r="B206" s="2" t="s">
        <v>341</v>
      </c>
      <c r="C206" s="2" t="s">
        <v>297</v>
      </c>
      <c r="D206" s="2" t="s">
        <v>431</v>
      </c>
      <c r="E206" s="6">
        <v>2400</v>
      </c>
      <c r="F206" s="18">
        <v>526070.37</v>
      </c>
      <c r="G206" s="18">
        <v>252936.89</v>
      </c>
      <c r="H206" s="18">
        <v>5771.95</v>
      </c>
      <c r="I206" s="18">
        <v>8318.5400000000009</v>
      </c>
      <c r="J206" s="18">
        <v>0</v>
      </c>
      <c r="K206" s="18">
        <v>2718</v>
      </c>
      <c r="L206" s="13">
        <f t="shared" si="0"/>
        <v>795815.75</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397643.3</v>
      </c>
      <c r="G208" s="18">
        <v>208770.61</v>
      </c>
      <c r="H208" s="18">
        <v>304059.19</v>
      </c>
      <c r="I208" s="18">
        <v>239356.94</v>
      </c>
      <c r="J208" s="18">
        <v>647.32000000000005</v>
      </c>
      <c r="K208" s="18">
        <v>0</v>
      </c>
      <c r="L208" s="13">
        <f t="shared" si="0"/>
        <v>1150477.3599999999</v>
      </c>
      <c r="M208" s="8"/>
      <c r="N208" s="165"/>
    </row>
    <row r="209" spans="1:14" s="3" customFormat="1" ht="12.2" customHeight="1" x14ac:dyDescent="0.15">
      <c r="A209" s="1" t="s">
        <v>448</v>
      </c>
      <c r="B209" s="2" t="s">
        <v>341</v>
      </c>
      <c r="C209" s="2" t="s">
        <v>300</v>
      </c>
      <c r="D209" s="2" t="s">
        <v>431</v>
      </c>
      <c r="E209" s="6">
        <v>2700</v>
      </c>
      <c r="F209" s="18">
        <v>0</v>
      </c>
      <c r="G209" s="18">
        <v>0</v>
      </c>
      <c r="H209" s="18">
        <v>655403.37</v>
      </c>
      <c r="I209" s="18">
        <v>1039.74</v>
      </c>
      <c r="J209" s="18">
        <v>0</v>
      </c>
      <c r="K209" s="18">
        <v>0</v>
      </c>
      <c r="L209" s="13">
        <f t="shared" si="0"/>
        <v>656443.11</v>
      </c>
      <c r="M209" s="8"/>
      <c r="N209" s="165"/>
    </row>
    <row r="210" spans="1:14" s="3" customFormat="1" ht="12.2" customHeight="1" x14ac:dyDescent="0.15">
      <c r="A210" s="1" t="s">
        <v>449</v>
      </c>
      <c r="B210" s="2" t="s">
        <v>341</v>
      </c>
      <c r="C210" s="2" t="s">
        <v>343</v>
      </c>
      <c r="D210" s="2" t="s">
        <v>431</v>
      </c>
      <c r="E210" s="6">
        <v>2800</v>
      </c>
      <c r="F210" s="18">
        <v>0</v>
      </c>
      <c r="G210" s="18">
        <v>0</v>
      </c>
      <c r="H210" s="18">
        <v>120818.61</v>
      </c>
      <c r="I210" s="18">
        <v>50360.54</v>
      </c>
      <c r="J210" s="18">
        <v>11213.43</v>
      </c>
      <c r="K210" s="18">
        <v>0</v>
      </c>
      <c r="L210" s="13">
        <f>SUM(F210:K210)</f>
        <v>182392.58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5652060.9900000002</v>
      </c>
      <c r="G212" s="38">
        <f t="shared" si="1"/>
        <v>3239814.5900000008</v>
      </c>
      <c r="H212" s="38">
        <f t="shared" si="1"/>
        <v>2327509.8199999998</v>
      </c>
      <c r="I212" s="38">
        <f t="shared" si="1"/>
        <v>390166.8</v>
      </c>
      <c r="J212" s="38">
        <f t="shared" si="1"/>
        <v>19278.68</v>
      </c>
      <c r="K212" s="38">
        <f t="shared" si="1"/>
        <v>14512.23</v>
      </c>
      <c r="L212" s="38">
        <f t="shared" si="1"/>
        <v>11643343.109999999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1378839.11+34515.16+0.02</f>
        <v>1413354.29</v>
      </c>
      <c r="G216" s="18">
        <f>721623.56+72431.07</f>
        <v>794054.63000000012</v>
      </c>
      <c r="H216" s="18">
        <f>43504.73+513.93+7221.47</f>
        <v>51240.130000000005</v>
      </c>
      <c r="I216" s="18">
        <v>41377.339999999997</v>
      </c>
      <c r="J216" s="18">
        <v>2259.16</v>
      </c>
      <c r="K216" s="18">
        <v>0</v>
      </c>
      <c r="L216" s="13">
        <f>SUM(F216:K216)</f>
        <v>2302285.5499999998</v>
      </c>
      <c r="M216" s="8"/>
      <c r="N216" s="165"/>
    </row>
    <row r="217" spans="1:14" s="3" customFormat="1" ht="12.2" customHeight="1" x14ac:dyDescent="0.15">
      <c r="A217" s="1" t="s">
        <v>439</v>
      </c>
      <c r="B217" s="2" t="s">
        <v>346</v>
      </c>
      <c r="C217" s="2" t="s">
        <v>291</v>
      </c>
      <c r="D217" s="2" t="s">
        <v>431</v>
      </c>
      <c r="E217" s="6">
        <v>1200</v>
      </c>
      <c r="F217" s="18">
        <v>530397.24</v>
      </c>
      <c r="G217" s="18">
        <v>307542.78000000003</v>
      </c>
      <c r="H217" s="18">
        <v>478372.79</v>
      </c>
      <c r="I217" s="18">
        <v>3140.22</v>
      </c>
      <c r="J217" s="18">
        <v>0</v>
      </c>
      <c r="K217" s="18">
        <v>0</v>
      </c>
      <c r="L217" s="13">
        <f>SUM(F217:K217)</f>
        <v>1319453.03</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77031.95</v>
      </c>
      <c r="G219" s="18">
        <v>21837.279999999999</v>
      </c>
      <c r="H219" s="18">
        <v>8759.51</v>
      </c>
      <c r="I219" s="18">
        <v>4186.1499999999996</v>
      </c>
      <c r="J219" s="18">
        <v>1085.28</v>
      </c>
      <c r="K219" s="18">
        <v>0</v>
      </c>
      <c r="L219" s="13">
        <f>SUM(F219:K219)</f>
        <v>112900.16999999998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270703.23</v>
      </c>
      <c r="G221" s="18">
        <v>155628.39000000001</v>
      </c>
      <c r="H221" s="18">
        <v>134604.45000000001</v>
      </c>
      <c r="I221" s="18">
        <v>2264.98</v>
      </c>
      <c r="J221" s="18">
        <v>0</v>
      </c>
      <c r="K221" s="18">
        <v>2500.17</v>
      </c>
      <c r="L221" s="13">
        <f t="shared" ref="L221:L227" si="2">SUM(F221:K221)</f>
        <v>565701.22000000009</v>
      </c>
      <c r="M221" s="8"/>
      <c r="N221" s="165"/>
    </row>
    <row r="222" spans="1:14" s="3" customFormat="1" ht="12.2" customHeight="1" x14ac:dyDescent="0.15">
      <c r="A222" s="1" t="s">
        <v>443</v>
      </c>
      <c r="B222" s="2" t="s">
        <v>346</v>
      </c>
      <c r="C222" s="2" t="s">
        <v>295</v>
      </c>
      <c r="D222" s="2" t="s">
        <v>431</v>
      </c>
      <c r="E222" s="6">
        <v>2200</v>
      </c>
      <c r="F222" s="18">
        <v>50566</v>
      </c>
      <c r="G222" s="18">
        <v>40670.269999999997</v>
      </c>
      <c r="H222" s="18">
        <v>14579.28</v>
      </c>
      <c r="I222" s="18">
        <v>4351.93</v>
      </c>
      <c r="J222" s="18">
        <v>0</v>
      </c>
      <c r="K222" s="18">
        <v>0</v>
      </c>
      <c r="L222" s="13">
        <f t="shared" si="2"/>
        <v>110167.47999999998</v>
      </c>
      <c r="M222" s="8"/>
      <c r="N222" s="165"/>
    </row>
    <row r="223" spans="1:14" s="3" customFormat="1" ht="12.2" customHeight="1" x14ac:dyDescent="0.15">
      <c r="A223" s="1" t="s">
        <v>444</v>
      </c>
      <c r="B223" s="2" t="s">
        <v>346</v>
      </c>
      <c r="C223" s="2" t="s">
        <v>296</v>
      </c>
      <c r="D223" s="2" t="s">
        <v>431</v>
      </c>
      <c r="E223" s="6">
        <v>2300</v>
      </c>
      <c r="F223" s="18">
        <v>176113.38</v>
      </c>
      <c r="G223" s="18">
        <v>82707</v>
      </c>
      <c r="H223" s="18">
        <v>17422.91</v>
      </c>
      <c r="I223" s="18">
        <v>6697.99</v>
      </c>
      <c r="J223" s="18">
        <v>1683.37</v>
      </c>
      <c r="K223" s="18">
        <v>3955.43</v>
      </c>
      <c r="L223" s="13">
        <f t="shared" si="2"/>
        <v>288580.07999999996</v>
      </c>
      <c r="M223" s="8"/>
      <c r="N223" s="165"/>
    </row>
    <row r="224" spans="1:14" s="3" customFormat="1" ht="12.2" customHeight="1" x14ac:dyDescent="0.15">
      <c r="A224" s="1" t="s">
        <v>445</v>
      </c>
      <c r="B224" s="2" t="s">
        <v>346</v>
      </c>
      <c r="C224" s="2" t="s">
        <v>297</v>
      </c>
      <c r="D224" s="2" t="s">
        <v>431</v>
      </c>
      <c r="E224" s="6">
        <v>2400</v>
      </c>
      <c r="F224" s="18">
        <v>286938.33</v>
      </c>
      <c r="G224" s="18">
        <v>159570.19</v>
      </c>
      <c r="H224" s="18">
        <v>4951.03</v>
      </c>
      <c r="I224" s="18">
        <v>13421.78</v>
      </c>
      <c r="J224" s="18">
        <v>1645.71</v>
      </c>
      <c r="K224" s="18">
        <v>1895</v>
      </c>
      <c r="L224" s="13">
        <f t="shared" si="2"/>
        <v>468422.0400000001</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190675.43</v>
      </c>
      <c r="G226" s="18">
        <v>94925.39</v>
      </c>
      <c r="H226" s="18">
        <v>144213.92000000001</v>
      </c>
      <c r="I226" s="18">
        <v>99469.89</v>
      </c>
      <c r="J226" s="18">
        <v>80.260000000000005</v>
      </c>
      <c r="K226" s="18">
        <v>0</v>
      </c>
      <c r="L226" s="13">
        <f t="shared" si="2"/>
        <v>529364.89</v>
      </c>
      <c r="M226" s="8"/>
      <c r="N226" s="165"/>
    </row>
    <row r="227" spans="1:14" s="3" customFormat="1" ht="12.2" customHeight="1" x14ac:dyDescent="0.15">
      <c r="A227" s="1" t="s">
        <v>448</v>
      </c>
      <c r="B227" s="2" t="s">
        <v>346</v>
      </c>
      <c r="C227" s="2" t="s">
        <v>300</v>
      </c>
      <c r="D227" s="2" t="s">
        <v>431</v>
      </c>
      <c r="E227" s="6">
        <v>2700</v>
      </c>
      <c r="F227" s="18">
        <v>0</v>
      </c>
      <c r="G227" s="18">
        <v>0</v>
      </c>
      <c r="H227" s="18">
        <v>348906.29</v>
      </c>
      <c r="I227" s="18">
        <v>546.36</v>
      </c>
      <c r="J227" s="18">
        <v>0</v>
      </c>
      <c r="K227" s="18">
        <v>0</v>
      </c>
      <c r="L227" s="13">
        <f t="shared" si="2"/>
        <v>349452.64999999997</v>
      </c>
      <c r="M227" s="8"/>
      <c r="N227" s="165"/>
    </row>
    <row r="228" spans="1:14" s="3" customFormat="1" ht="12.2" customHeight="1" x14ac:dyDescent="0.15">
      <c r="A228" s="1" t="s">
        <v>449</v>
      </c>
      <c r="B228" s="2" t="s">
        <v>346</v>
      </c>
      <c r="C228" s="2" t="s">
        <v>343</v>
      </c>
      <c r="D228" s="2" t="s">
        <v>431</v>
      </c>
      <c r="E228" s="6">
        <v>2800</v>
      </c>
      <c r="F228" s="18">
        <v>0</v>
      </c>
      <c r="G228" s="18">
        <v>0</v>
      </c>
      <c r="H228" s="18">
        <v>63487.49</v>
      </c>
      <c r="I228" s="18">
        <v>26463.34</v>
      </c>
      <c r="J228" s="18">
        <v>5892.41</v>
      </c>
      <c r="K228" s="18">
        <v>0</v>
      </c>
      <c r="L228" s="13">
        <f>SUM(F228:K228)</f>
        <v>95843.24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2995779.85</v>
      </c>
      <c r="G230" s="38">
        <f>SUM(G216:G229)</f>
        <v>1656935.93</v>
      </c>
      <c r="H230" s="38">
        <f>SUM(H216:H229)</f>
        <v>1266537.8</v>
      </c>
      <c r="I230" s="38">
        <f>SUM(I216:I229)</f>
        <v>201919.97999999998</v>
      </c>
      <c r="J230" s="38">
        <f>SUM(J216:J229)</f>
        <v>12646.189999999999</v>
      </c>
      <c r="K230" s="38">
        <f t="shared" si="3"/>
        <v>8350.6</v>
      </c>
      <c r="L230" s="38">
        <f t="shared" si="3"/>
        <v>6142170.3499999996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1370551.45+39430.95+0.03</f>
        <v>1409982.43</v>
      </c>
      <c r="G234" s="18">
        <f>683112.52+82747.01</f>
        <v>765859.53</v>
      </c>
      <c r="H234" s="18">
        <f>40551.16+587.13+8249.99</f>
        <v>49388.28</v>
      </c>
      <c r="I234" s="18">
        <v>37966.99</v>
      </c>
      <c r="J234" s="18">
        <v>2856.5</v>
      </c>
      <c r="K234" s="18">
        <v>310</v>
      </c>
      <c r="L234" s="13">
        <f>SUM(F234:K234)</f>
        <v>2266363.73</v>
      </c>
      <c r="M234" s="8"/>
      <c r="N234" s="165"/>
    </row>
    <row r="235" spans="1:14" s="3" customFormat="1" ht="12.2" customHeight="1" x14ac:dyDescent="0.15">
      <c r="A235" s="1" t="s">
        <v>439</v>
      </c>
      <c r="B235" s="2" t="s">
        <v>350</v>
      </c>
      <c r="C235" s="2" t="s">
        <v>291</v>
      </c>
      <c r="D235" s="2" t="s">
        <v>431</v>
      </c>
      <c r="E235" s="6">
        <v>1200</v>
      </c>
      <c r="F235" s="18">
        <v>593596.31000000006</v>
      </c>
      <c r="G235" s="18">
        <v>383017.64</v>
      </c>
      <c r="H235" s="18">
        <v>1061296.3500000001</v>
      </c>
      <c r="I235" s="18">
        <v>2213.48</v>
      </c>
      <c r="J235" s="18">
        <v>270.83999999999997</v>
      </c>
      <c r="K235" s="18">
        <v>0</v>
      </c>
      <c r="L235" s="13">
        <f>SUM(F235:K235)</f>
        <v>2040394.6200000003</v>
      </c>
      <c r="M235" s="8"/>
      <c r="N235" s="165"/>
    </row>
    <row r="236" spans="1:14" s="3" customFormat="1" ht="12.2" customHeight="1" x14ac:dyDescent="0.15">
      <c r="A236" s="1" t="s">
        <v>440</v>
      </c>
      <c r="B236" s="2" t="s">
        <v>350</v>
      </c>
      <c r="C236" s="2" t="s">
        <v>292</v>
      </c>
      <c r="D236" s="2" t="s">
        <v>431</v>
      </c>
      <c r="E236" s="6">
        <v>1300</v>
      </c>
      <c r="F236" s="18">
        <v>503818.27</v>
      </c>
      <c r="G236" s="18">
        <v>245522.7</v>
      </c>
      <c r="H236" s="18">
        <v>37140.39</v>
      </c>
      <c r="I236" s="18">
        <v>41206.519999999997</v>
      </c>
      <c r="J236" s="18">
        <v>14778.29</v>
      </c>
      <c r="K236" s="18">
        <v>0</v>
      </c>
      <c r="L236" s="13">
        <f>SUM(F236:K236)</f>
        <v>842466.17</v>
      </c>
      <c r="M236" s="8"/>
      <c r="N236" s="165"/>
    </row>
    <row r="237" spans="1:14" s="3" customFormat="1" ht="12.2" customHeight="1" x14ac:dyDescent="0.15">
      <c r="A237" s="1" t="s">
        <v>441</v>
      </c>
      <c r="B237" s="2" t="s">
        <v>350</v>
      </c>
      <c r="C237" s="2" t="s">
        <v>293</v>
      </c>
      <c r="D237" s="2" t="s">
        <v>431</v>
      </c>
      <c r="E237" s="6">
        <v>1400</v>
      </c>
      <c r="F237" s="18">
        <v>161376.04</v>
      </c>
      <c r="G237" s="18">
        <v>37298.53</v>
      </c>
      <c r="H237" s="18">
        <v>21287.02</v>
      </c>
      <c r="I237" s="18">
        <v>3881.39</v>
      </c>
      <c r="J237" s="18">
        <v>13089</v>
      </c>
      <c r="K237" s="18">
        <v>5630</v>
      </c>
      <c r="L237" s="13">
        <f>SUM(F237:K237)</f>
        <v>242561.98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222567.55</v>
      </c>
      <c r="G239" s="18">
        <v>130506.15</v>
      </c>
      <c r="H239" s="18">
        <v>128243.6</v>
      </c>
      <c r="I239" s="18">
        <v>2826.08</v>
      </c>
      <c r="J239" s="18">
        <v>0</v>
      </c>
      <c r="K239" s="18">
        <v>6297.91</v>
      </c>
      <c r="L239" s="13">
        <f t="shared" ref="L239:L245" si="4">SUM(F239:K239)</f>
        <v>490441.28999999992</v>
      </c>
      <c r="M239" s="8"/>
      <c r="N239" s="165"/>
    </row>
    <row r="240" spans="1:14" s="3" customFormat="1" ht="12.2" customHeight="1" x14ac:dyDescent="0.15">
      <c r="A240" s="1" t="s">
        <v>443</v>
      </c>
      <c r="B240" s="2" t="s">
        <v>350</v>
      </c>
      <c r="C240" s="2" t="s">
        <v>295</v>
      </c>
      <c r="D240" s="2" t="s">
        <v>431</v>
      </c>
      <c r="E240" s="6">
        <v>2200</v>
      </c>
      <c r="F240" s="18">
        <v>77159.820000000007</v>
      </c>
      <c r="G240" s="18">
        <v>58576.02</v>
      </c>
      <c r="H240" s="18">
        <v>24206.59</v>
      </c>
      <c r="I240" s="18">
        <v>14045.97</v>
      </c>
      <c r="J240" s="18">
        <v>2584.17</v>
      </c>
      <c r="K240" s="18">
        <v>242</v>
      </c>
      <c r="L240" s="13">
        <f t="shared" si="4"/>
        <v>176814.57</v>
      </c>
      <c r="M240" s="8"/>
      <c r="N240" s="165"/>
    </row>
    <row r="241" spans="1:14" s="3" customFormat="1" ht="12.2" customHeight="1" x14ac:dyDescent="0.15">
      <c r="A241" s="1" t="s">
        <v>444</v>
      </c>
      <c r="B241" s="2" t="s">
        <v>350</v>
      </c>
      <c r="C241" s="2" t="s">
        <v>296</v>
      </c>
      <c r="D241" s="2" t="s">
        <v>431</v>
      </c>
      <c r="E241" s="6">
        <v>2300</v>
      </c>
      <c r="F241" s="18">
        <v>201196.19</v>
      </c>
      <c r="G241" s="18">
        <v>94486.48</v>
      </c>
      <c r="H241" s="18">
        <v>19904.36</v>
      </c>
      <c r="I241" s="18">
        <v>7651.94</v>
      </c>
      <c r="J241" s="18">
        <v>1923.12</v>
      </c>
      <c r="K241" s="18">
        <v>4518.78</v>
      </c>
      <c r="L241" s="13">
        <f t="shared" si="4"/>
        <v>329680.87</v>
      </c>
      <c r="M241" s="8"/>
      <c r="N241" s="165"/>
    </row>
    <row r="242" spans="1:14" s="3" customFormat="1" ht="12.2" customHeight="1" x14ac:dyDescent="0.15">
      <c r="A242" s="1" t="s">
        <v>445</v>
      </c>
      <c r="B242" s="2" t="s">
        <v>350</v>
      </c>
      <c r="C242" s="2" t="s">
        <v>297</v>
      </c>
      <c r="D242" s="2" t="s">
        <v>431</v>
      </c>
      <c r="E242" s="6">
        <v>2400</v>
      </c>
      <c r="F242" s="18">
        <v>451372.15</v>
      </c>
      <c r="G242" s="18">
        <v>234926.89</v>
      </c>
      <c r="H242" s="18">
        <v>15400.25</v>
      </c>
      <c r="I242" s="18">
        <v>5211.05</v>
      </c>
      <c r="J242" s="18">
        <v>419.59</v>
      </c>
      <c r="K242" s="18">
        <v>6390</v>
      </c>
      <c r="L242" s="13">
        <f t="shared" si="4"/>
        <v>713719.93</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290056.32000000001</v>
      </c>
      <c r="G244" s="18">
        <v>139882.48000000001</v>
      </c>
      <c r="H244" s="18">
        <v>530220.14</v>
      </c>
      <c r="I244" s="18">
        <v>244489.17</v>
      </c>
      <c r="J244" s="18">
        <v>91.69</v>
      </c>
      <c r="K244" s="18">
        <v>0</v>
      </c>
      <c r="L244" s="13">
        <f t="shared" si="4"/>
        <v>1204739.8</v>
      </c>
      <c r="M244" s="8"/>
      <c r="N244" s="165"/>
    </row>
    <row r="245" spans="1:14" s="3" customFormat="1" ht="12.2" customHeight="1" x14ac:dyDescent="0.15">
      <c r="A245" s="1" t="s">
        <v>448</v>
      </c>
      <c r="B245" s="2" t="s">
        <v>350</v>
      </c>
      <c r="C245" s="2" t="s">
        <v>300</v>
      </c>
      <c r="D245" s="2" t="s">
        <v>431</v>
      </c>
      <c r="E245" s="6">
        <v>2700</v>
      </c>
      <c r="F245" s="18">
        <v>0</v>
      </c>
      <c r="G245" s="18">
        <v>0</v>
      </c>
      <c r="H245" s="18">
        <f>512005.18+0.02</f>
        <v>512005.2</v>
      </c>
      <c r="I245" s="18">
        <v>624.16999999999996</v>
      </c>
      <c r="J245" s="18">
        <v>0</v>
      </c>
      <c r="K245" s="18">
        <v>0</v>
      </c>
      <c r="L245" s="13">
        <f t="shared" si="4"/>
        <v>512629.37</v>
      </c>
      <c r="M245" s="8"/>
      <c r="N245" s="165"/>
    </row>
    <row r="246" spans="1:14" s="3" customFormat="1" ht="12.2" customHeight="1" x14ac:dyDescent="0.15">
      <c r="A246" s="1" t="s">
        <v>449</v>
      </c>
      <c r="B246" s="2" t="s">
        <v>350</v>
      </c>
      <c r="C246" s="2" t="s">
        <v>343</v>
      </c>
      <c r="D246" s="2" t="s">
        <v>431</v>
      </c>
      <c r="E246" s="6">
        <v>2800</v>
      </c>
      <c r="F246" s="18">
        <v>0</v>
      </c>
      <c r="G246" s="18">
        <v>0</v>
      </c>
      <c r="H246" s="18">
        <v>72529.649999999994</v>
      </c>
      <c r="I246" s="18">
        <v>30232.36</v>
      </c>
      <c r="J246" s="18">
        <v>6731.63</v>
      </c>
      <c r="K246" s="18">
        <v>0</v>
      </c>
      <c r="L246" s="13">
        <f>SUM(F246:K246)</f>
        <v>109493.64</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3911125.0799999991</v>
      </c>
      <c r="G248" s="38">
        <f t="shared" si="5"/>
        <v>2090076.42</v>
      </c>
      <c r="H248" s="38">
        <f t="shared" si="5"/>
        <v>2471621.8300000005</v>
      </c>
      <c r="I248" s="38">
        <f t="shared" si="5"/>
        <v>390349.12</v>
      </c>
      <c r="J248" s="38">
        <f t="shared" si="5"/>
        <v>42744.83</v>
      </c>
      <c r="K248" s="38">
        <f t="shared" si="5"/>
        <v>23388.69</v>
      </c>
      <c r="L248" s="38">
        <f t="shared" si="5"/>
        <v>8929305.9700000007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12558965.919999998</v>
      </c>
      <c r="G258" s="38">
        <f t="shared" si="8"/>
        <v>6986826.9400000004</v>
      </c>
      <c r="H258" s="38">
        <f t="shared" si="8"/>
        <v>6065669.4500000011</v>
      </c>
      <c r="I258" s="38">
        <f t="shared" si="8"/>
        <v>982435.9</v>
      </c>
      <c r="J258" s="38">
        <f t="shared" si="8"/>
        <v>74669.7</v>
      </c>
      <c r="K258" s="38">
        <f t="shared" si="8"/>
        <v>46251.520000000004</v>
      </c>
      <c r="L258" s="38">
        <f t="shared" si="8"/>
        <v>26714819.43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824851.4+41250+30600+10000+100000+100000+19283.46</f>
        <v>1125984.8599999999</v>
      </c>
      <c r="L261" s="13">
        <f>SUM(F261:K261)</f>
        <v>1125984.8599999999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21715+52091.26+33199.76+562146.6+12889.32+9562.5+1275</f>
        <v>692879.44</v>
      </c>
      <c r="L262" s="13">
        <f>SUM(F262:K262)</f>
        <v>692879.44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1818864.2999999998</v>
      </c>
      <c r="L271" s="38">
        <f t="shared" si="9"/>
        <v>1818864.2999999998</v>
      </c>
      <c r="M271" s="8"/>
      <c r="N271" s="165"/>
    </row>
    <row r="272" spans="1:14" s="33" customFormat="1" ht="12.2" customHeight="1" thickTop="1" x14ac:dyDescent="0.2">
      <c r="A272" s="40" t="s">
        <v>464</v>
      </c>
      <c r="B272" s="37">
        <v>10</v>
      </c>
      <c r="C272" s="37">
        <v>18</v>
      </c>
      <c r="D272" s="36" t="s">
        <v>431</v>
      </c>
      <c r="E272" s="37"/>
      <c r="F272" s="39">
        <f t="shared" ref="F272:L272" si="11">F258+F271</f>
        <v>12558965.919999998</v>
      </c>
      <c r="G272" s="39">
        <f t="shared" si="11"/>
        <v>6986826.9400000004</v>
      </c>
      <c r="H272" s="39">
        <f t="shared" si="11"/>
        <v>6065669.4500000011</v>
      </c>
      <c r="I272" s="39">
        <f t="shared" si="11"/>
        <v>982435.9</v>
      </c>
      <c r="J272" s="39">
        <f t="shared" si="11"/>
        <v>74669.7</v>
      </c>
      <c r="K272" s="39">
        <f t="shared" si="11"/>
        <v>1865115.8199999998</v>
      </c>
      <c r="L272" s="39">
        <f t="shared" si="11"/>
        <v>28533683.73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193662.67+11450.89+0.02</f>
        <v>205113.58</v>
      </c>
      <c r="G277" s="18">
        <f>132928.68+1541.36</f>
        <v>134470.03999999998</v>
      </c>
      <c r="H277" s="18">
        <f>6548.13+10694.46</f>
        <v>17242.59</v>
      </c>
      <c r="I277" s="18">
        <f>6983.39+3103.67</f>
        <v>10087.060000000001</v>
      </c>
      <c r="J277" s="18">
        <f>1527.82+686.33</f>
        <v>2214.15</v>
      </c>
      <c r="K277" s="18">
        <v>0</v>
      </c>
      <c r="L277" s="13">
        <f>SUM(F277:K277)</f>
        <v>369127.42000000004</v>
      </c>
      <c r="M277" s="8"/>
      <c r="N277" s="165"/>
    </row>
    <row r="278" spans="1:14" s="3" customFormat="1" ht="12.2" customHeight="1" x14ac:dyDescent="0.15">
      <c r="A278" s="1" t="s">
        <v>439</v>
      </c>
      <c r="B278" s="2" t="s">
        <v>357</v>
      </c>
      <c r="C278" s="2" t="s">
        <v>291</v>
      </c>
      <c r="D278" s="2" t="s">
        <v>431</v>
      </c>
      <c r="E278" s="6">
        <v>1200</v>
      </c>
      <c r="F278" s="18">
        <v>167396.04</v>
      </c>
      <c r="G278" s="18">
        <v>42511.17</v>
      </c>
      <c r="H278" s="18">
        <v>80780.44</v>
      </c>
      <c r="I278" s="18">
        <v>4240.68</v>
      </c>
      <c r="J278" s="18">
        <v>0</v>
      </c>
      <c r="K278" s="18">
        <v>0</v>
      </c>
      <c r="L278" s="13">
        <f>SUM(F278:K278)</f>
        <v>294928.33</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86950.2</v>
      </c>
      <c r="G280" s="18">
        <v>17950.349999999999</v>
      </c>
      <c r="H280" s="18">
        <v>0</v>
      </c>
      <c r="I280" s="18">
        <v>8433.1200000000008</v>
      </c>
      <c r="J280" s="18">
        <v>0</v>
      </c>
      <c r="K280" s="18">
        <v>0</v>
      </c>
      <c r="L280" s="13">
        <f>SUM(F280:K280)</f>
        <v>113333.66999999998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62253.18</v>
      </c>
      <c r="G282" s="18">
        <v>22257.94</v>
      </c>
      <c r="H282" s="18">
        <v>287150.24</v>
      </c>
      <c r="I282" s="18">
        <v>0</v>
      </c>
      <c r="J282" s="18">
        <v>0</v>
      </c>
      <c r="K282" s="18">
        <v>0</v>
      </c>
      <c r="L282" s="13">
        <f t="shared" ref="L282:L288" si="12">SUM(F282:K282)</f>
        <v>371661.36</v>
      </c>
      <c r="M282" s="8"/>
      <c r="N282" s="165"/>
    </row>
    <row r="283" spans="1:14" s="3" customFormat="1" ht="12.2" customHeight="1" x14ac:dyDescent="0.15">
      <c r="A283" s="1" t="s">
        <v>443</v>
      </c>
      <c r="B283" s="2" t="s">
        <v>357</v>
      </c>
      <c r="C283" s="2" t="s">
        <v>295</v>
      </c>
      <c r="D283" s="2" t="s">
        <v>431</v>
      </c>
      <c r="E283" s="6">
        <v>2200</v>
      </c>
      <c r="F283" s="18">
        <v>35846.550000000003</v>
      </c>
      <c r="G283" s="18">
        <v>8725.91</v>
      </c>
      <c r="H283" s="18">
        <v>51116.03</v>
      </c>
      <c r="I283" s="18">
        <v>3173.91</v>
      </c>
      <c r="J283" s="18">
        <v>0</v>
      </c>
      <c r="K283" s="18">
        <v>0</v>
      </c>
      <c r="L283" s="13">
        <f t="shared" si="12"/>
        <v>98862.400000000009</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41691.75</v>
      </c>
      <c r="G286" s="18">
        <v>8673.2800000000007</v>
      </c>
      <c r="H286" s="18">
        <v>1835.29</v>
      </c>
      <c r="I286" s="18">
        <v>498.99</v>
      </c>
      <c r="J286" s="18">
        <v>0</v>
      </c>
      <c r="K286" s="18">
        <v>15264.34</v>
      </c>
      <c r="L286" s="13">
        <f t="shared" si="12"/>
        <v>67963.649999999994</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9954.89</v>
      </c>
      <c r="I288" s="18">
        <v>0</v>
      </c>
      <c r="J288" s="18">
        <v>0</v>
      </c>
      <c r="K288" s="18">
        <v>0</v>
      </c>
      <c r="L288" s="13">
        <f t="shared" si="12"/>
        <v>9954.89</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599251.30000000005</v>
      </c>
      <c r="G291" s="39">
        <f t="shared" si="13"/>
        <v>234588.68999999997</v>
      </c>
      <c r="H291" s="39">
        <f t="shared" si="13"/>
        <v>448079.48000000004</v>
      </c>
      <c r="I291" s="39">
        <f t="shared" si="13"/>
        <v>26433.760000000002</v>
      </c>
      <c r="J291" s="39">
        <f t="shared" si="13"/>
        <v>2214.15</v>
      </c>
      <c r="K291" s="39">
        <f t="shared" si="13"/>
        <v>15264.34</v>
      </c>
      <c r="L291" s="38">
        <f t="shared" si="13"/>
        <v>1325831.7199999995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101765.42+6017.19-0.01</f>
        <v>107782.6</v>
      </c>
      <c r="G296" s="18">
        <f>69851.06+809.95</f>
        <v>70661.009999999995</v>
      </c>
      <c r="H296" s="18">
        <f>3440.9+5619.7</f>
        <v>9060.6</v>
      </c>
      <c r="I296" s="18">
        <f>2359.81+1630.91</f>
        <v>3990.7200000000003</v>
      </c>
      <c r="J296" s="18">
        <f>802.83+360.65</f>
        <v>1163.48</v>
      </c>
      <c r="K296" s="18">
        <v>0</v>
      </c>
      <c r="L296" s="13">
        <f>SUM(F296:K296)</f>
        <v>192658.41</v>
      </c>
      <c r="M296" s="8"/>
      <c r="N296" s="165"/>
    </row>
    <row r="297" spans="1:14" s="3" customFormat="1" ht="12.2" customHeight="1" x14ac:dyDescent="0.15">
      <c r="A297" s="1" t="s">
        <v>439</v>
      </c>
      <c r="B297" s="2" t="s">
        <v>358</v>
      </c>
      <c r="C297" s="2" t="s">
        <v>291</v>
      </c>
      <c r="D297" s="2" t="s">
        <v>431</v>
      </c>
      <c r="E297" s="6">
        <v>1200</v>
      </c>
      <c r="F297" s="18">
        <v>23524.78</v>
      </c>
      <c r="G297" s="18">
        <v>9059.27</v>
      </c>
      <c r="H297" s="18">
        <v>27238.74</v>
      </c>
      <c r="I297" s="18">
        <v>0</v>
      </c>
      <c r="J297" s="18">
        <v>0</v>
      </c>
      <c r="K297" s="18">
        <v>0</v>
      </c>
      <c r="L297" s="13">
        <f>SUM(F297:K297)</f>
        <v>59822.79</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45690.39</v>
      </c>
      <c r="G299" s="18">
        <v>9432.51</v>
      </c>
      <c r="H299" s="18">
        <v>0</v>
      </c>
      <c r="I299" s="18">
        <v>4431.41</v>
      </c>
      <c r="J299" s="18">
        <v>0</v>
      </c>
      <c r="K299" s="18">
        <v>0</v>
      </c>
      <c r="L299" s="13">
        <f>SUM(F299:K299)</f>
        <v>59554.31</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32712.66</v>
      </c>
      <c r="G301" s="18">
        <v>11696.05</v>
      </c>
      <c r="H301" s="18">
        <v>2590.9499999999998</v>
      </c>
      <c r="I301" s="18">
        <v>0</v>
      </c>
      <c r="J301" s="18">
        <v>0</v>
      </c>
      <c r="K301" s="18">
        <v>0</v>
      </c>
      <c r="L301" s="13">
        <f t="shared" ref="L301:L307" si="14">SUM(F301:K301)</f>
        <v>46999.659999999996</v>
      </c>
      <c r="M301" s="8"/>
      <c r="N301" s="165"/>
    </row>
    <row r="302" spans="1:14" s="3" customFormat="1" ht="12.2" customHeight="1" x14ac:dyDescent="0.15">
      <c r="A302" s="1" t="s">
        <v>443</v>
      </c>
      <c r="B302" s="2" t="s">
        <v>358</v>
      </c>
      <c r="C302" s="2" t="s">
        <v>295</v>
      </c>
      <c r="D302" s="2" t="s">
        <v>431</v>
      </c>
      <c r="E302" s="6">
        <v>2200</v>
      </c>
      <c r="F302" s="18">
        <v>18836.560000000001</v>
      </c>
      <c r="G302" s="18">
        <v>4585.2700000000004</v>
      </c>
      <c r="H302" s="18">
        <v>25089.599999999999</v>
      </c>
      <c r="I302" s="18">
        <v>3641.41</v>
      </c>
      <c r="J302" s="18">
        <v>0</v>
      </c>
      <c r="K302" s="18">
        <v>0</v>
      </c>
      <c r="L302" s="13">
        <f t="shared" si="14"/>
        <v>52152.84</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21908.09</v>
      </c>
      <c r="G305" s="18">
        <v>4557.62</v>
      </c>
      <c r="H305" s="18">
        <v>964.41</v>
      </c>
      <c r="I305" s="18">
        <v>262.20999999999998</v>
      </c>
      <c r="J305" s="18">
        <v>0</v>
      </c>
      <c r="K305" s="18">
        <v>8021.07</v>
      </c>
      <c r="L305" s="13">
        <f t="shared" si="14"/>
        <v>35713.399999999994</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5231.07</v>
      </c>
      <c r="I307" s="18">
        <v>0</v>
      </c>
      <c r="J307" s="18">
        <v>0</v>
      </c>
      <c r="K307" s="18">
        <v>0</v>
      </c>
      <c r="L307" s="13">
        <f t="shared" si="14"/>
        <v>5231.07</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250455.08000000002</v>
      </c>
      <c r="G310" s="39">
        <f t="shared" si="15"/>
        <v>109991.73</v>
      </c>
      <c r="H310" s="39">
        <f t="shared" si="15"/>
        <v>70175.37</v>
      </c>
      <c r="I310" s="39">
        <f t="shared" si="15"/>
        <v>12325.75</v>
      </c>
      <c r="J310" s="39">
        <f t="shared" si="15"/>
        <v>1163.48</v>
      </c>
      <c r="K310" s="39">
        <f t="shared" si="15"/>
        <v>8021.07</v>
      </c>
      <c r="L310" s="38">
        <f t="shared" si="15"/>
        <v>452132.48000000004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1942.89+6874.18-0.01</f>
        <v>8817.06</v>
      </c>
      <c r="G315" s="18">
        <f>557.03+925.31</f>
        <v>1482.34</v>
      </c>
      <c r="H315" s="18">
        <f>3930.97+6420.08</f>
        <v>10351.049999999999</v>
      </c>
      <c r="I315" s="18">
        <f>733.33+1863.19</f>
        <v>2596.52</v>
      </c>
      <c r="J315" s="18">
        <f>917.18+412.02</f>
        <v>1329.1999999999998</v>
      </c>
      <c r="K315" s="18">
        <v>0</v>
      </c>
      <c r="L315" s="13">
        <f>SUM(F315:K315)</f>
        <v>24576.17</v>
      </c>
      <c r="M315" s="8"/>
      <c r="N315" s="165"/>
    </row>
    <row r="316" spans="1:14" s="3" customFormat="1" ht="12.2" customHeight="1" x14ac:dyDescent="0.15">
      <c r="A316" s="1" t="s">
        <v>439</v>
      </c>
      <c r="B316" s="2" t="s">
        <v>359</v>
      </c>
      <c r="C316" s="2" t="s">
        <v>291</v>
      </c>
      <c r="D316" s="2" t="s">
        <v>431</v>
      </c>
      <c r="E316" s="6">
        <v>1200</v>
      </c>
      <c r="F316" s="18">
        <v>26875.279999999999</v>
      </c>
      <c r="G316" s="18">
        <v>10349.530000000001</v>
      </c>
      <c r="H316" s="18">
        <v>31118.19</v>
      </c>
      <c r="I316" s="18">
        <v>3019.62</v>
      </c>
      <c r="J316" s="18">
        <v>0</v>
      </c>
      <c r="K316" s="18">
        <v>0</v>
      </c>
      <c r="L316" s="13">
        <f>SUM(F316:K316)</f>
        <v>71362.62</v>
      </c>
      <c r="M316" s="8"/>
      <c r="N316" s="165"/>
    </row>
    <row r="317" spans="1:14" s="3" customFormat="1" ht="12.2" customHeight="1" x14ac:dyDescent="0.15">
      <c r="A317" s="1" t="s">
        <v>440</v>
      </c>
      <c r="B317" s="2" t="s">
        <v>359</v>
      </c>
      <c r="C317" s="2" t="s">
        <v>292</v>
      </c>
      <c r="D317" s="2" t="s">
        <v>431</v>
      </c>
      <c r="E317" s="6">
        <v>1300</v>
      </c>
      <c r="F317" s="18">
        <v>1140</v>
      </c>
      <c r="G317" s="18">
        <v>48.96</v>
      </c>
      <c r="H317" s="18">
        <v>0</v>
      </c>
      <c r="I317" s="18">
        <v>48615.32</v>
      </c>
      <c r="J317" s="18">
        <v>40503.32</v>
      </c>
      <c r="K317" s="18">
        <v>5867.88</v>
      </c>
      <c r="L317" s="13">
        <f>SUM(F317:K317)</f>
        <v>96175.48000000001</v>
      </c>
      <c r="M317" s="8"/>
      <c r="N317" s="165"/>
    </row>
    <row r="318" spans="1:14" s="3" customFormat="1" ht="12.2" customHeight="1" x14ac:dyDescent="0.15">
      <c r="A318" s="1" t="s">
        <v>441</v>
      </c>
      <c r="B318" s="2" t="s">
        <v>359</v>
      </c>
      <c r="C318" s="2" t="s">
        <v>293</v>
      </c>
      <c r="D318" s="2" t="s">
        <v>431</v>
      </c>
      <c r="E318" s="6">
        <v>1400</v>
      </c>
      <c r="F318" s="18">
        <v>34496.910000000003</v>
      </c>
      <c r="G318" s="18">
        <v>7650.07</v>
      </c>
      <c r="H318" s="18">
        <v>0</v>
      </c>
      <c r="I318" s="18">
        <v>0</v>
      </c>
      <c r="J318" s="18">
        <v>0</v>
      </c>
      <c r="K318" s="18">
        <v>0</v>
      </c>
      <c r="L318" s="13">
        <f>SUM(F318:K318)</f>
        <v>42146.98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37371.730000000003</v>
      </c>
      <c r="G320" s="18">
        <v>13361.85</v>
      </c>
      <c r="H320" s="18">
        <v>2959.96</v>
      </c>
      <c r="I320" s="18">
        <v>0</v>
      </c>
      <c r="J320" s="18">
        <v>0</v>
      </c>
      <c r="K320" s="18">
        <v>0</v>
      </c>
      <c r="L320" s="13">
        <f t="shared" ref="L320:L326" si="16">SUM(F320:K320)</f>
        <v>53693.54</v>
      </c>
      <c r="M320" s="8"/>
      <c r="N320" s="165"/>
    </row>
    <row r="321" spans="1:14" s="3" customFormat="1" ht="12.2" customHeight="1" x14ac:dyDescent="0.15">
      <c r="A321" s="1" t="s">
        <v>443</v>
      </c>
      <c r="B321" s="2" t="s">
        <v>359</v>
      </c>
      <c r="C321" s="2" t="s">
        <v>295</v>
      </c>
      <c r="D321" s="2" t="s">
        <v>431</v>
      </c>
      <c r="E321" s="6">
        <v>2200</v>
      </c>
      <c r="F321" s="18">
        <v>20036.88</v>
      </c>
      <c r="G321" s="18">
        <v>5127.16</v>
      </c>
      <c r="H321" s="18">
        <v>33294.230000000003</v>
      </c>
      <c r="I321" s="18">
        <v>3034.97</v>
      </c>
      <c r="J321" s="18">
        <v>0</v>
      </c>
      <c r="K321" s="18">
        <v>5372.19</v>
      </c>
      <c r="L321" s="13">
        <f t="shared" si="16"/>
        <v>66865.430000000008</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1401.04</v>
      </c>
      <c r="I324" s="18">
        <v>0</v>
      </c>
      <c r="J324" s="18">
        <v>0</v>
      </c>
      <c r="K324" s="18">
        <v>1291.94</v>
      </c>
      <c r="L324" s="13">
        <f t="shared" si="16"/>
        <v>2692.98</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5976.11</v>
      </c>
      <c r="I326" s="18">
        <v>0</v>
      </c>
      <c r="J326" s="18">
        <v>0</v>
      </c>
      <c r="K326" s="18">
        <v>0</v>
      </c>
      <c r="L326" s="13">
        <f t="shared" si="16"/>
        <v>5976.11</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128737.86000000002</v>
      </c>
      <c r="G329" s="39">
        <f t="shared" si="17"/>
        <v>38019.910000000003</v>
      </c>
      <c r="H329" s="39">
        <f t="shared" si="17"/>
        <v>85100.579999999987</v>
      </c>
      <c r="I329" s="39">
        <f t="shared" si="17"/>
        <v>57266.43</v>
      </c>
      <c r="J329" s="39">
        <f t="shared" si="17"/>
        <v>41832.519999999997</v>
      </c>
      <c r="K329" s="39">
        <f t="shared" si="17"/>
        <v>12532.01</v>
      </c>
      <c r="L329" s="38">
        <f t="shared" si="17"/>
        <v>363489.31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1349.55</v>
      </c>
      <c r="I333" s="18">
        <v>0</v>
      </c>
      <c r="J333" s="18">
        <v>0</v>
      </c>
      <c r="K333" s="18">
        <v>0</v>
      </c>
      <c r="L333" s="13">
        <f t="shared" ref="L333:L338" si="18">SUM(F333:K333)</f>
        <v>1349.55</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1510427.16</v>
      </c>
      <c r="I337" s="18">
        <v>0</v>
      </c>
      <c r="J337" s="18">
        <v>0</v>
      </c>
      <c r="K337" s="18">
        <v>0</v>
      </c>
      <c r="L337" s="13">
        <f t="shared" si="18"/>
        <v>1510427.16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1511776.71</v>
      </c>
      <c r="I338" s="38">
        <f t="shared" si="19"/>
        <v>0</v>
      </c>
      <c r="J338" s="38">
        <f t="shared" si="19"/>
        <v>0</v>
      </c>
      <c r="K338" s="38">
        <f t="shared" si="19"/>
        <v>0</v>
      </c>
      <c r="L338" s="38">
        <f t="shared" si="18"/>
        <v>1511776.71</v>
      </c>
      <c r="M338" s="8"/>
      <c r="N338" s="165"/>
    </row>
    <row r="339" spans="1:43" s="3" customFormat="1" ht="12.2" customHeight="1" thickTop="1" x14ac:dyDescent="0.15">
      <c r="A339" s="35" t="s">
        <v>468</v>
      </c>
      <c r="B339" s="37">
        <v>14</v>
      </c>
      <c r="C339" s="37">
        <v>7</v>
      </c>
      <c r="D339" s="36" t="s">
        <v>431</v>
      </c>
      <c r="E339" s="37"/>
      <c r="F339" s="38">
        <f t="shared" ref="F339:L339" si="20">F291+F310+F329+F338</f>
        <v>978444.24000000011</v>
      </c>
      <c r="G339" s="38">
        <f t="shared" si="20"/>
        <v>382600.32999999996</v>
      </c>
      <c r="H339" s="38">
        <f t="shared" si="20"/>
        <v>2115132.14</v>
      </c>
      <c r="I339" s="38">
        <f t="shared" si="20"/>
        <v>96025.94</v>
      </c>
      <c r="J339" s="38">
        <f t="shared" si="20"/>
        <v>45210.149999999994</v>
      </c>
      <c r="K339" s="38">
        <f t="shared" si="20"/>
        <v>35817.42</v>
      </c>
      <c r="L339" s="38">
        <f t="shared" si="20"/>
        <v>3653230.2199999993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978444.24000000011</v>
      </c>
      <c r="G353" s="38">
        <f>G339</f>
        <v>382600.32999999996</v>
      </c>
      <c r="H353" s="38">
        <f>H339</f>
        <v>2115132.14</v>
      </c>
      <c r="I353" s="38">
        <f>I339</f>
        <v>96025.94</v>
      </c>
      <c r="J353" s="38">
        <f>J339</f>
        <v>45210.149999999994</v>
      </c>
      <c r="K353" s="38">
        <f>K339+K352</f>
        <v>35817.42</v>
      </c>
      <c r="L353" s="38">
        <f>L339+L352</f>
        <v>3653230.2199999993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f>376989.11+5641.87-0.01</f>
        <v>382630.97</v>
      </c>
      <c r="I359" s="18">
        <f>47258.63+25331.6</f>
        <v>72590.23</v>
      </c>
      <c r="J359" s="18">
        <v>0</v>
      </c>
      <c r="K359" s="18">
        <v>0</v>
      </c>
      <c r="L359" s="13">
        <f>SUM(F359:K359)</f>
        <v>455221.19999999995</v>
      </c>
      <c r="M359" s="8"/>
      <c r="N359" s="165"/>
    </row>
    <row r="360" spans="1:22" s="3" customFormat="1" ht="12.2" customHeight="1" x14ac:dyDescent="0.15">
      <c r="A360" s="1" t="s">
        <v>542</v>
      </c>
      <c r="B360" s="2" t="s">
        <v>366</v>
      </c>
      <c r="C360" s="6">
        <v>2</v>
      </c>
      <c r="D360" s="2" t="s">
        <v>431</v>
      </c>
      <c r="E360" s="6"/>
      <c r="F360" s="18">
        <v>0</v>
      </c>
      <c r="G360" s="18">
        <v>0</v>
      </c>
      <c r="H360" s="18">
        <f>198099.37+2964.68</f>
        <v>201064.05</v>
      </c>
      <c r="I360" s="18">
        <v>0</v>
      </c>
      <c r="J360" s="18">
        <v>0</v>
      </c>
      <c r="K360" s="18">
        <v>0</v>
      </c>
      <c r="L360" s="13">
        <f>SUM(F360:K360)</f>
        <v>201064.05</v>
      </c>
      <c r="M360" s="8"/>
      <c r="N360" s="165"/>
    </row>
    <row r="361" spans="1:22" s="3" customFormat="1" ht="12.2" customHeight="1" x14ac:dyDescent="0.15">
      <c r="A361" s="3" t="s">
        <v>543</v>
      </c>
      <c r="B361" s="2" t="s">
        <v>366</v>
      </c>
      <c r="C361" s="6">
        <v>3</v>
      </c>
      <c r="D361" s="2" t="s">
        <v>431</v>
      </c>
      <c r="E361" s="6"/>
      <c r="F361" s="18">
        <v>0</v>
      </c>
      <c r="G361" s="18">
        <v>0</v>
      </c>
      <c r="H361" s="18">
        <f>226313.52+3386.92</f>
        <v>229700.44</v>
      </c>
      <c r="I361" s="18">
        <v>0</v>
      </c>
      <c r="J361" s="18">
        <v>0</v>
      </c>
      <c r="K361" s="18">
        <v>0</v>
      </c>
      <c r="L361" s="13">
        <f>SUM(F361:K361)</f>
        <v>229700.44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813395.46</v>
      </c>
      <c r="I363" s="38">
        <f t="shared" si="22"/>
        <v>72590.23</v>
      </c>
      <c r="J363" s="38">
        <f t="shared" si="22"/>
        <v>0</v>
      </c>
      <c r="K363" s="38">
        <f t="shared" si="22"/>
        <v>0</v>
      </c>
      <c r="L363" s="38">
        <f t="shared" si="22"/>
        <v>885985.69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23894.35+23364.28+24512.71</f>
        <v>71771.34</v>
      </c>
      <c r="G368" s="18">
        <v>0</v>
      </c>
      <c r="H368" s="18">
        <v>0</v>
      </c>
      <c r="I368" s="13">
        <f>SUM(F368:H368)</f>
        <v>71771.34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818.89</v>
      </c>
      <c r="G369" s="53">
        <v>0</v>
      </c>
      <c r="H369" s="53">
        <v>0</v>
      </c>
      <c r="I369" s="13">
        <f>SUM(F369:H369)</f>
        <v>818.89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72590.23</v>
      </c>
      <c r="G370" s="38">
        <f>SUM(G368:G369)</f>
        <v>0</v>
      </c>
      <c r="H370" s="38">
        <f>SUM(H368:H369)</f>
        <v>0</v>
      </c>
      <c r="I370" s="38">
        <f>SUM(I368:I369)</f>
        <v>72590.23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20716.54</v>
      </c>
      <c r="L380" s="13">
        <f t="shared" si="23"/>
        <v>20716.54</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20716.54</v>
      </c>
      <c r="L383" s="38">
        <f t="shared" si="24"/>
        <v>20716.54</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72838.259999999995</v>
      </c>
      <c r="J401" s="23" t="s">
        <v>288</v>
      </c>
      <c r="K401" s="23" t="s">
        <v>288</v>
      </c>
      <c r="L401" s="13">
        <f t="shared" si="26"/>
        <v>72838.259999999995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72838.259999999995</v>
      </c>
      <c r="J402" s="42" t="s">
        <v>288</v>
      </c>
      <c r="K402" s="42" t="s">
        <v>288</v>
      </c>
      <c r="L402" s="38">
        <f>SUM(L396:L401)</f>
        <v>72838.259999999995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72838.259999999995</v>
      </c>
      <c r="J409" s="23" t="s">
        <v>288</v>
      </c>
      <c r="K409" s="23" t="s">
        <v>288</v>
      </c>
      <c r="L409" s="38">
        <f>L394+L402+L408</f>
        <v>72838.259999999995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11244.37</v>
      </c>
      <c r="G427" s="18">
        <v>0</v>
      </c>
      <c r="H427" s="18">
        <f>9828.25+2680+1600+2794+1440+1954+2700+1440+1440+2385</f>
        <v>28261.25</v>
      </c>
      <c r="I427" s="18">
        <f>9038.5+1840.09+2487.62+16307.45+1492.92+6114.71</f>
        <v>37281.29</v>
      </c>
      <c r="J427" s="18">
        <v>120</v>
      </c>
      <c r="K427" s="18">
        <v>0</v>
      </c>
      <c r="L427" s="13">
        <f t="shared" si="29"/>
        <v>76906.91</v>
      </c>
      <c r="M427" s="8"/>
      <c r="N427" s="165"/>
    </row>
    <row r="428" spans="1:21" s="11" customFormat="1" ht="12.2" customHeight="1" thickTop="1" x14ac:dyDescent="0.15">
      <c r="A428" s="116" t="s">
        <v>470</v>
      </c>
      <c r="B428" s="6">
        <v>17</v>
      </c>
      <c r="C428" s="6">
        <v>14</v>
      </c>
      <c r="D428" s="2" t="s">
        <v>432</v>
      </c>
      <c r="E428" s="37">
        <v>5252</v>
      </c>
      <c r="F428" s="38">
        <f t="shared" ref="F428:L428" si="30">SUM(F422:F427)</f>
        <v>11244.37</v>
      </c>
      <c r="G428" s="38">
        <f t="shared" si="30"/>
        <v>0</v>
      </c>
      <c r="H428" s="38">
        <f t="shared" si="30"/>
        <v>28261.25</v>
      </c>
      <c r="I428" s="38">
        <f t="shared" si="30"/>
        <v>37281.29</v>
      </c>
      <c r="J428" s="38">
        <f t="shared" si="30"/>
        <v>120</v>
      </c>
      <c r="K428" s="38">
        <f t="shared" si="30"/>
        <v>0</v>
      </c>
      <c r="L428" s="38">
        <f t="shared" si="30"/>
        <v>76906.91</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11244.37</v>
      </c>
      <c r="G435" s="38">
        <f t="shared" si="32"/>
        <v>0</v>
      </c>
      <c r="H435" s="38">
        <f t="shared" si="32"/>
        <v>28261.25</v>
      </c>
      <c r="I435" s="38">
        <f t="shared" si="32"/>
        <v>37281.29</v>
      </c>
      <c r="J435" s="38">
        <f t="shared" si="32"/>
        <v>120</v>
      </c>
      <c r="K435" s="38">
        <f t="shared" si="32"/>
        <v>0</v>
      </c>
      <c r="L435" s="38">
        <f t="shared" si="32"/>
        <v>76906.91</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36772.65</v>
      </c>
      <c r="H442" s="18"/>
      <c r="I442" s="13">
        <f t="shared" si="33"/>
        <v>36772.65</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2500</v>
      </c>
      <c r="H443" s="18"/>
      <c r="I443" s="13">
        <f t="shared" si="33"/>
        <v>2500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39272.65</v>
      </c>
      <c r="H447" s="13">
        <f>SUM(H440:H446)</f>
        <v>0</v>
      </c>
      <c r="I447" s="13">
        <f>SUM(I440:I446)</f>
        <v>39272.65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2622.89</v>
      </c>
      <c r="H450" s="18"/>
      <c r="I450" s="13">
        <f>SUM(F450:H450)</f>
        <v>2622.89</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2622.89</v>
      </c>
      <c r="H453" s="57">
        <f>SUM(H449:H452)</f>
        <v>0</v>
      </c>
      <c r="I453" s="57">
        <f>SUM(I449:I452)</f>
        <v>2622.89</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36649.760000000002</v>
      </c>
      <c r="H460" s="18"/>
      <c r="I460" s="13">
        <f t="shared" si="34"/>
        <v>36649.760000000002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36649.760000000002</v>
      </c>
      <c r="H461" s="65">
        <f>SUM(H455:H460)</f>
        <v>0</v>
      </c>
      <c r="I461" s="65">
        <f>SUM(I455:I460)</f>
        <v>36649.760000000002</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39272.65</v>
      </c>
      <c r="H462" s="39">
        <f>H453+H461</f>
        <v>0</v>
      </c>
      <c r="I462" s="39">
        <f>I453+I461</f>
        <v>39272.65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0</v>
      </c>
      <c r="G466" s="18">
        <v>454940.42</v>
      </c>
      <c r="H466" s="18">
        <v>37937.5</v>
      </c>
      <c r="I466" s="18">
        <v>20716.54</v>
      </c>
      <c r="J466" s="18">
        <v>40718.410000000003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28633683.73</v>
      </c>
      <c r="G469" s="18">
        <v>867675.75</v>
      </c>
      <c r="H469" s="18">
        <v>3646522.26</v>
      </c>
      <c r="I469" s="18">
        <v>0</v>
      </c>
      <c r="J469" s="18">
        <v>72838.259999999995</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28633683.73</v>
      </c>
      <c r="G471" s="19">
        <f>SUM(G469:G470)</f>
        <v>867675.75</v>
      </c>
      <c r="H471" s="19">
        <f>SUM(H469:H470)</f>
        <v>3646522.26</v>
      </c>
      <c r="I471" s="19">
        <f>SUM(I469:I470)</f>
        <v>0</v>
      </c>
      <c r="J471" s="19">
        <f>SUM(J469:J470)</f>
        <v>72838.259999999995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28533683.73</v>
      </c>
      <c r="G473" s="18">
        <v>885985.69</v>
      </c>
      <c r="H473" s="18">
        <v>3653230.22</v>
      </c>
      <c r="I473" s="18">
        <v>20716.54</v>
      </c>
      <c r="J473" s="18">
        <v>76906.91</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28533683.73</v>
      </c>
      <c r="G475" s="19">
        <f>SUM(G473:G474)</f>
        <v>885985.69</v>
      </c>
      <c r="H475" s="19">
        <f>SUM(H473:H474)</f>
        <v>3653230.22</v>
      </c>
      <c r="I475" s="19">
        <f>SUM(I473:I474)</f>
        <v>20716.54</v>
      </c>
      <c r="J475" s="19">
        <f>SUM(J473:J474)</f>
        <v>76906.91</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100000</v>
      </c>
      <c r="G477" s="19">
        <f>(G466+G471)- G475</f>
        <v>436630.48</v>
      </c>
      <c r="H477" s="19">
        <f>(H466+H471)- H475</f>
        <v>31229.539999999572</v>
      </c>
      <c r="I477" s="19">
        <f>(I466+I471)- I475</f>
        <v>0</v>
      </c>
      <c r="J477" s="19">
        <f>(J466+J471)- J475</f>
        <v>36649.759999999995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v>15</v>
      </c>
      <c r="I491" s="111"/>
      <c r="J491" s="111">
        <v>15</v>
      </c>
      <c r="K491" s="23" t="s">
        <v>288</v>
      </c>
      <c r="L491" s="23" t="s">
        <v>288</v>
      </c>
      <c r="N491" s="131"/>
    </row>
    <row r="492" spans="1:14" ht="12.2" customHeight="1" x14ac:dyDescent="0.2">
      <c r="A492" s="21" t="s">
        <v>615</v>
      </c>
      <c r="B492" s="22">
        <v>20</v>
      </c>
      <c r="C492" s="22">
        <v>2</v>
      </c>
      <c r="D492" s="2" t="s">
        <v>432</v>
      </c>
      <c r="E492" s="22"/>
      <c r="F492" s="112" t="s">
        <v>1812</v>
      </c>
      <c r="G492" s="112" t="s">
        <v>1814</v>
      </c>
      <c r="H492" s="111">
        <v>216</v>
      </c>
      <c r="I492" s="111"/>
      <c r="J492" s="111">
        <v>221</v>
      </c>
      <c r="K492" s="23" t="s">
        <v>288</v>
      </c>
      <c r="L492" s="23" t="s">
        <v>288</v>
      </c>
      <c r="N492" s="131"/>
    </row>
    <row r="493" spans="1:14" ht="12.2" customHeight="1" x14ac:dyDescent="0.2">
      <c r="A493" s="21" t="s">
        <v>616</v>
      </c>
      <c r="B493" s="22">
        <v>20</v>
      </c>
      <c r="C493" s="22">
        <v>3</v>
      </c>
      <c r="D493" s="2" t="s">
        <v>432</v>
      </c>
      <c r="E493" s="22"/>
      <c r="F493" s="112" t="s">
        <v>1813</v>
      </c>
      <c r="G493" s="112" t="s">
        <v>1815</v>
      </c>
      <c r="H493" s="111">
        <v>831</v>
      </c>
      <c r="I493" s="111"/>
      <c r="J493" s="111">
        <v>236</v>
      </c>
      <c r="K493" s="23" t="s">
        <v>288</v>
      </c>
      <c r="L493" s="23" t="s">
        <v>288</v>
      </c>
      <c r="N493" s="131"/>
    </row>
    <row r="494" spans="1:14" ht="12.2" customHeight="1" x14ac:dyDescent="0.2">
      <c r="A494" s="21" t="s">
        <v>617</v>
      </c>
      <c r="B494" s="22">
        <v>20</v>
      </c>
      <c r="C494" s="22">
        <v>4</v>
      </c>
      <c r="D494" s="2" t="s">
        <v>432</v>
      </c>
      <c r="E494" s="22"/>
      <c r="F494" s="18">
        <v>18953000</v>
      </c>
      <c r="G494" s="18">
        <v>1181700</v>
      </c>
      <c r="H494" s="18">
        <v>1453925</v>
      </c>
      <c r="I494" s="18">
        <v>1640000</v>
      </c>
      <c r="J494" s="18">
        <v>550500</v>
      </c>
      <c r="K494" s="23" t="s">
        <v>288</v>
      </c>
      <c r="L494" s="23" t="s">
        <v>288</v>
      </c>
      <c r="N494" s="131"/>
    </row>
    <row r="495" spans="1:14" ht="12.2" customHeight="1" x14ac:dyDescent="0.2">
      <c r="A495" s="21" t="s">
        <v>618</v>
      </c>
      <c r="B495" s="22">
        <v>20</v>
      </c>
      <c r="C495" s="22">
        <v>5</v>
      </c>
      <c r="D495" s="2" t="s">
        <v>432</v>
      </c>
      <c r="E495" s="22"/>
      <c r="F495" s="18">
        <v>3.73</v>
      </c>
      <c r="G495" s="18">
        <v>3.14</v>
      </c>
      <c r="H495" s="18">
        <v>2.16</v>
      </c>
      <c r="I495" s="18"/>
      <c r="J495" s="18">
        <v>1.31</v>
      </c>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0</v>
      </c>
      <c r="G508" s="101">
        <v>0</v>
      </c>
      <c r="H508" s="101">
        <v>0</v>
      </c>
      <c r="I508" s="101">
        <v>0</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1125560+113263+122627.67</f>
        <v>1361450.67</v>
      </c>
      <c r="G522" s="18">
        <f>713717+69554+5891.57+19379.54</f>
        <v>808542.11</v>
      </c>
      <c r="H522" s="18">
        <f>727137+20175.3+4584+4185</f>
        <v>756081.3</v>
      </c>
      <c r="I522" s="18">
        <f>4908+194+2446.93+290+3019.62+1503.75</f>
        <v>12362.3</v>
      </c>
      <c r="J522" s="18">
        <v>0</v>
      </c>
      <c r="K522" s="18">
        <v>0</v>
      </c>
      <c r="L522" s="69">
        <f>SUM(F522:K522)</f>
        <v>2938436.38</v>
      </c>
      <c r="N522" s="131"/>
    </row>
    <row r="523" spans="1:14" ht="12.2" customHeight="1" x14ac:dyDescent="0.2">
      <c r="A523" s="21" t="s">
        <v>634</v>
      </c>
      <c r="B523" s="22">
        <v>21</v>
      </c>
      <c r="C523" s="22">
        <v>2</v>
      </c>
      <c r="D523" s="2" t="s">
        <v>432</v>
      </c>
      <c r="E523" s="22"/>
      <c r="F523" s="18">
        <f>493692+36705</f>
        <v>530397</v>
      </c>
      <c r="G523" s="18">
        <f>280068+30314</f>
        <v>310382</v>
      </c>
      <c r="H523" s="18">
        <v>478328</v>
      </c>
      <c r="I523" s="18">
        <f>2973+167</f>
        <v>3140</v>
      </c>
      <c r="J523" s="18">
        <v>0</v>
      </c>
      <c r="K523" s="18">
        <v>0</v>
      </c>
      <c r="L523" s="69">
        <f>SUM(F523:K523)</f>
        <v>1322247</v>
      </c>
      <c r="N523" s="131"/>
    </row>
    <row r="524" spans="1:14" ht="12.2" customHeight="1" thickBot="1" x14ac:dyDescent="0.25">
      <c r="A524" s="21" t="s">
        <v>635</v>
      </c>
      <c r="B524" s="22">
        <v>21</v>
      </c>
      <c r="C524" s="22">
        <v>3</v>
      </c>
      <c r="D524" s="2" t="s">
        <v>432</v>
      </c>
      <c r="E524" s="22"/>
      <c r="F524" s="18">
        <f>573496+20100</f>
        <v>593596</v>
      </c>
      <c r="G524" s="18">
        <f>374542+5637</f>
        <v>380179</v>
      </c>
      <c r="H524" s="18">
        <v>1061425</v>
      </c>
      <c r="I524" s="18">
        <v>2213</v>
      </c>
      <c r="J524" s="18">
        <v>271</v>
      </c>
      <c r="K524" s="18">
        <v>0</v>
      </c>
      <c r="L524" s="69">
        <f>SUM(F524:K524)</f>
        <v>2037684</v>
      </c>
      <c r="N524" s="131"/>
    </row>
    <row r="525" spans="1:14" ht="12.2" customHeight="1" thickTop="1" x14ac:dyDescent="0.2">
      <c r="A525" s="97" t="s">
        <v>63</v>
      </c>
      <c r="B525" s="41">
        <v>21</v>
      </c>
      <c r="C525" s="41">
        <v>4</v>
      </c>
      <c r="D525" s="115" t="s">
        <v>432</v>
      </c>
      <c r="E525" s="41"/>
      <c r="F525" s="81">
        <f>SUM(F522:F524)</f>
        <v>2485443.67</v>
      </c>
      <c r="G525" s="81">
        <f t="shared" ref="G525:L525" si="36">SUM(G522:G524)</f>
        <v>1499103.1099999999</v>
      </c>
      <c r="H525" s="81">
        <f t="shared" si="36"/>
        <v>2295834.2999999998</v>
      </c>
      <c r="I525" s="81">
        <f t="shared" si="36"/>
        <v>17715.3</v>
      </c>
      <c r="J525" s="81">
        <f t="shared" si="36"/>
        <v>271</v>
      </c>
      <c r="K525" s="81">
        <f t="shared" si="36"/>
        <v>0</v>
      </c>
      <c r="L525" s="70">
        <f t="shared" si="36"/>
        <v>6298367.3799999999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94422+11055</f>
        <v>105477</v>
      </c>
      <c r="G527" s="18">
        <f>39208+6559</f>
        <v>45767</v>
      </c>
      <c r="H527" s="18">
        <f>198655+263176.89+14890.5</f>
        <v>476722.39</v>
      </c>
      <c r="I527" s="18">
        <f>567+172</f>
        <v>739</v>
      </c>
      <c r="J527" s="18">
        <v>0</v>
      </c>
      <c r="K527" s="18">
        <v>4266.92</v>
      </c>
      <c r="L527" s="69">
        <f>SUM(F527:K527)</f>
        <v>632972.31000000006</v>
      </c>
      <c r="M527" s="8"/>
      <c r="N527" s="165"/>
    </row>
    <row r="528" spans="1:14" s="3" customFormat="1" ht="12.2" customHeight="1" x14ac:dyDescent="0.15">
      <c r="A528" s="21" t="s">
        <v>634</v>
      </c>
      <c r="B528" s="22">
        <v>21</v>
      </c>
      <c r="C528" s="22">
        <v>6</v>
      </c>
      <c r="D528" s="2" t="s">
        <v>432</v>
      </c>
      <c r="E528" s="22"/>
      <c r="F528" s="18">
        <f>36368+5035</f>
        <v>41403</v>
      </c>
      <c r="G528" s="18">
        <f>27395+2588</f>
        <v>29983</v>
      </c>
      <c r="H528" s="18">
        <f>50440+62934</f>
        <v>113374</v>
      </c>
      <c r="I528" s="18">
        <v>97</v>
      </c>
      <c r="J528" s="18">
        <v>0</v>
      </c>
      <c r="K528" s="18">
        <v>2242.17</v>
      </c>
      <c r="L528" s="69">
        <f>SUM(F528:K528)</f>
        <v>187099.17</v>
      </c>
      <c r="M528" s="8"/>
      <c r="N528" s="165"/>
    </row>
    <row r="529" spans="1:14" s="3" customFormat="1" ht="12.2" customHeight="1" thickBot="1" x14ac:dyDescent="0.2">
      <c r="A529" s="21" t="s">
        <v>635</v>
      </c>
      <c r="B529" s="22">
        <v>21</v>
      </c>
      <c r="C529" s="22">
        <v>7</v>
      </c>
      <c r="D529" s="2" t="s">
        <v>432</v>
      </c>
      <c r="E529" s="22"/>
      <c r="F529" s="18">
        <v>5073</v>
      </c>
      <c r="G529" s="18">
        <v>4043</v>
      </c>
      <c r="H529" s="18">
        <f>31797+71898</f>
        <v>103695</v>
      </c>
      <c r="I529" s="18">
        <v>178</v>
      </c>
      <c r="J529" s="18">
        <v>0</v>
      </c>
      <c r="K529" s="18">
        <v>2561.5100000000002</v>
      </c>
      <c r="L529" s="69">
        <f>SUM(F529:K529)</f>
        <v>115550.51</v>
      </c>
      <c r="M529" s="8"/>
      <c r="N529" s="165"/>
    </row>
    <row r="530" spans="1:14" s="3" customFormat="1" ht="12.2" customHeight="1" thickTop="1" x14ac:dyDescent="0.15">
      <c r="A530" s="97" t="s">
        <v>65</v>
      </c>
      <c r="B530" s="41">
        <v>21</v>
      </c>
      <c r="C530" s="41">
        <v>8</v>
      </c>
      <c r="D530" s="115" t="s">
        <v>432</v>
      </c>
      <c r="E530" s="41"/>
      <c r="F530" s="70">
        <f>SUM(F527:F529)</f>
        <v>151953</v>
      </c>
      <c r="G530" s="70">
        <f t="shared" ref="G530:L530" si="37">SUM(G527:G529)</f>
        <v>79793</v>
      </c>
      <c r="H530" s="70">
        <f t="shared" si="37"/>
        <v>693791.39</v>
      </c>
      <c r="I530" s="70">
        <f t="shared" si="37"/>
        <v>1014</v>
      </c>
      <c r="J530" s="70">
        <f t="shared" si="37"/>
        <v>0</v>
      </c>
      <c r="K530" s="70">
        <f t="shared" si="37"/>
        <v>9070.6</v>
      </c>
      <c r="L530" s="70">
        <f t="shared" si="37"/>
        <v>935621.99000000011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79771</v>
      </c>
      <c r="G532" s="18">
        <v>44114</v>
      </c>
      <c r="H532" s="18">
        <v>0</v>
      </c>
      <c r="I532" s="18">
        <v>0</v>
      </c>
      <c r="J532" s="18">
        <v>0</v>
      </c>
      <c r="K532" s="18">
        <v>0</v>
      </c>
      <c r="L532" s="69">
        <f>SUM(F532:K532)</f>
        <v>123885</v>
      </c>
      <c r="M532" s="8"/>
      <c r="N532" s="165"/>
    </row>
    <row r="533" spans="1:14" s="3" customFormat="1" ht="12.2" customHeight="1" x14ac:dyDescent="0.15">
      <c r="A533" s="21" t="s">
        <v>634</v>
      </c>
      <c r="B533" s="22">
        <v>21</v>
      </c>
      <c r="C533" s="22">
        <v>10</v>
      </c>
      <c r="D533" s="2" t="s">
        <v>432</v>
      </c>
      <c r="E533" s="22"/>
      <c r="F533" s="18">
        <v>41918</v>
      </c>
      <c r="G533" s="18">
        <v>23181</v>
      </c>
      <c r="H533" s="18">
        <v>0</v>
      </c>
      <c r="I533" s="18">
        <v>0</v>
      </c>
      <c r="J533" s="18">
        <v>0</v>
      </c>
      <c r="K533" s="18">
        <v>0</v>
      </c>
      <c r="L533" s="69">
        <f>SUM(F533:K533)</f>
        <v>65099</v>
      </c>
      <c r="M533" s="8"/>
      <c r="N533" s="165"/>
    </row>
    <row r="534" spans="1:14" s="3" customFormat="1" ht="12.2" customHeight="1" thickBot="1" x14ac:dyDescent="0.2">
      <c r="A534" s="21" t="s">
        <v>635</v>
      </c>
      <c r="B534" s="22">
        <v>21</v>
      </c>
      <c r="C534" s="22">
        <v>11</v>
      </c>
      <c r="D534" s="2" t="s">
        <v>432</v>
      </c>
      <c r="E534" s="22"/>
      <c r="F534" s="18">
        <v>47888</v>
      </c>
      <c r="G534" s="18">
        <v>26482</v>
      </c>
      <c r="H534" s="18">
        <v>0</v>
      </c>
      <c r="I534" s="18">
        <v>0</v>
      </c>
      <c r="J534" s="18">
        <v>0</v>
      </c>
      <c r="K534" s="18">
        <v>0</v>
      </c>
      <c r="L534" s="69">
        <f>SUM(F534:K534)</f>
        <v>74370</v>
      </c>
      <c r="M534" s="8"/>
      <c r="N534" s="165"/>
    </row>
    <row r="535" spans="1:14" s="3" customFormat="1" ht="12.2" customHeight="1" thickTop="1" x14ac:dyDescent="0.15">
      <c r="A535" s="97" t="s">
        <v>67</v>
      </c>
      <c r="B535" s="41">
        <v>21</v>
      </c>
      <c r="C535" s="41">
        <v>12</v>
      </c>
      <c r="D535" s="115" t="s">
        <v>432</v>
      </c>
      <c r="E535" s="41"/>
      <c r="F535" s="70">
        <f>SUM(F532:F534)</f>
        <v>169577</v>
      </c>
      <c r="G535" s="70">
        <f t="shared" ref="G535:L535" si="38">SUM(G532:G534)</f>
        <v>93777</v>
      </c>
      <c r="H535" s="70">
        <f t="shared" si="38"/>
        <v>0</v>
      </c>
      <c r="I535" s="70">
        <f t="shared" si="38"/>
        <v>0</v>
      </c>
      <c r="J535" s="70">
        <f t="shared" si="38"/>
        <v>0</v>
      </c>
      <c r="K535" s="70">
        <f t="shared" si="38"/>
        <v>0</v>
      </c>
      <c r="L535" s="70">
        <f t="shared" si="38"/>
        <v>263354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995.34</v>
      </c>
      <c r="I537" s="18">
        <v>0</v>
      </c>
      <c r="J537" s="18">
        <v>0</v>
      </c>
      <c r="K537" s="18">
        <v>0</v>
      </c>
      <c r="L537" s="69">
        <f>SUM(F537:K537)</f>
        <v>995.34</v>
      </c>
      <c r="M537" s="8"/>
      <c r="N537" s="165"/>
    </row>
    <row r="538" spans="1:14" s="3" customFormat="1" ht="12.2" customHeight="1" x14ac:dyDescent="0.15">
      <c r="A538" s="21" t="s">
        <v>634</v>
      </c>
      <c r="B538" s="22">
        <v>21</v>
      </c>
      <c r="C538" s="22">
        <v>14</v>
      </c>
      <c r="D538" s="2" t="s">
        <v>432</v>
      </c>
      <c r="E538" s="22"/>
      <c r="F538" s="18">
        <v>0</v>
      </c>
      <c r="G538" s="18">
        <v>0</v>
      </c>
      <c r="H538" s="18">
        <v>523.03</v>
      </c>
      <c r="I538" s="18">
        <v>0</v>
      </c>
      <c r="J538" s="18">
        <v>0</v>
      </c>
      <c r="K538" s="18">
        <v>0</v>
      </c>
      <c r="L538" s="69">
        <f>SUM(F538:K538)</f>
        <v>523.03</v>
      </c>
      <c r="M538" s="8"/>
      <c r="N538" s="165"/>
    </row>
    <row r="539" spans="1:14" s="3" customFormat="1" ht="12.2" customHeight="1" thickBot="1" x14ac:dyDescent="0.2">
      <c r="A539" s="21" t="s">
        <v>635</v>
      </c>
      <c r="B539" s="22">
        <v>21</v>
      </c>
      <c r="C539" s="22">
        <v>15</v>
      </c>
      <c r="D539" s="2" t="s">
        <v>432</v>
      </c>
      <c r="E539" s="22"/>
      <c r="F539" s="18">
        <v>0</v>
      </c>
      <c r="G539" s="18">
        <v>0</v>
      </c>
      <c r="H539" s="18">
        <v>597.52</v>
      </c>
      <c r="I539" s="18">
        <v>0</v>
      </c>
      <c r="J539" s="18">
        <v>0</v>
      </c>
      <c r="K539" s="18">
        <v>0</v>
      </c>
      <c r="L539" s="69">
        <f>SUM(F539:K539)</f>
        <v>597.52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2115.89</v>
      </c>
      <c r="I540" s="70">
        <f t="shared" si="39"/>
        <v>0</v>
      </c>
      <c r="J540" s="70">
        <f t="shared" si="39"/>
        <v>0</v>
      </c>
      <c r="K540" s="70">
        <f t="shared" si="39"/>
        <v>0</v>
      </c>
      <c r="L540" s="70">
        <f t="shared" si="39"/>
        <v>2115.89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428859.34</v>
      </c>
      <c r="I542" s="18">
        <v>0</v>
      </c>
      <c r="J542" s="18">
        <v>0</v>
      </c>
      <c r="K542" s="18">
        <v>0</v>
      </c>
      <c r="L542" s="69">
        <f>SUM(F542:K542)</f>
        <v>428859.34</v>
      </c>
      <c r="M542" s="8"/>
      <c r="N542" s="165"/>
    </row>
    <row r="543" spans="1:14" s="3" customFormat="1" ht="12.2" customHeight="1" x14ac:dyDescent="0.15">
      <c r="A543" s="21" t="s">
        <v>634</v>
      </c>
      <c r="B543" s="22">
        <v>21</v>
      </c>
      <c r="C543" s="22">
        <v>18</v>
      </c>
      <c r="D543" s="2" t="s">
        <v>432</v>
      </c>
      <c r="E543" s="22"/>
      <c r="F543" s="18">
        <v>0</v>
      </c>
      <c r="G543" s="18">
        <v>0</v>
      </c>
      <c r="H543" s="18">
        <v>225356.02</v>
      </c>
      <c r="I543" s="18">
        <v>0</v>
      </c>
      <c r="J543" s="18">
        <v>0</v>
      </c>
      <c r="K543" s="18">
        <v>0</v>
      </c>
      <c r="L543" s="69">
        <f>SUM(F543:K543)</f>
        <v>225356.02</v>
      </c>
      <c r="M543" s="8"/>
      <c r="N543" s="165"/>
    </row>
    <row r="544" spans="1:14" s="3" customFormat="1" ht="12.2" customHeight="1" thickBot="1" x14ac:dyDescent="0.2">
      <c r="A544" s="21" t="s">
        <v>635</v>
      </c>
      <c r="B544" s="22">
        <v>21</v>
      </c>
      <c r="C544" s="22">
        <v>19</v>
      </c>
      <c r="D544" s="2" t="s">
        <v>432</v>
      </c>
      <c r="E544" s="22"/>
      <c r="F544" s="18">
        <v>0</v>
      </c>
      <c r="G544" s="18">
        <v>0</v>
      </c>
      <c r="H544" s="18">
        <v>257452.18</v>
      </c>
      <c r="I544" s="18">
        <v>0</v>
      </c>
      <c r="J544" s="18">
        <v>0</v>
      </c>
      <c r="K544" s="18">
        <v>0</v>
      </c>
      <c r="L544" s="69">
        <f>SUM(F544:K544)</f>
        <v>257452.18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911667.54</v>
      </c>
      <c r="I545" s="141">
        <f t="shared" si="40"/>
        <v>0</v>
      </c>
      <c r="J545" s="141">
        <f t="shared" si="40"/>
        <v>0</v>
      </c>
      <c r="K545" s="141">
        <f t="shared" si="40"/>
        <v>0</v>
      </c>
      <c r="L545" s="141">
        <f t="shared" si="40"/>
        <v>911667.54</v>
      </c>
      <c r="M545" s="8"/>
      <c r="N545" s="165"/>
    </row>
    <row r="546" spans="1:14" s="3" customFormat="1" ht="12.2" customHeight="1" thickTop="1" x14ac:dyDescent="0.15">
      <c r="A546" s="75" t="s">
        <v>72</v>
      </c>
      <c r="B546" s="41">
        <v>21</v>
      </c>
      <c r="C546" s="41">
        <v>21</v>
      </c>
      <c r="D546" s="115" t="s">
        <v>432</v>
      </c>
      <c r="E546" s="41"/>
      <c r="F546" s="70">
        <f>F525+F530+F535+F540+F545</f>
        <v>2806973.67</v>
      </c>
      <c r="G546" s="70">
        <f t="shared" ref="G546:L546" si="41">G525+G530+G535+G540+G545</f>
        <v>1672673.1099999999</v>
      </c>
      <c r="H546" s="70">
        <f t="shared" si="41"/>
        <v>3903409.12</v>
      </c>
      <c r="I546" s="70">
        <f t="shared" si="41"/>
        <v>18729.3</v>
      </c>
      <c r="J546" s="70">
        <f t="shared" si="41"/>
        <v>271</v>
      </c>
      <c r="K546" s="70">
        <f t="shared" si="41"/>
        <v>9070.6</v>
      </c>
      <c r="L546" s="70">
        <f t="shared" si="41"/>
        <v>8411126.8000000007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2938436.38</v>
      </c>
      <c r="G550" s="69">
        <f>L527</f>
        <v>632972.31000000006</v>
      </c>
      <c r="H550" s="69">
        <f>L532</f>
        <v>123885</v>
      </c>
      <c r="I550" s="69">
        <f>L537</f>
        <v>995.34</v>
      </c>
      <c r="J550" s="69">
        <f>L542</f>
        <v>428859.34</v>
      </c>
      <c r="K550" s="69">
        <f>SUM(F550:J550)</f>
        <v>4125148.3699999996</v>
      </c>
      <c r="L550" s="23" t="s">
        <v>288</v>
      </c>
      <c r="M550" s="8"/>
      <c r="N550" s="165"/>
    </row>
    <row r="551" spans="1:14" s="3" customFormat="1" ht="12.2" customHeight="1" x14ac:dyDescent="0.15">
      <c r="A551" s="21" t="s">
        <v>634</v>
      </c>
      <c r="B551" s="22">
        <v>21</v>
      </c>
      <c r="C551" s="22">
        <v>23</v>
      </c>
      <c r="D551" s="2" t="s">
        <v>432</v>
      </c>
      <c r="E551" s="22"/>
      <c r="F551" s="69">
        <f>L523</f>
        <v>1322247</v>
      </c>
      <c r="G551" s="69">
        <f>L528</f>
        <v>187099.17</v>
      </c>
      <c r="H551" s="69">
        <f>L533</f>
        <v>65099</v>
      </c>
      <c r="I551" s="69">
        <f>L538</f>
        <v>523.03</v>
      </c>
      <c r="J551" s="69">
        <f>L543</f>
        <v>225356.02</v>
      </c>
      <c r="K551" s="69">
        <f>SUM(F551:J551)</f>
        <v>1800324.22</v>
      </c>
      <c r="L551" s="23" t="s">
        <v>288</v>
      </c>
      <c r="M551" s="8"/>
      <c r="N551" s="165"/>
    </row>
    <row r="552" spans="1:14" s="3" customFormat="1" ht="12.2" customHeight="1" thickBot="1" x14ac:dyDescent="0.2">
      <c r="A552" s="21" t="s">
        <v>635</v>
      </c>
      <c r="B552" s="22">
        <v>21</v>
      </c>
      <c r="C552" s="22">
        <v>24</v>
      </c>
      <c r="D552" s="2" t="s">
        <v>432</v>
      </c>
      <c r="E552" s="22"/>
      <c r="F552" s="69">
        <f>L524</f>
        <v>2037684</v>
      </c>
      <c r="G552" s="69">
        <f>L529</f>
        <v>115550.51</v>
      </c>
      <c r="H552" s="69">
        <f>L534</f>
        <v>74370</v>
      </c>
      <c r="I552" s="69">
        <f>L539</f>
        <v>597.52</v>
      </c>
      <c r="J552" s="69">
        <f>L544</f>
        <v>257452.18</v>
      </c>
      <c r="K552" s="69">
        <f>SUM(F552:J552)</f>
        <v>2485654.21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6298367.3799999999</v>
      </c>
      <c r="G553" s="70">
        <f t="shared" si="42"/>
        <v>935621.99000000011</v>
      </c>
      <c r="H553" s="70">
        <f t="shared" si="42"/>
        <v>263354</v>
      </c>
      <c r="I553" s="70">
        <f t="shared" si="42"/>
        <v>2115.89</v>
      </c>
      <c r="J553" s="70">
        <f t="shared" si="42"/>
        <v>911667.54</v>
      </c>
      <c r="K553" s="70">
        <f t="shared" si="42"/>
        <v>8411126.8000000007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1125560</v>
      </c>
      <c r="G558" s="18">
        <v>713717</v>
      </c>
      <c r="H558" s="18">
        <v>717922</v>
      </c>
      <c r="I558" s="18">
        <v>4908</v>
      </c>
      <c r="J558" s="18">
        <v>0</v>
      </c>
      <c r="K558" s="18">
        <v>0</v>
      </c>
      <c r="L558" s="69">
        <f>SUM(F558:K558)</f>
        <v>2562107</v>
      </c>
      <c r="M558" s="8"/>
      <c r="N558" s="165"/>
    </row>
    <row r="559" spans="1:14" s="3" customFormat="1" ht="12.2" customHeight="1" x14ac:dyDescent="0.15">
      <c r="A559" s="21" t="s">
        <v>634</v>
      </c>
      <c r="B559" s="22">
        <v>22</v>
      </c>
      <c r="C559" s="22">
        <v>2</v>
      </c>
      <c r="D559" s="2" t="s">
        <v>432</v>
      </c>
      <c r="E559" s="22"/>
      <c r="F559" s="18">
        <v>493692</v>
      </c>
      <c r="G559" s="18">
        <v>280068</v>
      </c>
      <c r="H559" s="18">
        <v>478328</v>
      </c>
      <c r="I559" s="18">
        <v>2973</v>
      </c>
      <c r="J559" s="18">
        <v>0</v>
      </c>
      <c r="K559" s="18">
        <v>0</v>
      </c>
      <c r="L559" s="69">
        <f>SUM(F559:K559)</f>
        <v>1255061</v>
      </c>
      <c r="M559" s="8"/>
      <c r="N559" s="165"/>
    </row>
    <row r="560" spans="1:14" s="3" customFormat="1" ht="12.2" customHeight="1" thickBot="1" x14ac:dyDescent="0.2">
      <c r="A560" s="21" t="s">
        <v>635</v>
      </c>
      <c r="B560" s="22">
        <v>22</v>
      </c>
      <c r="C560" s="22">
        <v>3</v>
      </c>
      <c r="D560" s="2" t="s">
        <v>432</v>
      </c>
      <c r="E560" s="22"/>
      <c r="F560" s="18">
        <v>573496</v>
      </c>
      <c r="G560" s="18">
        <v>374542</v>
      </c>
      <c r="H560" s="18">
        <v>1061425</v>
      </c>
      <c r="I560" s="18">
        <v>2213</v>
      </c>
      <c r="J560" s="18">
        <v>271</v>
      </c>
      <c r="K560" s="18">
        <v>0</v>
      </c>
      <c r="L560" s="69">
        <f>SUM(F560:K560)</f>
        <v>2011947</v>
      </c>
      <c r="M560" s="8"/>
      <c r="N560" s="165"/>
    </row>
    <row r="561" spans="1:14" s="3" customFormat="1" ht="12.2" customHeight="1" thickTop="1" x14ac:dyDescent="0.15">
      <c r="A561" s="97" t="s">
        <v>63</v>
      </c>
      <c r="B561" s="41">
        <v>22</v>
      </c>
      <c r="C561" s="41">
        <v>4</v>
      </c>
      <c r="D561" s="115" t="s">
        <v>432</v>
      </c>
      <c r="E561" s="41"/>
      <c r="F561" s="81">
        <f t="shared" ref="F561:L561" si="43">SUM(F558:F560)</f>
        <v>2192748</v>
      </c>
      <c r="G561" s="81">
        <f t="shared" si="43"/>
        <v>1368327</v>
      </c>
      <c r="H561" s="81">
        <f t="shared" si="43"/>
        <v>2257675</v>
      </c>
      <c r="I561" s="81">
        <f t="shared" si="43"/>
        <v>10094</v>
      </c>
      <c r="J561" s="81">
        <f t="shared" si="43"/>
        <v>271</v>
      </c>
      <c r="K561" s="81">
        <f t="shared" si="43"/>
        <v>0</v>
      </c>
      <c r="L561" s="70">
        <f t="shared" si="43"/>
        <v>5829115</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113263</v>
      </c>
      <c r="G563" s="18">
        <v>69554</v>
      </c>
      <c r="H563" s="18">
        <v>0</v>
      </c>
      <c r="I563" s="18">
        <v>194</v>
      </c>
      <c r="J563" s="18">
        <v>0</v>
      </c>
      <c r="K563" s="18">
        <v>0</v>
      </c>
      <c r="L563" s="69">
        <f>SUM(F563:K563)</f>
        <v>183011</v>
      </c>
      <c r="M563" s="8"/>
      <c r="N563" s="165"/>
    </row>
    <row r="564" spans="1:14" s="3" customFormat="1" ht="12.2" customHeight="1" x14ac:dyDescent="0.15">
      <c r="A564" s="21" t="s">
        <v>634</v>
      </c>
      <c r="B564" s="22">
        <v>22</v>
      </c>
      <c r="C564" s="22">
        <v>6</v>
      </c>
      <c r="D564" s="2" t="s">
        <v>432</v>
      </c>
      <c r="E564" s="22"/>
      <c r="F564" s="18">
        <v>36705</v>
      </c>
      <c r="G564" s="18">
        <v>30314</v>
      </c>
      <c r="H564" s="18">
        <v>0</v>
      </c>
      <c r="I564" s="18">
        <v>167</v>
      </c>
      <c r="J564" s="18">
        <v>0</v>
      </c>
      <c r="K564" s="18">
        <v>0</v>
      </c>
      <c r="L564" s="69">
        <f>SUM(F564:K564)</f>
        <v>67186</v>
      </c>
      <c r="M564" s="8"/>
      <c r="N564" s="165"/>
    </row>
    <row r="565" spans="1:14" s="3" customFormat="1" ht="12.2" customHeight="1" thickBot="1" x14ac:dyDescent="0.2">
      <c r="A565" s="21" t="s">
        <v>635</v>
      </c>
      <c r="B565" s="22">
        <v>22</v>
      </c>
      <c r="C565" s="22">
        <v>7</v>
      </c>
      <c r="D565" s="2" t="s">
        <v>432</v>
      </c>
      <c r="E565" s="22"/>
      <c r="F565" s="18">
        <v>20100</v>
      </c>
      <c r="G565" s="18">
        <v>5637</v>
      </c>
      <c r="H565" s="18">
        <v>0</v>
      </c>
      <c r="I565" s="18">
        <v>0</v>
      </c>
      <c r="J565" s="18">
        <v>0</v>
      </c>
      <c r="K565" s="18">
        <v>0</v>
      </c>
      <c r="L565" s="69">
        <f>SUM(F565:K565)</f>
        <v>25737</v>
      </c>
      <c r="M565" s="8"/>
      <c r="N565" s="165"/>
    </row>
    <row r="566" spans="1:14" s="3" customFormat="1" ht="12.2" customHeight="1" thickTop="1" x14ac:dyDescent="0.15">
      <c r="A566" s="97" t="s">
        <v>65</v>
      </c>
      <c r="B566" s="41">
        <v>22</v>
      </c>
      <c r="C566" s="41">
        <v>8</v>
      </c>
      <c r="D566" s="115" t="s">
        <v>432</v>
      </c>
      <c r="E566" s="41"/>
      <c r="F566" s="70">
        <f t="shared" ref="F566:L566" si="44">SUM(F563:F565)</f>
        <v>170068</v>
      </c>
      <c r="G566" s="70">
        <f t="shared" si="44"/>
        <v>105505</v>
      </c>
      <c r="H566" s="70">
        <f t="shared" si="44"/>
        <v>0</v>
      </c>
      <c r="I566" s="70">
        <f t="shared" si="44"/>
        <v>361</v>
      </c>
      <c r="J566" s="70">
        <f t="shared" si="44"/>
        <v>0</v>
      </c>
      <c r="K566" s="70">
        <f t="shared" si="44"/>
        <v>0</v>
      </c>
      <c r="L566" s="70">
        <f t="shared" si="44"/>
        <v>275934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2362816</v>
      </c>
      <c r="G572" s="70">
        <f t="shared" ref="G572:L572" si="46">G561+G566+G571</f>
        <v>1473832</v>
      </c>
      <c r="H572" s="70">
        <f t="shared" si="46"/>
        <v>2257675</v>
      </c>
      <c r="I572" s="70">
        <f t="shared" si="46"/>
        <v>10455</v>
      </c>
      <c r="J572" s="70">
        <f t="shared" si="46"/>
        <v>271</v>
      </c>
      <c r="K572" s="70">
        <f t="shared" si="46"/>
        <v>0</v>
      </c>
      <c r="L572" s="70">
        <f t="shared" si="46"/>
        <v>6105049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9215.39+320314.52+95769.2</f>
        <v>425299.11000000004</v>
      </c>
      <c r="G583" s="18">
        <v>436831.63</v>
      </c>
      <c r="H583" s="18">
        <v>816863.93</v>
      </c>
      <c r="I583" s="69">
        <f t="shared" si="47"/>
        <v>1678994.67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21140.2</v>
      </c>
      <c r="I585" s="69">
        <f t="shared" si="47"/>
        <v>21140.2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226672.84</v>
      </c>
      <c r="I592" s="18">
        <v>119111.53</v>
      </c>
      <c r="J592" s="18">
        <v>136075.9</v>
      </c>
      <c r="K592" s="80">
        <f t="shared" ref="K592:K598" si="48">SUM(H592:J592)</f>
        <v>481860.27</v>
      </c>
      <c r="L592" s="23" t="s">
        <v>288</v>
      </c>
      <c r="M592" s="8"/>
      <c r="N592" s="165"/>
    </row>
    <row r="593" spans="1:14" s="3" customFormat="1" ht="12.2" customHeight="1" x14ac:dyDescent="0.15">
      <c r="A593" s="3" t="s">
        <v>638</v>
      </c>
      <c r="B593" s="22">
        <v>23</v>
      </c>
      <c r="C593" s="22">
        <v>2</v>
      </c>
      <c r="D593" s="2" t="s">
        <v>432</v>
      </c>
      <c r="E593" s="22"/>
      <c r="F593" s="78">
        <v>2722</v>
      </c>
      <c r="G593" s="79" t="s">
        <v>97</v>
      </c>
      <c r="H593" s="18">
        <v>428859.34</v>
      </c>
      <c r="I593" s="18">
        <v>225356.02</v>
      </c>
      <c r="J593" s="18">
        <v>257452.18</v>
      </c>
      <c r="K593" s="80">
        <f t="shared" si="48"/>
        <v>911667.54</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88525.8</v>
      </c>
      <c r="K594" s="80">
        <f t="shared" si="48"/>
        <v>88525.8</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4915.5200000000004</v>
      </c>
      <c r="J595" s="18">
        <v>29716.48</v>
      </c>
      <c r="K595" s="80">
        <f t="shared" si="48"/>
        <v>34632</v>
      </c>
      <c r="L595" s="23" t="s">
        <v>288</v>
      </c>
      <c r="M595" s="8"/>
      <c r="N595" s="165"/>
    </row>
    <row r="596" spans="1:14" s="3" customFormat="1" ht="12.2" customHeight="1" x14ac:dyDescent="0.15">
      <c r="A596" s="103" t="s">
        <v>652</v>
      </c>
      <c r="B596" s="22">
        <v>23</v>
      </c>
      <c r="C596" s="22">
        <v>5</v>
      </c>
      <c r="D596" s="2" t="s">
        <v>432</v>
      </c>
      <c r="E596" s="22"/>
      <c r="F596" s="78">
        <v>2725</v>
      </c>
      <c r="G596" s="79" t="s">
        <v>97</v>
      </c>
      <c r="H596" s="18">
        <f>695.16+215.77</f>
        <v>910.93</v>
      </c>
      <c r="I596" s="18">
        <v>69.58</v>
      </c>
      <c r="J596" s="18">
        <v>859.01</v>
      </c>
      <c r="K596" s="80">
        <f t="shared" si="48"/>
        <v>1839.52</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656443.1100000001</v>
      </c>
      <c r="I599" s="81">
        <f>SUM(I592:I598)</f>
        <v>349452.65</v>
      </c>
      <c r="J599" s="81">
        <f>SUM(J592:J598)</f>
        <v>512629.36999999994</v>
      </c>
      <c r="K599" s="81">
        <f>SUM(K592:K598)</f>
        <v>1518525.1300000001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2595.69+1618.73+3203.51+647.32+11213.43+1527.82+686.33</f>
        <v>21492.83</v>
      </c>
      <c r="I605" s="18">
        <f>2259.16+1085.28+1683.37+1645.71+80.26+5892.41+802.83+360.65</f>
        <v>13809.669999999998</v>
      </c>
      <c r="J605" s="18">
        <f>2856.5+270.84+14778.29+13089+2584.17+1923.12+419.59+91.69+6731.63+40503.32+412.02+917.18</f>
        <v>84577.349999999991</v>
      </c>
      <c r="K605" s="80">
        <f>SUM(H605:J605)</f>
        <v>119879.84999999999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21492.83</v>
      </c>
      <c r="I606" s="81">
        <f>SUM(I603:I605)</f>
        <v>13809.669999999998</v>
      </c>
      <c r="J606" s="81">
        <f>SUM(J603:J605)</f>
        <v>84577.349999999991</v>
      </c>
      <c r="K606" s="81">
        <f>SUM(K603:K605)</f>
        <v>119879.84999999999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1230+29485.85+57464.35</f>
        <v>88180.2</v>
      </c>
      <c r="G612" s="18">
        <f>94.09+12743.35+5207</f>
        <v>18044.440000000002</v>
      </c>
      <c r="H612" s="18">
        <v>0</v>
      </c>
      <c r="I612" s="18">
        <f>5421.36+3874.81</f>
        <v>9296.17</v>
      </c>
      <c r="J612" s="18">
        <v>0</v>
      </c>
      <c r="K612" s="18">
        <v>0</v>
      </c>
      <c r="L612" s="69">
        <f>SUM(F612:K612)</f>
        <v>115520.81</v>
      </c>
      <c r="M612" s="8"/>
      <c r="N612" s="165"/>
    </row>
    <row r="613" spans="1:14" s="3" customFormat="1" ht="12.2" customHeight="1" x14ac:dyDescent="0.15">
      <c r="A613" s="21" t="s">
        <v>634</v>
      </c>
      <c r="B613" s="22">
        <v>23</v>
      </c>
      <c r="C613" s="22">
        <v>14</v>
      </c>
      <c r="D613" s="2" t="s">
        <v>432</v>
      </c>
      <c r="E613" s="22"/>
      <c r="F613" s="18">
        <f>15494.15+30196.24</f>
        <v>45690.39</v>
      </c>
      <c r="G613" s="18">
        <f>6696.35+2736.16</f>
        <v>9432.51</v>
      </c>
      <c r="H613" s="18">
        <v>0</v>
      </c>
      <c r="I613" s="18">
        <v>2036.12</v>
      </c>
      <c r="J613" s="18">
        <v>0</v>
      </c>
      <c r="K613" s="18">
        <v>0</v>
      </c>
      <c r="L613" s="69">
        <f>SUM(F613:K613)</f>
        <v>57159.020000000004</v>
      </c>
      <c r="M613" s="8"/>
      <c r="N613" s="165"/>
    </row>
    <row r="614" spans="1:14" s="3" customFormat="1" ht="12.2" customHeight="1" thickBot="1" x14ac:dyDescent="0.2">
      <c r="A614" s="21" t="s">
        <v>645</v>
      </c>
      <c r="B614" s="22">
        <v>23</v>
      </c>
      <c r="C614" s="22">
        <v>15</v>
      </c>
      <c r="D614" s="2" t="s">
        <v>432</v>
      </c>
      <c r="E614" s="22"/>
      <c r="F614" s="18">
        <f>1500.64+34496.91</f>
        <v>35997.550000000003</v>
      </c>
      <c r="G614" s="18">
        <f>7650.07+113.8+239.45</f>
        <v>8003.32</v>
      </c>
      <c r="H614" s="18">
        <v>0</v>
      </c>
      <c r="I614" s="18">
        <v>0</v>
      </c>
      <c r="J614" s="18">
        <v>0</v>
      </c>
      <c r="K614" s="18">
        <v>0</v>
      </c>
      <c r="L614" s="69">
        <f>SUM(F614:K614)</f>
        <v>44000.87</v>
      </c>
      <c r="M614" s="8"/>
      <c r="N614" s="165"/>
    </row>
    <row r="615" spans="1:14" s="3" customFormat="1" ht="12.2" customHeight="1" thickTop="1" x14ac:dyDescent="0.15">
      <c r="A615" s="75" t="s">
        <v>340</v>
      </c>
      <c r="B615" s="41">
        <v>23</v>
      </c>
      <c r="C615" s="41">
        <v>16</v>
      </c>
      <c r="D615" s="36" t="s">
        <v>432</v>
      </c>
      <c r="E615" s="41"/>
      <c r="F615" s="81">
        <f t="shared" ref="F615:L615" si="49">SUM(F612:F614)</f>
        <v>169868.14</v>
      </c>
      <c r="G615" s="81">
        <f t="shared" si="49"/>
        <v>35480.270000000004</v>
      </c>
      <c r="H615" s="81">
        <f t="shared" si="49"/>
        <v>0</v>
      </c>
      <c r="I615" s="81">
        <f t="shared" si="49"/>
        <v>11332.29</v>
      </c>
      <c r="J615" s="81">
        <f t="shared" si="49"/>
        <v>0</v>
      </c>
      <c r="K615" s="81">
        <f t="shared" si="49"/>
        <v>0</v>
      </c>
      <c r="L615" s="70">
        <f t="shared" si="49"/>
        <v>216680.7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1469119.0399999998</v>
      </c>
      <c r="H618" s="80">
        <f>SUM(F52)</f>
        <v>1469119.04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559619.79</v>
      </c>
      <c r="H619" s="80">
        <f>SUM(G52)</f>
        <v>559619.79</v>
      </c>
      <c r="I619" s="87" t="s">
        <v>875</v>
      </c>
      <c r="J619" s="80">
        <f>G619-H619</f>
        <v>0</v>
      </c>
      <c r="K619" s="80"/>
      <c r="L619" s="80"/>
      <c r="M619" s="8"/>
    </row>
    <row r="620" spans="1:14" s="3" customFormat="1" ht="12.2" customHeight="1" x14ac:dyDescent="0.15">
      <c r="A620" s="74"/>
      <c r="B620" s="22"/>
      <c r="C620" s="22"/>
      <c r="D620" s="22"/>
      <c r="E620" s="22"/>
      <c r="F620" s="87" t="s">
        <v>685</v>
      </c>
      <c r="G620" s="80">
        <f>SUM(H19)</f>
        <v>1054184.47</v>
      </c>
      <c r="H620" s="80">
        <f>SUM(H52)</f>
        <v>1054184.47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39272.65</v>
      </c>
      <c r="H622" s="80">
        <f>SUM(J52)</f>
        <v>39272.65</v>
      </c>
      <c r="I622" s="87" t="s">
        <v>878</v>
      </c>
      <c r="J622" s="80">
        <f>G622-H622</f>
        <v>0</v>
      </c>
      <c r="K622" s="80"/>
      <c r="L622" s="80"/>
      <c r="M622" s="8"/>
    </row>
    <row r="623" spans="1:14" s="3" customFormat="1" ht="12.2" customHeight="1" x14ac:dyDescent="0.15">
      <c r="A623" s="74"/>
      <c r="B623" s="22"/>
      <c r="C623" s="22"/>
      <c r="D623" s="22"/>
      <c r="E623" s="22"/>
      <c r="F623" s="87" t="s">
        <v>864</v>
      </c>
      <c r="G623" s="80">
        <f>F51</f>
        <v>100000</v>
      </c>
      <c r="H623" s="80">
        <f>F477</f>
        <v>100000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436630.48</v>
      </c>
      <c r="H624" s="80">
        <f>G477</f>
        <v>436630.48</v>
      </c>
      <c r="I624" s="87" t="s">
        <v>102</v>
      </c>
      <c r="J624" s="80">
        <f t="shared" si="50"/>
        <v>0</v>
      </c>
      <c r="K624" s="80"/>
      <c r="L624" s="80"/>
      <c r="M624" s="8"/>
    </row>
    <row r="625" spans="1:13" s="3" customFormat="1" ht="12.2" customHeight="1" x14ac:dyDescent="0.15">
      <c r="A625" s="74"/>
      <c r="B625" s="22"/>
      <c r="C625" s="22"/>
      <c r="D625" s="22"/>
      <c r="E625" s="22"/>
      <c r="F625" s="86" t="s">
        <v>866</v>
      </c>
      <c r="G625" s="80">
        <f>H51</f>
        <v>31229.54</v>
      </c>
      <c r="H625" s="80">
        <f>H477</f>
        <v>31229.539999999572</v>
      </c>
      <c r="I625" s="87" t="s">
        <v>103</v>
      </c>
      <c r="J625" s="80">
        <f t="shared" si="50"/>
        <v>4.2928149923682213E-10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36649.760000000002</v>
      </c>
      <c r="H627" s="80">
        <f>J477</f>
        <v>36649.759999999995</v>
      </c>
      <c r="I627" s="87" t="s">
        <v>105</v>
      </c>
      <c r="J627" s="80">
        <f t="shared" si="50"/>
        <v>0</v>
      </c>
      <c r="K627" s="67"/>
      <c r="L627" s="69"/>
      <c r="M627" s="8"/>
    </row>
    <row r="628" spans="1:13" s="3" customFormat="1" ht="12.2" customHeight="1" x14ac:dyDescent="0.15">
      <c r="A628" s="21"/>
      <c r="B628" s="22"/>
      <c r="C628" s="22"/>
      <c r="D628" s="22"/>
      <c r="E628" s="22"/>
      <c r="F628" s="86" t="s">
        <v>658</v>
      </c>
      <c r="G628" s="80">
        <f>F194</f>
        <v>28633683.729999997</v>
      </c>
      <c r="H628" s="80">
        <f>SUM(F469)</f>
        <v>28633683.73</v>
      </c>
      <c r="I628" s="87" t="s">
        <v>106</v>
      </c>
      <c r="J628" s="80">
        <f>G628-H628</f>
        <v>0</v>
      </c>
      <c r="K628" s="67"/>
      <c r="L628" s="69"/>
      <c r="M628" s="8"/>
    </row>
    <row r="629" spans="1:13" s="3" customFormat="1" ht="12.2" customHeight="1" x14ac:dyDescent="0.15">
      <c r="A629" s="21"/>
      <c r="B629" s="22"/>
      <c r="C629" s="22"/>
      <c r="D629" s="22"/>
      <c r="E629" s="22"/>
      <c r="F629" s="86" t="s">
        <v>659</v>
      </c>
      <c r="G629" s="80">
        <f>G194</f>
        <v>867675.75</v>
      </c>
      <c r="H629" s="80">
        <f>SUM(G469)</f>
        <v>867675.75</v>
      </c>
      <c r="I629" s="87" t="s">
        <v>107</v>
      </c>
      <c r="J629" s="80">
        <f>G629-H629</f>
        <v>0</v>
      </c>
      <c r="K629" s="67"/>
      <c r="L629" s="69"/>
      <c r="M629" s="8"/>
    </row>
    <row r="630" spans="1:13" s="3" customFormat="1" ht="12.2" customHeight="1" x14ac:dyDescent="0.15">
      <c r="A630" s="21"/>
      <c r="B630" s="22"/>
      <c r="C630" s="22"/>
      <c r="D630" s="22"/>
      <c r="E630" s="22"/>
      <c r="F630" s="86" t="s">
        <v>660</v>
      </c>
      <c r="G630" s="80">
        <f>H194</f>
        <v>3646522.2600000002</v>
      </c>
      <c r="H630" s="80">
        <f>SUM(H469)</f>
        <v>3646522.26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72838.259999999995</v>
      </c>
      <c r="H632" s="80">
        <f>SUM(J469)</f>
        <v>72838.259999999995</v>
      </c>
      <c r="I632" s="87" t="s">
        <v>110</v>
      </c>
      <c r="J632" s="80">
        <f>G632-H632</f>
        <v>0</v>
      </c>
      <c r="K632" s="67"/>
      <c r="L632" s="69"/>
      <c r="M632" s="8"/>
    </row>
    <row r="633" spans="1:13" s="3" customFormat="1" ht="12.2" customHeight="1" x14ac:dyDescent="0.15">
      <c r="A633" s="21"/>
      <c r="B633" s="22"/>
      <c r="C633" s="22"/>
      <c r="D633" s="22"/>
      <c r="E633" s="22"/>
      <c r="F633" s="86" t="s">
        <v>394</v>
      </c>
      <c r="G633" s="80">
        <f>SUM(L272)</f>
        <v>28533683.73</v>
      </c>
      <c r="H633" s="80">
        <f>SUM(F473)</f>
        <v>28533683.73</v>
      </c>
      <c r="I633" s="87" t="s">
        <v>111</v>
      </c>
      <c r="J633" s="80">
        <f t="shared" si="50"/>
        <v>0</v>
      </c>
      <c r="K633" s="67"/>
      <c r="L633" s="69"/>
      <c r="M633" s="8"/>
    </row>
    <row r="634" spans="1:13" s="3" customFormat="1" ht="12.2" customHeight="1" x14ac:dyDescent="0.15">
      <c r="A634" s="21"/>
      <c r="B634" s="22"/>
      <c r="C634" s="22"/>
      <c r="D634" s="22"/>
      <c r="E634" s="22"/>
      <c r="F634" s="86" t="s">
        <v>395</v>
      </c>
      <c r="G634" s="80">
        <f>SUM(L353)</f>
        <v>3653230.2199999993</v>
      </c>
      <c r="H634" s="80">
        <f>SUM(H473)</f>
        <v>3653230.22</v>
      </c>
      <c r="I634" s="87" t="s">
        <v>112</v>
      </c>
      <c r="J634" s="80">
        <f>G634-H634</f>
        <v>0</v>
      </c>
      <c r="K634" s="67"/>
      <c r="L634" s="69"/>
      <c r="M634" s="8"/>
    </row>
    <row r="635" spans="1:13" s="124" customFormat="1" ht="12.2" customHeight="1" x14ac:dyDescent="0.15">
      <c r="A635" s="21"/>
      <c r="B635" s="22"/>
      <c r="C635" s="22"/>
      <c r="D635" s="22"/>
      <c r="E635" s="22"/>
      <c r="F635" s="99" t="s">
        <v>247</v>
      </c>
      <c r="G635" s="80">
        <f>I363</f>
        <v>72590.23</v>
      </c>
      <c r="H635" s="80">
        <f>I370</f>
        <v>72590.23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885985.69</v>
      </c>
      <c r="H636" s="80">
        <f>SUM(G473)</f>
        <v>885985.69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20716.54</v>
      </c>
      <c r="H637" s="80">
        <f>SUM(I473)</f>
        <v>20716.54</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72838.259999999995</v>
      </c>
      <c r="H638" s="108">
        <f>SUM(J469)</f>
        <v>72838.259999999995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76906.91</v>
      </c>
      <c r="H639" s="108">
        <f>SUM(J473)</f>
        <v>76906.91</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39272.65</v>
      </c>
      <c r="H641" s="80">
        <f>SUM(G462)</f>
        <v>39272.65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39272.65</v>
      </c>
      <c r="H643" s="80">
        <f>SUM(I462)</f>
        <v>39272.65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72838.259999999995</v>
      </c>
      <c r="H647" s="80">
        <f>L409</f>
        <v>72838.259999999995</v>
      </c>
      <c r="I647" s="87" t="s">
        <v>477</v>
      </c>
      <c r="J647" s="80">
        <f t="shared" si="50"/>
        <v>0</v>
      </c>
      <c r="K647" s="67"/>
      <c r="L647" s="69"/>
      <c r="M647" s="8"/>
    </row>
    <row r="648" spans="1:13" s="3" customFormat="1" ht="12.2" customHeight="1" x14ac:dyDescent="0.15">
      <c r="A648" s="21"/>
      <c r="B648" s="22"/>
      <c r="C648" s="22"/>
      <c r="D648" s="22"/>
      <c r="E648" s="22"/>
      <c r="F648" s="86" t="s">
        <v>51</v>
      </c>
      <c r="G648" s="80">
        <f>K599</f>
        <v>1518525.1300000001</v>
      </c>
      <c r="H648" s="80">
        <f>L209+L227+L245</f>
        <v>1518525.13</v>
      </c>
      <c r="I648" s="87" t="s">
        <v>396</v>
      </c>
      <c r="J648" s="80">
        <f t="shared" si="50"/>
        <v>0</v>
      </c>
      <c r="K648" s="67"/>
      <c r="L648" s="69"/>
      <c r="M648" s="8"/>
    </row>
    <row r="649" spans="1:13" s="3" customFormat="1" ht="12.2" customHeight="1" x14ac:dyDescent="0.15">
      <c r="A649" s="21"/>
      <c r="B649" s="22"/>
      <c r="C649" s="22"/>
      <c r="D649" s="22"/>
      <c r="E649" s="22"/>
      <c r="F649" s="86" t="s">
        <v>52</v>
      </c>
      <c r="G649" s="80">
        <f>K606</f>
        <v>119879.84999999999</v>
      </c>
      <c r="H649" s="80">
        <f>(J258+J339)-(J256+J337)</f>
        <v>119879.84999999999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656443.11</v>
      </c>
      <c r="H650" s="80">
        <f>H599</f>
        <v>656443.1100000001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349452.64999999997</v>
      </c>
      <c r="H651" s="80">
        <f>I599</f>
        <v>349452.65</v>
      </c>
      <c r="I651" s="87" t="s">
        <v>389</v>
      </c>
      <c r="J651" s="80">
        <f t="shared" si="50"/>
        <v>0</v>
      </c>
      <c r="K651" s="67"/>
      <c r="L651" s="69"/>
      <c r="M651" s="8"/>
    </row>
    <row r="652" spans="1:13" s="3" customFormat="1" ht="12.2" customHeight="1" x14ac:dyDescent="0.15">
      <c r="A652" s="21"/>
      <c r="B652" s="22"/>
      <c r="C652" s="22"/>
      <c r="D652" s="22"/>
      <c r="E652" s="22"/>
      <c r="F652" s="86" t="s">
        <v>393</v>
      </c>
      <c r="G652" s="80">
        <f>L245</f>
        <v>512629.37</v>
      </c>
      <c r="H652" s="80">
        <f>J599</f>
        <v>512629.36999999994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13424396.029999997</v>
      </c>
      <c r="G661" s="13">
        <f>(L230+L310+L360)</f>
        <v>6795366.8799999999</v>
      </c>
      <c r="H661" s="13">
        <f>(L248+L329+L361)</f>
        <v>9522495.7200000007</v>
      </c>
      <c r="I661" s="13">
        <f>SUM(F661:H661)</f>
        <v>29742258.629999995</v>
      </c>
      <c r="J661" s="13"/>
      <c r="K661" s="13"/>
      <c r="L661" s="13"/>
      <c r="M661" s="9"/>
    </row>
    <row r="662" spans="1:13" s="3" customFormat="1" ht="12.2" customHeight="1" x14ac:dyDescent="0.2">
      <c r="A662" s="1" t="s">
        <v>127</v>
      </c>
      <c r="F662" s="13">
        <f>(L359/IF(SUM(L359:L361)=0,1,SUM(L359:L361))*(SUM(G97:G110)))</f>
        <v>179453.09408767987</v>
      </c>
      <c r="G662" s="13">
        <f>(L360/IF(SUM(L359:L361)=0,1,SUM(L359:L361))*(SUM(G97:G110)))</f>
        <v>79261.611459000531</v>
      </c>
      <c r="H662" s="13">
        <f>(L361/IF(SUM(L359:L361)=0,1,SUM(L359:L361))*(SUM(G97:G110)))</f>
        <v>90550.384453319552</v>
      </c>
      <c r="I662" s="13">
        <f>SUM(F662:H662)</f>
        <v>349265.08999999997</v>
      </c>
      <c r="J662"/>
      <c r="K662" s="13"/>
      <c r="L662" s="13"/>
      <c r="M662" s="8"/>
    </row>
    <row r="663" spans="1:13" s="3" customFormat="1" ht="12.2" customHeight="1" x14ac:dyDescent="0.2">
      <c r="A663" s="1" t="s">
        <v>128</v>
      </c>
      <c r="F663" s="13">
        <f>(L209+L288)-(J209+J288)</f>
        <v>666398</v>
      </c>
      <c r="G663" s="13">
        <f>(L227+L307)-(J227+J307)</f>
        <v>354683.72</v>
      </c>
      <c r="H663" s="13">
        <f>(L245+L326)-(J245+J326)</f>
        <v>518605.48</v>
      </c>
      <c r="I663" s="13">
        <f>SUM(F663:H663)</f>
        <v>1539687.2</v>
      </c>
      <c r="J663"/>
      <c r="K663" s="13"/>
      <c r="L663" s="13"/>
      <c r="M663" s="9"/>
    </row>
    <row r="664" spans="1:13" s="3" customFormat="1" ht="12.2" customHeight="1" x14ac:dyDescent="0.15">
      <c r="A664" s="142" t="s">
        <v>129</v>
      </c>
      <c r="B664" s="124"/>
      <c r="C664" s="124"/>
      <c r="D664" s="124"/>
      <c r="E664" s="124"/>
      <c r="F664" s="143">
        <f>SUM(F576:F588)+SUM(H603:H605)+SUM(L612)</f>
        <v>562312.75</v>
      </c>
      <c r="G664" s="143">
        <f>SUM(G576:G588)+SUM(I603:I605)+L613</f>
        <v>507800.32000000001</v>
      </c>
      <c r="H664" s="143">
        <f>SUM(H576:H588)+SUM(J603:J605)+L614</f>
        <v>966582.35</v>
      </c>
      <c r="I664" s="13">
        <f>SUM(F664:H664)</f>
        <v>2036695.42</v>
      </c>
      <c r="J664" s="13"/>
      <c r="K664" s="13"/>
      <c r="L664" s="13"/>
      <c r="M664" s="9"/>
    </row>
    <row r="665" spans="1:13" s="3" customFormat="1" ht="12.2" customHeight="1" x14ac:dyDescent="0.15">
      <c r="A665" s="1" t="s">
        <v>130</v>
      </c>
      <c r="F665" s="13">
        <f>F661-SUM(F662:F664)</f>
        <v>12016232.185912319</v>
      </c>
      <c r="G665" s="13">
        <f>G661-SUM(G662:G664)</f>
        <v>5853621.2285409998</v>
      </c>
      <c r="H665" s="13">
        <f>H661-SUM(H662:H664)</f>
        <v>7946757.5055466816</v>
      </c>
      <c r="I665" s="13">
        <f>I661-SUM(I662:I664)</f>
        <v>25816610.919999994</v>
      </c>
      <c r="J665" s="13"/>
      <c r="K665" s="13"/>
      <c r="L665" s="13"/>
      <c r="M665" s="8"/>
    </row>
    <row r="666" spans="1:13" s="3" customFormat="1" ht="12.2" customHeight="1" x14ac:dyDescent="0.2">
      <c r="A666" s="1" t="s">
        <v>131</v>
      </c>
      <c r="F666" s="183">
        <v>575.35</v>
      </c>
      <c r="G666" s="184">
        <v>337.29</v>
      </c>
      <c r="H666" s="184">
        <v>382.67</v>
      </c>
      <c r="I666" s="13">
        <f>SUM(F666:H666)</f>
        <v>1295.3100000000002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20885.080000000002</v>
      </c>
      <c r="G668" s="13">
        <f>ROUND(G665/G666,2)</f>
        <v>17354.86</v>
      </c>
      <c r="H668" s="13">
        <f>ROUND(H665/H666,2)</f>
        <v>20766.61</v>
      </c>
      <c r="I668" s="13">
        <f>ROUND(I665/I666,2)</f>
        <v>19930.84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-6.95</v>
      </c>
      <c r="I671" s="13">
        <f>SUM(F671:H671)</f>
        <v>-6.95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20885.080000000002</v>
      </c>
      <c r="G673" s="13">
        <f>ROUND((G665+G670)/(G666+G671),2)</f>
        <v>17354.86</v>
      </c>
      <c r="H673" s="13">
        <f>ROUND((H665+H670)/(H666+H671),2)</f>
        <v>21150.74</v>
      </c>
      <c r="I673" s="13">
        <f>ROUND((I665+I670)/(I666+I671),2)</f>
        <v>20038.349999999999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172820.85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1588.81+7218.67+36799.98+61429.18</f>
        <v>107036.64000000001</v>
      </c>
      <c r="F9" s="272" t="s">
        <v>1627</v>
      </c>
    </row>
    <row r="10" spans="2:8" x14ac:dyDescent="0.25">
      <c r="B10" s="271"/>
      <c r="C10" s="271"/>
      <c r="D10" s="271"/>
      <c r="E10" s="271"/>
      <c r="F10" s="271"/>
    </row>
    <row r="11" spans="2:8" x14ac:dyDescent="0.25">
      <c r="B11" s="271"/>
      <c r="C11" s="275" t="s">
        <v>1631</v>
      </c>
      <c r="D11" s="272" t="s">
        <v>1634</v>
      </c>
      <c r="E11" s="260">
        <f>2584.68+13287.73+995.37</f>
        <v>16867.78</v>
      </c>
      <c r="F11" s="272" t="s">
        <v>1628</v>
      </c>
    </row>
    <row r="12" spans="2:8" x14ac:dyDescent="0.25">
      <c r="B12" s="271"/>
      <c r="C12" s="271"/>
      <c r="D12" s="272"/>
      <c r="E12" s="271"/>
      <c r="F12" s="271"/>
    </row>
    <row r="13" spans="2:8" x14ac:dyDescent="0.25">
      <c r="B13" s="271"/>
      <c r="C13" s="272" t="s">
        <v>1621</v>
      </c>
      <c r="D13" s="272" t="s">
        <v>1635</v>
      </c>
      <c r="E13" s="260">
        <f>48916.43</f>
        <v>48916.43</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Somersworth</v>
      </c>
      <c r="C5" s="317"/>
      <c r="D5" s="317"/>
      <c r="E5" s="317"/>
      <c r="F5" s="317"/>
    </row>
    <row r="8" spans="1:9" ht="18" x14ac:dyDescent="0.25">
      <c r="A8" s="240" t="s">
        <v>1560</v>
      </c>
      <c r="F8" s="247" t="s">
        <v>1578</v>
      </c>
    </row>
    <row r="9" spans="1:9" ht="15" x14ac:dyDescent="0.2">
      <c r="A9" s="238" t="s">
        <v>1561</v>
      </c>
      <c r="B9" s="241">
        <f>'DOE25'!G97</f>
        <v>324752.37999999995</v>
      </c>
      <c r="F9" s="238" t="s">
        <v>1574</v>
      </c>
    </row>
    <row r="10" spans="1:9" ht="15" x14ac:dyDescent="0.2">
      <c r="A10" s="238" t="s">
        <v>1562</v>
      </c>
      <c r="B10" s="241">
        <f>'DOE25'!G112-'DOE25'!G97</f>
        <v>24512.710000000021</v>
      </c>
      <c r="F10" s="238" t="s">
        <v>1575</v>
      </c>
    </row>
    <row r="11" spans="1:9" ht="15" x14ac:dyDescent="0.2">
      <c r="A11" s="238" t="s">
        <v>1563</v>
      </c>
      <c r="B11" s="241">
        <f>'DOE25'!G140</f>
        <v>102886.04999999999</v>
      </c>
      <c r="F11" s="238" t="s">
        <v>1576</v>
      </c>
    </row>
    <row r="12" spans="1:9" ht="15" x14ac:dyDescent="0.2">
      <c r="A12" s="238" t="s">
        <v>1564</v>
      </c>
      <c r="B12" s="241">
        <f>'DOE25'!G170</f>
        <v>415524.61</v>
      </c>
      <c r="F12" s="238" t="s">
        <v>1577</v>
      </c>
    </row>
    <row r="13" spans="1:9" ht="15" x14ac:dyDescent="0.2">
      <c r="A13" s="238" t="s">
        <v>1565</v>
      </c>
      <c r="B13" s="241">
        <f>'DOE25'!G193-'DOE25'!G180</f>
        <v>0</v>
      </c>
      <c r="F13" s="238" t="s">
        <v>1587</v>
      </c>
    </row>
    <row r="14" spans="1:9" ht="18" x14ac:dyDescent="0.25">
      <c r="A14" s="240" t="s">
        <v>732</v>
      </c>
      <c r="B14" s="242">
        <f>SUM(B9:B13)</f>
        <v>867675.75</v>
      </c>
    </row>
    <row r="16" spans="1:9" ht="18" x14ac:dyDescent="0.25">
      <c r="A16" s="240" t="s">
        <v>786</v>
      </c>
      <c r="F16" s="247" t="s">
        <v>1579</v>
      </c>
    </row>
    <row r="17" spans="1:6" ht="15" x14ac:dyDescent="0.2">
      <c r="A17" s="238" t="s">
        <v>1566</v>
      </c>
      <c r="B17" s="241">
        <f>'DOE25'!L363-'DOE25'!L362</f>
        <v>885985.69</v>
      </c>
      <c r="F17" s="238" t="s">
        <v>1580</v>
      </c>
    </row>
    <row r="18" spans="1:6" ht="15" x14ac:dyDescent="0.2">
      <c r="A18" s="238" t="s">
        <v>1567</v>
      </c>
      <c r="B18" s="251">
        <v>0</v>
      </c>
      <c r="F18" s="247" t="s">
        <v>1604</v>
      </c>
    </row>
    <row r="19" spans="1:6" ht="18" x14ac:dyDescent="0.25">
      <c r="A19" s="240" t="s">
        <v>725</v>
      </c>
      <c r="B19" s="242">
        <f>SUM(B17:B18)</f>
        <v>885985.69</v>
      </c>
    </row>
    <row r="21" spans="1:6" ht="18.75" thickBot="1" x14ac:dyDescent="0.3">
      <c r="A21" s="240" t="s">
        <v>1568</v>
      </c>
    </row>
    <row r="22" spans="1:6" ht="18.75" thickTop="1" x14ac:dyDescent="0.25">
      <c r="A22" s="240" t="s">
        <v>1569</v>
      </c>
      <c r="B22" s="246">
        <f>B14-B19</f>
        <v>-18309.939999999944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454940.42</v>
      </c>
      <c r="F31" s="238" t="s">
        <v>1584</v>
      </c>
    </row>
    <row r="33" spans="1:6" ht="15" x14ac:dyDescent="0.2">
      <c r="A33" s="238" t="s">
        <v>1798</v>
      </c>
      <c r="B33" s="241">
        <f>'DOE25'!G477</f>
        <v>436630.48</v>
      </c>
      <c r="F33" s="238" t="s">
        <v>1585</v>
      </c>
    </row>
    <row r="36" spans="1:6" ht="15" x14ac:dyDescent="0.2">
      <c r="A36" s="238" t="s">
        <v>1571</v>
      </c>
      <c r="B36" s="252">
        <v>68481.09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Somersworth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5787391.4799999995</v>
      </c>
      <c r="C9" s="167">
        <f>'DOE25'!G198+'DOE25'!G216+'DOE25'!G234+'DOE25'!G277+'DOE25'!G296+'DOE25'!G315</f>
        <v>3334716.0300000003</v>
      </c>
    </row>
    <row r="10" spans="1:3" x14ac:dyDescent="0.2">
      <c r="A10" t="s">
        <v>775</v>
      </c>
      <c r="B10" s="177">
        <f>4910910.33+139629.5</f>
        <v>5050539.83</v>
      </c>
      <c r="C10" s="177">
        <f>1211550.7+43831.4+6733.13+8226.7+356288.95+1022686.11+93139.99+193.48+11217.24+21916.7</f>
        <v>2775784.4000000004</v>
      </c>
    </row>
    <row r="11" spans="1:3" x14ac:dyDescent="0.2">
      <c r="A11" t="s">
        <v>776</v>
      </c>
      <c r="B11" s="177">
        <v>223459.09</v>
      </c>
      <c r="C11" s="177">
        <f>98774.55+4214.04+470.19+15681.55+29298.95+584.22</f>
        <v>149023.5</v>
      </c>
    </row>
    <row r="12" spans="1:3" x14ac:dyDescent="0.2">
      <c r="A12" t="s">
        <v>777</v>
      </c>
      <c r="B12" s="177">
        <f>297370.98+1230+3000+187449.33+24342.25</f>
        <v>513392.55999999994</v>
      </c>
      <c r="C12" s="177">
        <f>55.53+1011.91+24907.59+94.09+229.5+13949.14+48856.01+18237.12+1862.18+1122+134177.27+79562.15+86987.04-1143.4</f>
        <v>409908.12999999995</v>
      </c>
    </row>
    <row r="13" spans="1:3" x14ac:dyDescent="0.2">
      <c r="A13" t="str">
        <f>IF(B9=B13,IF(C9=C13,"Check Total OK","Check Total Error"),"Check Total Error")</f>
        <v>Check Total OK</v>
      </c>
      <c r="B13" s="169">
        <f>SUM(B10:B12)</f>
        <v>5787391.4799999995</v>
      </c>
      <c r="C13" s="169">
        <f>SUM(C10:C12)</f>
        <v>3334716.0300000003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2580612.4499999997</v>
      </c>
      <c r="C18" s="167">
        <f>'DOE25'!G199+'DOE25'!G217+'DOE25'!G235+'DOE25'!G278+'DOE25'!G297+'DOE25'!G316</f>
        <v>1535751.4400000002</v>
      </c>
    </row>
    <row r="19" spans="1:3" x14ac:dyDescent="0.2">
      <c r="A19" t="s">
        <v>775</v>
      </c>
      <c r="B19" s="177">
        <f>949207.44+170068</f>
        <v>1119275.44</v>
      </c>
      <c r="C19" s="177">
        <f>55239.7+2061.97+236.89+288.81+11928.02+35748.37+246809.93+8828.86+1325.72+1734.81+68411.28+199897.8</f>
        <v>632512.15999999992</v>
      </c>
    </row>
    <row r="20" spans="1:3" x14ac:dyDescent="0.2">
      <c r="A20" t="s">
        <v>776</v>
      </c>
      <c r="B20" s="177">
        <v>1210004.27</v>
      </c>
      <c r="C20" s="177">
        <f>542193.22+27061.37+3012.12+2421.7+86604.1+166250.05</f>
        <v>827542.55999999982</v>
      </c>
    </row>
    <row r="21" spans="1:3" x14ac:dyDescent="0.2">
      <c r="A21" t="s">
        <v>777</v>
      </c>
      <c r="B21" s="177">
        <f>217796.1+1500.64+32036</f>
        <v>251332.74000000002</v>
      </c>
      <c r="C21" s="177">
        <f>2500+432.64+675.6+144+4.68+179.44+95.76+105.6+13860.32+113.8+2614.48+39664.34+239.45+4504.61+10562</f>
        <v>75696.72</v>
      </c>
    </row>
    <row r="22" spans="1:3" x14ac:dyDescent="0.2">
      <c r="A22" t="str">
        <f>IF(B18=B22,IF(C18=C22,"Check Total OK","Check Total Error"),"Check Total Error")</f>
        <v>Check Total OK</v>
      </c>
      <c r="B22" s="169">
        <f>SUM(B19:B21)</f>
        <v>2580612.4500000002</v>
      </c>
      <c r="C22" s="169">
        <f>SUM(C19:C21)</f>
        <v>1535751.4399999997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504958.27</v>
      </c>
      <c r="C27" s="172">
        <f>'DOE25'!G200+'DOE25'!G218+'DOE25'!G236+'DOE25'!G279+'DOE25'!G298+'DOE25'!G317</f>
        <v>245571.66</v>
      </c>
    </row>
    <row r="28" spans="1:3" x14ac:dyDescent="0.2">
      <c r="A28" t="s">
        <v>775</v>
      </c>
      <c r="B28" s="177">
        <v>483184.02</v>
      </c>
      <c r="C28" s="177">
        <f>94374.26+4106.04+607.37+682.34+35441.24+93550.02</f>
        <v>228761.26999999996</v>
      </c>
    </row>
    <row r="29" spans="1:3" x14ac:dyDescent="0.2">
      <c r="A29" t="s">
        <v>776</v>
      </c>
      <c r="B29" s="177">
        <v>20634.25</v>
      </c>
      <c r="C29" s="177">
        <f>14927+660+57.98+46.34+1070.11</f>
        <v>16761.43</v>
      </c>
    </row>
    <row r="30" spans="1:3" x14ac:dyDescent="0.2">
      <c r="A30" t="s">
        <v>777</v>
      </c>
      <c r="B30" s="177">
        <v>1140</v>
      </c>
      <c r="C30" s="177">
        <f>48.96</f>
        <v>48.96</v>
      </c>
    </row>
    <row r="31" spans="1:3" x14ac:dyDescent="0.2">
      <c r="A31" t="str">
        <f>IF(B27=B31,IF(C27=C31,"Check Total OK","Check Total Error"),"Check Total Error")</f>
        <v>Check Total OK</v>
      </c>
      <c r="B31" s="169">
        <f>SUM(B28:B30)</f>
        <v>504958.27</v>
      </c>
      <c r="C31" s="169">
        <f>SUM(C28:C30)</f>
        <v>245571.65999999995</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491181.76</v>
      </c>
      <c r="C36" s="173">
        <f>'DOE25'!G201+'DOE25'!G219+'DOE25'!G237+'DOE25'!G280+'DOE25'!G299+'DOE25'!G318</f>
        <v>120081.68999999997</v>
      </c>
    </row>
    <row r="37" spans="1:3" x14ac:dyDescent="0.2">
      <c r="A37" t="s">
        <v>775</v>
      </c>
      <c r="B37" s="177">
        <v>0</v>
      </c>
      <c r="C37" s="177">
        <v>0</v>
      </c>
    </row>
    <row r="38" spans="1:3" x14ac:dyDescent="0.2">
      <c r="A38" t="s">
        <v>776</v>
      </c>
      <c r="B38" s="177">
        <v>0</v>
      </c>
      <c r="C38" s="177">
        <v>0</v>
      </c>
    </row>
    <row r="39" spans="1:3" x14ac:dyDescent="0.2">
      <c r="A39" t="s">
        <v>777</v>
      </c>
      <c r="B39" s="177">
        <f>33900+108099+167137.5+182045.26</f>
        <v>491181.76</v>
      </c>
      <c r="C39" s="177">
        <f>2593.22+6202.43+179.67+8297.99+93.01+12596.78+12773.77+22259.16+21140.19+939.17+135.3+135.18+13315.86+19237.67+182.29</f>
        <v>120081.68999999999</v>
      </c>
    </row>
    <row r="40" spans="1:3" x14ac:dyDescent="0.2">
      <c r="A40" t="str">
        <f>IF(B36=B40,IF(C36=C40,"Check Total OK","Check Total Error"),"Check Total Error")</f>
        <v>Check Total OK</v>
      </c>
      <c r="B40" s="169">
        <f>SUM(B37:B39)</f>
        <v>491181.76</v>
      </c>
      <c r="C40" s="169">
        <f>SUM(C37:C39)</f>
        <v>120081.68999999999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Somersworth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16361080.490000002</v>
      </c>
      <c r="D5" s="19">
        <f>SUM('DOE25'!L198:L201)+SUM('DOE25'!L216:L219)+SUM('DOE25'!L234:L237)-F5-G5-H5</f>
        <v>16292524.710000003</v>
      </c>
      <c r="E5" s="180"/>
      <c r="F5" s="181">
        <v>24062.29</v>
      </c>
      <c r="G5" s="19">
        <f>SUM('DOE25'!J198:J201)+SUM('DOE25'!J216:J219)+SUM('DOE25'!J234:J237)</f>
        <v>38553.49</v>
      </c>
      <c r="H5" s="19">
        <f>SUM('DOE25'!K198:K201)+SUM('DOE25'!K216:K219)+SUM('DOE25'!K234:K237)</f>
        <v>5940</v>
      </c>
      <c r="I5" s="192"/>
    </row>
    <row r="6" spans="1:9" x14ac:dyDescent="0.2">
      <c r="A6" s="31">
        <v>2100</v>
      </c>
      <c r="B6" t="s">
        <v>796</v>
      </c>
      <c r="C6" s="206">
        <f t="shared" si="0"/>
        <v>1865403.02</v>
      </c>
      <c r="D6" s="19">
        <f>'DOE25'!L203+'DOE25'!L221+'DOE25'!L239-F6-G6-H6</f>
        <v>1533752.12</v>
      </c>
      <c r="E6" s="180"/>
      <c r="F6" s="181">
        <f>220025.76+57374.58+27592.54+6796.51+6796.51</f>
        <v>318585.90000000002</v>
      </c>
      <c r="G6" s="19">
        <f>'DOE25'!J203+'DOE25'!J221+'DOE25'!J239</f>
        <v>0</v>
      </c>
      <c r="H6" s="19">
        <f>'DOE25'!K203+'DOE25'!K221+'DOE25'!K239</f>
        <v>13065</v>
      </c>
      <c r="I6" s="192"/>
    </row>
    <row r="7" spans="1:9" x14ac:dyDescent="0.2">
      <c r="A7" s="31">
        <v>2200</v>
      </c>
      <c r="B7" t="s">
        <v>820</v>
      </c>
      <c r="C7" s="206">
        <f t="shared" si="0"/>
        <v>427305.81</v>
      </c>
      <c r="D7" s="19">
        <f>'DOE25'!L204+'DOE25'!L222+'DOE25'!L240-F7-G7-H7</f>
        <v>424479.64</v>
      </c>
      <c r="E7" s="180"/>
      <c r="F7" s="181">
        <v>0</v>
      </c>
      <c r="G7" s="19">
        <f>'DOE25'!J204+'DOE25'!J222+'DOE25'!J240</f>
        <v>2584.17</v>
      </c>
      <c r="H7" s="19">
        <f>'DOE25'!K204+'DOE25'!K222+'DOE25'!K240</f>
        <v>242</v>
      </c>
      <c r="I7" s="192"/>
    </row>
    <row r="8" spans="1:9" x14ac:dyDescent="0.2">
      <c r="A8" s="31">
        <v>2300</v>
      </c>
      <c r="B8" t="s">
        <v>797</v>
      </c>
      <c r="C8" s="206">
        <f t="shared" si="0"/>
        <v>1266421.31</v>
      </c>
      <c r="D8" s="180"/>
      <c r="E8" s="19">
        <f>'DOE25'!L205+'DOE25'!L223+'DOE25'!L241-F8-G8-H8-D9-D11</f>
        <v>1214817.75</v>
      </c>
      <c r="F8" s="181">
        <v>28792.04</v>
      </c>
      <c r="G8" s="19">
        <f>'DOE25'!J205+'DOE25'!J223+'DOE25'!J241</f>
        <v>6810</v>
      </c>
      <c r="H8" s="19">
        <f>'DOE25'!K205+'DOE25'!K223+'DOE25'!K241</f>
        <v>16001.52</v>
      </c>
      <c r="I8" s="192"/>
    </row>
    <row r="9" spans="1:9" ht="14.25" x14ac:dyDescent="0.2">
      <c r="A9" s="31">
        <v>2310</v>
      </c>
      <c r="B9" s="71" t="s">
        <v>887</v>
      </c>
      <c r="C9" s="206">
        <f t="shared" si="0"/>
        <v>25814.44</v>
      </c>
      <c r="D9" s="181">
        <f>21182.32+4632.12</f>
        <v>25814.44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1977957.7200000002</v>
      </c>
      <c r="D12" s="19">
        <f>'DOE25'!L206+'DOE25'!L224+'DOE25'!L242-F12-G12-H12</f>
        <v>1964889.4200000002</v>
      </c>
      <c r="E12" s="180"/>
      <c r="F12" s="181">
        <v>0</v>
      </c>
      <c r="G12" s="19">
        <f>'DOE25'!J206+'DOE25'!J224+'DOE25'!J242</f>
        <v>2065.3000000000002</v>
      </c>
      <c r="H12" s="19">
        <f>'DOE25'!K206+'DOE25'!K224+'DOE25'!K242</f>
        <v>11003</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818</v>
      </c>
      <c r="C14" s="206">
        <f t="shared" si="0"/>
        <v>2884582.05</v>
      </c>
      <c r="D14" s="19">
        <f>'DOE25'!L208+'DOE25'!L226+'DOE25'!L244-F14-G14-H14</f>
        <v>2374889.46</v>
      </c>
      <c r="E14" s="180"/>
      <c r="F14" s="181">
        <f>1925.76+112256.3+23282.14+87872.08+283537.04</f>
        <v>508873.32</v>
      </c>
      <c r="G14" s="19">
        <f>'DOE25'!J208+'DOE25'!J226+'DOE25'!J244</f>
        <v>819.27</v>
      </c>
      <c r="H14" s="19">
        <f>'DOE25'!K208+'DOE25'!K226+'DOE25'!K244</f>
        <v>0</v>
      </c>
      <c r="I14" s="192"/>
    </row>
    <row r="15" spans="1:9" x14ac:dyDescent="0.2">
      <c r="A15" s="31">
        <v>2700</v>
      </c>
      <c r="B15" t="s">
        <v>799</v>
      </c>
      <c r="C15" s="206">
        <f t="shared" si="0"/>
        <v>1518525.13</v>
      </c>
      <c r="D15" s="19">
        <f>'DOE25'!L209+'DOE25'!L227+'DOE25'!L245-F15-G15-H15</f>
        <v>240173.0299999998</v>
      </c>
      <c r="E15" s="180"/>
      <c r="F15" s="181">
        <f>846697.41+41775.5+6845+63525.8+4109.28+315399.11</f>
        <v>1278352.1000000001</v>
      </c>
      <c r="G15" s="19">
        <f>'DOE25'!J209+'DOE25'!J227+'DOE25'!J245</f>
        <v>0</v>
      </c>
      <c r="H15" s="19">
        <f>'DOE25'!K209+'DOE25'!K227+'DOE25'!K245</f>
        <v>0</v>
      </c>
      <c r="I15" s="192"/>
    </row>
    <row r="16" spans="1:9" x14ac:dyDescent="0.2">
      <c r="A16" s="31">
        <v>2800</v>
      </c>
      <c r="B16" t="s">
        <v>800</v>
      </c>
      <c r="C16" s="206">
        <f t="shared" si="0"/>
        <v>387729.45999999996</v>
      </c>
      <c r="D16" s="180"/>
      <c r="E16" s="19">
        <f>'DOE25'!L210+'DOE25'!L228+'DOE25'!L246-F16-G16-H16</f>
        <v>177523.07000000004</v>
      </c>
      <c r="F16" s="181">
        <f>125799.92+60569</f>
        <v>186368.91999999998</v>
      </c>
      <c r="G16" s="19">
        <f>'DOE25'!J210+'DOE25'!J228+'DOE25'!J246</f>
        <v>23837.47</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1510427.16</v>
      </c>
      <c r="D22" s="180"/>
      <c r="E22" s="180"/>
      <c r="F22" s="180"/>
      <c r="G22" s="19">
        <f>'DOE25'!L256+'DOE25'!L337</f>
        <v>1510427.16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1818864.2999999998</v>
      </c>
      <c r="D25" s="180"/>
      <c r="E25" s="180"/>
      <c r="F25" s="191"/>
      <c r="G25" s="180"/>
      <c r="H25" s="180"/>
      <c r="I25" s="190">
        <f>'DOE25'!L261+'DOE25'!L262+'DOE25'!L342+'DOE25'!L343</f>
        <v>1818864.2999999998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475241.35</v>
      </c>
      <c r="D29" s="212">
        <f>'DOE25'!L359+'DOE25'!L360+'DOE25'!L361-'DOE25'!I368-F29-G29-H29-F39</f>
        <v>475241.35</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2141453.5099999993</v>
      </c>
      <c r="D31" s="19">
        <f>'DOE25'!L291+'DOE25'!L310+'DOE25'!L329+'DOE25'!L334+'DOE25'!L335+'DOE25'!L336-F31-G31-H31</f>
        <v>1927115.3299999996</v>
      </c>
      <c r="E31" s="180"/>
      <c r="F31" s="181">
        <f>79301.12+54009.49</f>
        <v>133310.60999999999</v>
      </c>
      <c r="G31" s="19">
        <f>'DOE25'!J291+'DOE25'!J310+'DOE25'!J329+'DOE25'!J334+'DOE25'!J335+'DOE25'!J336</f>
        <v>45210.149999999994</v>
      </c>
      <c r="H31" s="19">
        <f>'DOE25'!K291+'DOE25'!K310+'DOE25'!K329+'DOE25'!K334+'DOE25'!K335+'DOE25'!K336</f>
        <v>35817.42</v>
      </c>
      <c r="I31" s="192"/>
    </row>
    <row r="32" spans="1:9" ht="12" thickBot="1" x14ac:dyDescent="0.25">
      <c r="C32" s="207"/>
      <c r="G32" s="188"/>
      <c r="H32" s="188"/>
      <c r="I32" s="194"/>
    </row>
    <row r="33" spans="1:9" ht="12" thickTop="1" x14ac:dyDescent="0.2">
      <c r="B33" t="s">
        <v>809</v>
      </c>
      <c r="D33" s="182">
        <f t="shared" ref="D33:I33" si="1">SUM(D5:D31)</f>
        <v>25258879.500000007</v>
      </c>
      <c r="E33" s="182">
        <f t="shared" si="1"/>
        <v>1392340.82</v>
      </c>
      <c r="F33" s="182">
        <f t="shared" si="1"/>
        <v>2478345.1800000002</v>
      </c>
      <c r="G33" s="182">
        <f t="shared" si="1"/>
        <v>1630307.0099999998</v>
      </c>
      <c r="H33" s="182">
        <f t="shared" si="1"/>
        <v>82068.94</v>
      </c>
      <c r="I33" s="182">
        <f t="shared" si="1"/>
        <v>1818864.2999999998</v>
      </c>
    </row>
    <row r="34" spans="1:9" ht="12" thickBot="1" x14ac:dyDescent="0.25"/>
    <row r="35" spans="1:9" ht="12" thickBot="1" x14ac:dyDescent="0.25">
      <c r="B35" s="188" t="s">
        <v>830</v>
      </c>
      <c r="D35" s="189">
        <f>E33</f>
        <v>1392340.82</v>
      </c>
      <c r="E35" s="185"/>
      <c r="F35" s="295" t="s">
        <v>1608</v>
      </c>
      <c r="G35" s="296"/>
      <c r="H35" s="296"/>
      <c r="I35" s="297"/>
    </row>
    <row r="36" spans="1:9" ht="12" thickTop="1" x14ac:dyDescent="0.2">
      <c r="B36" t="s">
        <v>810</v>
      </c>
      <c r="D36" s="19">
        <f>D33</f>
        <v>25258879.500000007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338973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B35" zoomScale="80" zoomScaleNormal="80" workbookViewId="0">
      <selection activeCell="O7" sqref="O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Somersworth</v>
      </c>
      <c r="B2">
        <f>'DOE25'!B2</f>
        <v>491</v>
      </c>
      <c r="J2" s="224" t="s">
        <v>1808</v>
      </c>
      <c r="K2" s="309">
        <f>SUM('DOE25'!L198:L201)+SUM('DOE25'!L216:L219)+SUM('DOE25'!L234:L237)+SUM('DOE25'!L277:L280)+SUM('DOE25'!L296:L299)+SUM('DOE25'!L315:L318)</f>
        <v>17684766.670000006</v>
      </c>
      <c r="L2" s="309">
        <f>'DOE25'!L203+'DOE25'!L221+'DOE25'!L239+'DOE25'!L282+'DOE25'!L301+'DOE25'!L320</f>
        <v>2337757.58</v>
      </c>
      <c r="M2" s="309">
        <f>'DOE25'!L204+'DOE25'!L222+'DOE25'!L240+'DOE25'!L283+'DOE25'!L302+'DOE25'!L321</f>
        <v>645186.48</v>
      </c>
      <c r="N2" s="309">
        <f>'DOE25'!L206+'DOE25'!L224+'DOE25'!L242+'DOE25'!L285+'DOE25'!L304+'DOE25'!L323</f>
        <v>1977957.7200000002</v>
      </c>
      <c r="O2" s="309">
        <f>'Salaries-Benefits'!B10+'Salaries-Benefits'!B12+'Salaries-Benefits'!B19+'Salaries-Benefits'!B21+'Salaries-Benefits'!B28+'Salaries-Benefits'!B30+'Salaries-Benefits'!B37+'Salaries-Benefits'!B39</f>
        <v>7910046.3499999996</v>
      </c>
      <c r="P2" s="309">
        <f>'Salaries-Benefits'!B11+'Salaries-Benefits'!B20+'Salaries-Benefits'!B29+'Salaries-Benefits'!B38</f>
        <v>1454097.61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12969174.83</v>
      </c>
      <c r="G4" s="229">
        <f>'DOE25'!L212+'DOE25'!L291</f>
        <v>12969174.829999998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Idlehurst Elementary School</v>
      </c>
      <c r="B6" s="230">
        <f>IFERROR(VLOOKUP(A6,'School Tables'!$C$3:$D$365,2,FALSE),"")</f>
        <v>29202</v>
      </c>
      <c r="C6" s="223" t="str">
        <f>IFERROR(INDEX('School Tables'!$B$3:$B$365,MATCH('School Level Expenditures'!B6,'School Tables'!$D$3:$D$365,0)),"")</f>
        <v>Somersworth</v>
      </c>
      <c r="D6" s="220">
        <f>4839474.13+1377678.36</f>
        <v>6217152.4900000002</v>
      </c>
      <c r="E6" s="220">
        <v>715949.13</v>
      </c>
      <c r="F6" s="232">
        <f t="shared" ref="F6:F20" si="1">D6+E6</f>
        <v>6933101.6200000001</v>
      </c>
      <c r="G6" s="223"/>
      <c r="H6" s="223"/>
      <c r="J6" t="str">
        <f>A6</f>
        <v>Idlehurst Elementary School</v>
      </c>
      <c r="K6" s="20">
        <f>3522739.94+419790.28+230027.02+7421.06</f>
        <v>4179978.3</v>
      </c>
      <c r="L6" s="20">
        <f>145876.26+86455.38+133988.41+78888.81+104709.05+200697.13</f>
        <v>750615.04000000004</v>
      </c>
      <c r="M6" s="308">
        <f>5687.5+66421.57+9807.74+53385.7</f>
        <v>135302.51</v>
      </c>
      <c r="N6" s="20">
        <f>386600.31+10273.32</f>
        <v>396873.63</v>
      </c>
      <c r="O6" s="20">
        <f>1132984.71+47255+69328+35469.03+104577.84+1074.51+38691.47+8137.86+6183.48+66218.94+95168.43+227023.65+46243.59+46953.11-0.01</f>
        <v>1925309.61</v>
      </c>
      <c r="P6" s="20">
        <f>200716.63+48760.32+295739.34+0.04</f>
        <v>545216.33000000007</v>
      </c>
      <c r="Q6" s="20">
        <f>2489.81+468.73+961.13</f>
        <v>3919.67</v>
      </c>
    </row>
    <row r="7" spans="1:21" x14ac:dyDescent="0.2">
      <c r="A7" t="str" cm="1">
        <f t="array" ref="A7">IFERROR(INDEX('School Tables'!$A$4:$G$325,'School Tables'!$J5,3),"")</f>
        <v>Maple Wood Elementary School</v>
      </c>
      <c r="B7" s="230">
        <f>IFERROR(VLOOKUP(A7,'School Tables'!$C$3:$D$365,2,FALSE),"")</f>
        <v>29203</v>
      </c>
      <c r="C7" s="223" t="str">
        <f>IFERROR(INDEX('School Tables'!$B$3:$B$365,MATCH('School Level Expenditures'!B7,'School Tables'!$D$3:$D$365,0)),"")</f>
        <v>Somersworth</v>
      </c>
      <c r="D7" s="220">
        <f>4252612.75+1173577.87</f>
        <v>5426190.6200000001</v>
      </c>
      <c r="E7" s="220">
        <v>609882.59</v>
      </c>
      <c r="F7" s="232">
        <f t="shared" si="1"/>
        <v>6036073.21</v>
      </c>
      <c r="G7" s="223"/>
      <c r="H7" s="223"/>
      <c r="J7" t="str">
        <f t="shared" ref="J7:J20" si="2">A7</f>
        <v>Maple Wood Elementary School</v>
      </c>
      <c r="K7" s="20">
        <f>3272196.65+357599.12+195948.95+6321.64</f>
        <v>3832066.3600000003</v>
      </c>
      <c r="L7" s="20">
        <f>74091.74+95881.07+173.19+89196.59+170964.23</f>
        <v>430306.82</v>
      </c>
      <c r="M7" s="308">
        <f>4873.5+45178.71+8354.74+45476.7</f>
        <v>103883.65</v>
      </c>
      <c r="N7" s="20">
        <f>390190.77+8751.34</f>
        <v>398942.11000000004</v>
      </c>
      <c r="O7" s="20">
        <f>1130603.5+190865+43935+30214.36+89084.83+915.33+48929.58+6932.26+5267.41+56408.73+39392.68+39997.09</f>
        <v>1682545.7700000003</v>
      </c>
      <c r="P7" s="20">
        <f>22742.38+300846.37+0.04</f>
        <v>323588.78999999998</v>
      </c>
      <c r="Q7" s="20">
        <f>1617.86+211.44+499.5+741.28+1150</f>
        <v>4220.08</v>
      </c>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11643343.109999999</v>
      </c>
      <c r="E21" s="262">
        <f>SUM(E5:E20)</f>
        <v>1325831.72</v>
      </c>
      <c r="F21" s="217"/>
      <c r="G21" s="217"/>
      <c r="H21" s="217"/>
      <c r="K21" s="263">
        <f t="shared" ref="K21:Q21" si="3">SUM(K5:K20)</f>
        <v>8012044.6600000001</v>
      </c>
      <c r="L21" s="263">
        <f t="shared" si="3"/>
        <v>1180921.8600000001</v>
      </c>
      <c r="M21" s="263">
        <f t="shared" si="3"/>
        <v>239186.16</v>
      </c>
      <c r="N21" s="263">
        <f t="shared" si="3"/>
        <v>795815.74</v>
      </c>
      <c r="O21" s="263">
        <f t="shared" si="3"/>
        <v>3607855.3800000004</v>
      </c>
      <c r="P21" s="263">
        <f t="shared" si="3"/>
        <v>868805.12000000011</v>
      </c>
      <c r="Q21" s="263">
        <f t="shared" si="3"/>
        <v>8139.75</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6594302.8300000001</v>
      </c>
      <c r="G24" s="229">
        <f>'DOE25'!L230+'DOE25'!L310</f>
        <v>6594302.8300000001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0</v>
      </c>
      <c r="E25" s="220">
        <v>0</v>
      </c>
      <c r="F25" s="232">
        <f>D25+E25</f>
        <v>0</v>
      </c>
      <c r="G25" s="223"/>
      <c r="H25" s="223"/>
      <c r="J25" s="223"/>
      <c r="K25" s="223"/>
      <c r="L25" s="224"/>
      <c r="M25" s="223"/>
      <c r="N25" s="223"/>
      <c r="O25" s="223"/>
      <c r="P25" s="223"/>
      <c r="Q25" s="223"/>
    </row>
    <row r="26" spans="1:17" x14ac:dyDescent="0.2">
      <c r="A26" t="str" cm="1">
        <f t="array" ref="A26">IFERROR(INDEX('School Tables'!$L$4:$R$75,'School Tables'!$U4,3),"")</f>
        <v>Somersworth Middle School</v>
      </c>
      <c r="B26" s="230">
        <f>IFERROR(VLOOKUP(A26,'School Tables'!$N$4:$O$75,2,FALSE),"")</f>
        <v>22830</v>
      </c>
      <c r="C26" s="223" t="str">
        <f>IFERROR(INDEX('School Tables'!$M$4:$M$75,MATCH('School Level Expenditures'!A26,'School Tables'!$N$4:$N$75,0)),"")</f>
        <v>Somersworth</v>
      </c>
      <c r="D26" s="220">
        <v>6142170.3499999996</v>
      </c>
      <c r="E26" s="220">
        <v>452132.48</v>
      </c>
      <c r="F26" s="232">
        <f t="shared" ref="F26:F32" si="4">D26+E26</f>
        <v>6594302.8300000001</v>
      </c>
      <c r="G26" s="223"/>
      <c r="H26" s="223"/>
      <c r="J26" t="str">
        <f t="shared" ref="J26:J32" si="5">A26</f>
        <v>Somersworth Middle School</v>
      </c>
      <c r="K26" s="20">
        <v>4046674.26</v>
      </c>
      <c r="L26" s="20">
        <f>271775.21+77829.6+114203.33+101893.09+32712.66+11696.05+2590.95</f>
        <v>612700.89000000013</v>
      </c>
      <c r="M26" s="308">
        <f>5213.5+95410+9543.98+18836.56+4585.27+25089.6+3641.41</f>
        <v>162320.32000000001</v>
      </c>
      <c r="N26" s="20">
        <f>458425.01+9997.04</f>
        <v>468422.05</v>
      </c>
      <c r="O26" s="20">
        <f>1345011.2+223744.66+36704.83+34515.16+101765.42+1045.62+32782.29+7919.01+6017.19+44999.95+45690.39+9138+22894</f>
        <v>1912227.7199999997</v>
      </c>
      <c r="P26" s="20">
        <f>262028.74</f>
        <v>262028.74</v>
      </c>
      <c r="Q26" s="20">
        <f>4990.7+125.6+2230.24</f>
        <v>7346.54</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6142170.3499999996</v>
      </c>
      <c r="E33" s="262">
        <f>SUM(E25:E32)</f>
        <v>452132.48</v>
      </c>
      <c r="F33" s="217"/>
      <c r="G33" s="217"/>
      <c r="H33" s="217"/>
      <c r="K33" s="263">
        <f t="shared" ref="K33:Q33" si="6">SUM(K25:K32)</f>
        <v>4046674.26</v>
      </c>
      <c r="L33" s="263">
        <f t="shared" si="6"/>
        <v>612700.89000000013</v>
      </c>
      <c r="M33" s="263">
        <f t="shared" si="6"/>
        <v>162320.32000000001</v>
      </c>
      <c r="N33" s="263">
        <f t="shared" si="6"/>
        <v>468422.05</v>
      </c>
      <c r="O33" s="263">
        <f t="shared" si="6"/>
        <v>1912227.7199999997</v>
      </c>
      <c r="P33" s="263">
        <f t="shared" si="6"/>
        <v>262028.74</v>
      </c>
      <c r="Q33" s="263">
        <f t="shared" si="6"/>
        <v>7346.54</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9292795.2800000012</v>
      </c>
      <c r="G36" s="229">
        <f>'DOE25'!L248+'DOE25'!L329</f>
        <v>9292795.2800000012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0</v>
      </c>
      <c r="E37" s="220">
        <v>0</v>
      </c>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Somersworth High School</v>
      </c>
      <c r="B38" s="230">
        <f>IFERROR(VLOOKUP(A38,'School Tables'!$Y$4:$Z$100,2,FALSE),"")</f>
        <v>22845</v>
      </c>
      <c r="C38" s="223" t="str">
        <f>IFERROR(INDEX('School Tables'!$X$4:$X$100,MATCH('School Level Expenditures'!A38,'School Tables'!$Y$4:$Y$100,0)),"")</f>
        <v>Somersworth</v>
      </c>
      <c r="D38" s="220">
        <f>8921055.97+8250</f>
        <v>8929305.9700000007</v>
      </c>
      <c r="E38" s="220">
        <v>363489.31</v>
      </c>
      <c r="F38" s="232">
        <f t="shared" si="7"/>
        <v>9292795.2800000012</v>
      </c>
      <c r="G38" s="223"/>
      <c r="H38" s="223"/>
      <c r="J38" t="str">
        <f t="shared" ref="J38:J42" si="8">A38</f>
        <v>Somersworth High School</v>
      </c>
      <c r="K38" s="20">
        <v>5626047.75</v>
      </c>
      <c r="L38" s="20">
        <f>248352.49+93852.01+31831.65+116405.14+37371.73+13361.85+2959.96</f>
        <v>544134.82999999996</v>
      </c>
      <c r="M38" s="308">
        <f>14219.29+151692.01+10903.27+20036.88+5127.16+33294.23+3034.97+5372.19</f>
        <v>243680.00000000003</v>
      </c>
      <c r="N38" s="20">
        <f>491673.53+11420.86+210625.54</f>
        <v>713719.93</v>
      </c>
      <c r="O38" s="101">
        <f>1302310.92+206925.13+53394+483184.02+39430.95+1942.89+1194.54+67045.99+1500.64+9046.87+6874.18+1140+20100.17+51409.04+34496.91+24762+85205</f>
        <v>2389963.2500000005</v>
      </c>
      <c r="P38" s="20">
        <f>220128.39+82501.11+20634.25</f>
        <v>323263.75</v>
      </c>
      <c r="Q38" s="20">
        <f>1087.11+4095.5+281.6+633.8+2599.69+330.6+574.49+3657.24</f>
        <v>13260.03</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8929305.9700000007</v>
      </c>
      <c r="E43" s="263">
        <f>SUM(E37:E42)</f>
        <v>363489.31</v>
      </c>
      <c r="K43" s="263">
        <f t="shared" ref="K43:Q43" si="9">SUM(K37:K42)</f>
        <v>5626047.75</v>
      </c>
      <c r="L43" s="263">
        <f t="shared" si="9"/>
        <v>544134.82999999996</v>
      </c>
      <c r="M43" s="263">
        <f t="shared" si="9"/>
        <v>243680.00000000003</v>
      </c>
      <c r="N43" s="263">
        <f t="shared" si="9"/>
        <v>713719.93</v>
      </c>
      <c r="O43" s="263">
        <f t="shared" si="9"/>
        <v>2389963.2500000005</v>
      </c>
      <c r="P43" s="263">
        <f t="shared" si="9"/>
        <v>323263.75</v>
      </c>
      <c r="Q43" s="263">
        <f t="shared" si="9"/>
        <v>13260.03</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K14" sqref="K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Somersworth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100000</v>
      </c>
      <c r="D8" s="73">
        <f>'DOE25'!G9</f>
        <v>0</v>
      </c>
      <c r="E8" s="73">
        <f>'DOE25'!H9</f>
        <v>0</v>
      </c>
      <c r="F8" s="73">
        <f>'DOE25'!I9</f>
        <v>0</v>
      </c>
      <c r="G8" s="73">
        <f>'DOE25'!J9</f>
        <v>0</v>
      </c>
      <c r="H8" s="13">
        <f>SUM(C8:G8)</f>
        <v>100000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1278090.6099999999</v>
      </c>
      <c r="D11" s="73">
        <f>'DOE25'!G12</f>
        <v>441396.93</v>
      </c>
      <c r="E11" s="73">
        <f>'DOE25'!H12</f>
        <v>0</v>
      </c>
      <c r="F11" s="73">
        <f>'DOE25'!I12</f>
        <v>0</v>
      </c>
      <c r="G11" s="73">
        <f>'DOE25'!J12</f>
        <v>36772.65</v>
      </c>
      <c r="H11" s="13">
        <f t="shared" si="0"/>
        <v>1756260.1899999997</v>
      </c>
      <c r="I11" s="90"/>
    </row>
    <row r="12" spans="1:9" x14ac:dyDescent="0.2">
      <c r="A12" s="1" t="s">
        <v>143</v>
      </c>
      <c r="B12" s="6">
        <v>140</v>
      </c>
      <c r="C12" s="73">
        <f>'DOE25'!F13</f>
        <v>91028.43</v>
      </c>
      <c r="D12" s="73">
        <f>'DOE25'!G13</f>
        <v>118222.86</v>
      </c>
      <c r="E12" s="73">
        <f>'DOE25'!H13</f>
        <v>1054184.47</v>
      </c>
      <c r="F12" s="73">
        <f>'DOE25'!I13</f>
        <v>0</v>
      </c>
      <c r="G12" s="73">
        <f>'DOE25'!J13</f>
        <v>2500</v>
      </c>
      <c r="H12" s="13">
        <f t="shared" si="0"/>
        <v>1265935.76</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1469119.0399999998</v>
      </c>
      <c r="D18" s="38">
        <f>SUM(D8:D17)</f>
        <v>559619.79</v>
      </c>
      <c r="E18" s="38">
        <f>SUM(E8:E17)</f>
        <v>1054184.47</v>
      </c>
      <c r="F18" s="38">
        <f>SUM(F8:F17)</f>
        <v>0</v>
      </c>
      <c r="G18" s="38">
        <f>SUM(G8:G17)</f>
        <v>39272.65</v>
      </c>
      <c r="H18" s="38">
        <f t="shared" si="0"/>
        <v>3122195.9499999997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478169.58</v>
      </c>
      <c r="D21" s="73">
        <f>'DOE25'!G22</f>
        <v>0</v>
      </c>
      <c r="E21" s="73">
        <f>'DOE25'!H22</f>
        <v>550819.72</v>
      </c>
      <c r="F21" s="73">
        <f>'DOE25'!I22</f>
        <v>0</v>
      </c>
      <c r="G21" s="73">
        <f>'DOE25'!J22</f>
        <v>0</v>
      </c>
      <c r="H21" s="13">
        <f t="shared" ref="H21:H31" si="1">SUM(C21:G21)</f>
        <v>1028989.3</v>
      </c>
      <c r="I21" s="90"/>
    </row>
    <row r="22" spans="1:9" x14ac:dyDescent="0.2">
      <c r="A22" s="1" t="s">
        <v>151</v>
      </c>
      <c r="B22" s="6">
        <v>410</v>
      </c>
      <c r="C22" s="73">
        <f>'DOE25'!F23</f>
        <v>872918.84</v>
      </c>
      <c r="D22" s="73">
        <f>'DOE25'!G23</f>
        <v>103992.44</v>
      </c>
      <c r="E22" s="73">
        <f>'DOE25'!H23</f>
        <v>472135.21</v>
      </c>
      <c r="F22" s="73">
        <f>'DOE25'!I23</f>
        <v>0</v>
      </c>
      <c r="G22" s="73">
        <f>'DOE25'!J23</f>
        <v>2622.89</v>
      </c>
      <c r="H22" s="13">
        <f t="shared" si="1"/>
        <v>1451669.38</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18030.62</v>
      </c>
      <c r="D28" s="73">
        <f>'DOE25'!G29</f>
        <v>0</v>
      </c>
      <c r="E28" s="73">
        <f>'DOE25'!H29</f>
        <v>0</v>
      </c>
      <c r="F28" s="73">
        <f>'DOE25'!I29</f>
        <v>0</v>
      </c>
      <c r="G28" s="23" t="s">
        <v>288</v>
      </c>
      <c r="H28" s="13">
        <f t="shared" si="1"/>
        <v>18030.62</v>
      </c>
      <c r="I28" s="90"/>
    </row>
    <row r="29" spans="1:9" x14ac:dyDescent="0.2">
      <c r="A29" s="1" t="s">
        <v>158</v>
      </c>
      <c r="B29" s="6">
        <v>480</v>
      </c>
      <c r="C29" s="73">
        <f>'DOE25'!F30</f>
        <v>0</v>
      </c>
      <c r="D29" s="73">
        <f>'DOE25'!G30</f>
        <v>18996.87</v>
      </c>
      <c r="E29" s="73">
        <f>'DOE25'!H30</f>
        <v>0</v>
      </c>
      <c r="F29" s="73">
        <f>'DOE25'!I30</f>
        <v>0</v>
      </c>
      <c r="G29" s="23" t="s">
        <v>288</v>
      </c>
      <c r="H29" s="13">
        <f t="shared" si="1"/>
        <v>18996.87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1369119.04</v>
      </c>
      <c r="D31" s="38">
        <f>SUM(D21:D30)</f>
        <v>122989.31</v>
      </c>
      <c r="E31" s="38">
        <f>SUM(E21:E30)</f>
        <v>1022954.9299999999</v>
      </c>
      <c r="F31" s="38">
        <f>SUM(F21:F30)</f>
        <v>0</v>
      </c>
      <c r="G31" s="38">
        <f>SUM(G21:G30)</f>
        <v>2622.89</v>
      </c>
      <c r="H31" s="38">
        <f t="shared" si="1"/>
        <v>2517686.1700000004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436630.48</v>
      </c>
      <c r="E47" s="73">
        <f>'DOE25'!H48</f>
        <v>31229.54</v>
      </c>
      <c r="F47" s="73">
        <f>'DOE25'!I48</f>
        <v>0</v>
      </c>
      <c r="G47" s="73">
        <f>'DOE25'!J48</f>
        <v>36649.760000000002</v>
      </c>
      <c r="H47" s="13">
        <f t="shared" si="2"/>
        <v>504509.77999999997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100000</v>
      </c>
      <c r="D49" s="23" t="s">
        <v>288</v>
      </c>
      <c r="E49" s="23" t="s">
        <v>288</v>
      </c>
      <c r="F49" s="23" t="s">
        <v>288</v>
      </c>
      <c r="G49" s="23" t="s">
        <v>288</v>
      </c>
      <c r="H49" s="13">
        <f t="shared" si="2"/>
        <v>100000</v>
      </c>
      <c r="I49" s="90"/>
    </row>
    <row r="50" spans="1:9" ht="12.75" thickTop="1" thickBot="1" x14ac:dyDescent="0.25">
      <c r="A50" s="35" t="s">
        <v>883</v>
      </c>
      <c r="B50" s="44"/>
      <c r="C50" s="38">
        <f>SUM(C34:C49)</f>
        <v>100000</v>
      </c>
      <c r="D50" s="38">
        <f>SUM(D34:D49)</f>
        <v>436630.48</v>
      </c>
      <c r="E50" s="38">
        <f>SUM(E34:E49)</f>
        <v>31229.54</v>
      </c>
      <c r="F50" s="38">
        <f>SUM(F34:F49)</f>
        <v>0</v>
      </c>
      <c r="G50" s="38">
        <f>SUM(G34:G49)</f>
        <v>36649.760000000002</v>
      </c>
      <c r="H50" s="38">
        <f t="shared" si="2"/>
        <v>604509.78</v>
      </c>
      <c r="I50" s="90"/>
    </row>
    <row r="51" spans="1:9" ht="12" thickTop="1" x14ac:dyDescent="0.2">
      <c r="A51" s="35" t="s">
        <v>884</v>
      </c>
      <c r="B51" s="2"/>
      <c r="C51" s="38">
        <f>C50+C31</f>
        <v>1469119.04</v>
      </c>
      <c r="D51" s="38">
        <f>D50+D31</f>
        <v>559619.79</v>
      </c>
      <c r="E51" s="38">
        <f>E50+E31</f>
        <v>1054184.47</v>
      </c>
      <c r="F51" s="38">
        <f>F50+F31</f>
        <v>0</v>
      </c>
      <c r="G51" s="38">
        <f>G50+G31</f>
        <v>39272.65</v>
      </c>
      <c r="H51" s="38">
        <f t="shared" si="2"/>
        <v>3122195.9499999997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17115547.949999999</v>
      </c>
      <c r="D56" s="73">
        <f>'DOE25'!G60</f>
        <v>0</v>
      </c>
      <c r="E56" s="73">
        <f>'DOE25'!H60</f>
        <v>0</v>
      </c>
      <c r="F56" s="73">
        <f>'DOE25'!I60</f>
        <v>0</v>
      </c>
      <c r="G56" s="73">
        <f>'DOE25'!J60</f>
        <v>0</v>
      </c>
      <c r="H56" s="13">
        <f t="shared" ref="H56:H63" si="3">SUM(C56:G56)</f>
        <v>17115547.949999999</v>
      </c>
      <c r="I56"/>
    </row>
    <row r="57" spans="1:9" x14ac:dyDescent="0.2">
      <c r="A57" s="1" t="s">
        <v>164</v>
      </c>
      <c r="B57" s="6" t="s">
        <v>165</v>
      </c>
      <c r="C57" s="73">
        <f>'DOE25'!F79</f>
        <v>93940.58</v>
      </c>
      <c r="D57" s="23" t="s">
        <v>288</v>
      </c>
      <c r="E57" s="73">
        <f>'DOE25'!H79</f>
        <v>0</v>
      </c>
      <c r="F57" s="23" t="s">
        <v>288</v>
      </c>
      <c r="G57" s="23" t="s">
        <v>288</v>
      </c>
      <c r="H57" s="13">
        <f t="shared" si="3"/>
        <v>93940.58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324752.37999999995</v>
      </c>
      <c r="E60" s="23" t="s">
        <v>288</v>
      </c>
      <c r="F60" s="23" t="s">
        <v>288</v>
      </c>
      <c r="G60" s="23" t="s">
        <v>288</v>
      </c>
      <c r="H60" s="13">
        <f t="shared" si="3"/>
        <v>324752.37999999995</v>
      </c>
      <c r="I60"/>
    </row>
    <row r="61" spans="1:9" ht="12" thickBot="1" x14ac:dyDescent="0.25">
      <c r="A61" s="1" t="s">
        <v>172</v>
      </c>
      <c r="B61" s="22" t="s">
        <v>173</v>
      </c>
      <c r="C61" s="73">
        <f>SUM('DOE25'!F98:F110)</f>
        <v>512019.52999999991</v>
      </c>
      <c r="D61" s="73">
        <f>SUM('DOE25'!G98:G110)</f>
        <v>24512.71</v>
      </c>
      <c r="E61" s="73">
        <f>SUM('DOE25'!H98:H110)</f>
        <v>61016.14</v>
      </c>
      <c r="F61" s="73">
        <f>SUM('DOE25'!I98:I110)</f>
        <v>0</v>
      </c>
      <c r="G61" s="73">
        <f>SUM('DOE25'!J98:J110)</f>
        <v>72838.259999999995</v>
      </c>
      <c r="H61" s="13">
        <f t="shared" si="3"/>
        <v>670386.6399999999</v>
      </c>
      <c r="I61"/>
    </row>
    <row r="62" spans="1:9" ht="12.75" thickTop="1" thickBot="1" x14ac:dyDescent="0.25">
      <c r="A62" s="28" t="s">
        <v>174</v>
      </c>
      <c r="B62" s="6"/>
      <c r="C62" s="93">
        <f>SUM(C57:C61)</f>
        <v>605960.10999999987</v>
      </c>
      <c r="D62" s="93">
        <f>SUM(D57:D61)</f>
        <v>349265.08999999997</v>
      </c>
      <c r="E62" s="93">
        <f>SUM(E57:E61)</f>
        <v>61016.14</v>
      </c>
      <c r="F62" s="93">
        <f>SUM(F57:F61)</f>
        <v>0</v>
      </c>
      <c r="G62" s="93">
        <f>SUM(G57:G61)</f>
        <v>72838.259999999995</v>
      </c>
      <c r="H62" s="13">
        <f t="shared" si="3"/>
        <v>1089079.5999999999</v>
      </c>
      <c r="I62"/>
    </row>
    <row r="63" spans="1:9" ht="12" thickTop="1" x14ac:dyDescent="0.2">
      <c r="A63" s="28" t="s">
        <v>175</v>
      </c>
      <c r="B63" s="6"/>
      <c r="C63" s="21">
        <f>C56+C62</f>
        <v>17721508.059999999</v>
      </c>
      <c r="D63" s="21">
        <f>D56+D62</f>
        <v>349265.08999999997</v>
      </c>
      <c r="E63" s="21">
        <f>E56+E62</f>
        <v>61016.14</v>
      </c>
      <c r="F63" s="21">
        <f>F56+F62</f>
        <v>0</v>
      </c>
      <c r="G63" s="21">
        <f>G56+G62</f>
        <v>72838.259999999995</v>
      </c>
      <c r="H63" s="13">
        <f t="shared" si="3"/>
        <v>18204627.550000001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8122364.46</v>
      </c>
      <c r="D66" s="23" t="s">
        <v>288</v>
      </c>
      <c r="E66" s="23" t="s">
        <v>288</v>
      </c>
      <c r="F66" s="23" t="s">
        <v>288</v>
      </c>
      <c r="G66" s="23" t="s">
        <v>288</v>
      </c>
      <c r="H66" s="13">
        <f t="shared" ref="H66:H81" si="4">SUM(C66:G66)</f>
        <v>8122364.46</v>
      </c>
      <c r="I66"/>
    </row>
    <row r="67" spans="1:9" x14ac:dyDescent="0.2">
      <c r="A67" s="1" t="s">
        <v>770</v>
      </c>
      <c r="B67" s="6">
        <v>3112</v>
      </c>
      <c r="C67" s="73">
        <f>'DOE25'!F118</f>
        <v>1500784</v>
      </c>
      <c r="D67" s="23"/>
      <c r="E67" s="23"/>
      <c r="F67" s="23"/>
      <c r="G67" s="23"/>
      <c r="H67" s="13">
        <f t="shared" si="4"/>
        <v>1500784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139421.66999999998</v>
      </c>
      <c r="D69" s="73">
        <f>'DOE25'!G120</f>
        <v>47051.78</v>
      </c>
      <c r="E69" s="73">
        <f>'DOE25'!H120</f>
        <v>0</v>
      </c>
      <c r="F69" s="73">
        <f>'DOE25'!I120</f>
        <v>0</v>
      </c>
      <c r="G69" s="73">
        <f>'DOE25'!J120</f>
        <v>0</v>
      </c>
      <c r="H69" s="13">
        <f t="shared" si="4"/>
        <v>186473.44999999998</v>
      </c>
      <c r="I69"/>
    </row>
    <row r="70" spans="1:9" ht="12" thickTop="1" x14ac:dyDescent="0.2">
      <c r="A70" s="28" t="s">
        <v>252</v>
      </c>
      <c r="B70" s="2"/>
      <c r="C70" s="97">
        <f>SUM(C66:C69)</f>
        <v>9762570.1300000008</v>
      </c>
      <c r="D70" s="97">
        <f>D69</f>
        <v>47051.78</v>
      </c>
      <c r="E70" s="97">
        <f>E69</f>
        <v>0</v>
      </c>
      <c r="F70" s="97">
        <f>F69</f>
        <v>0</v>
      </c>
      <c r="G70" s="97">
        <f>G69</f>
        <v>0</v>
      </c>
      <c r="H70" s="13">
        <f t="shared" si="4"/>
        <v>9809621.9100000001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486345.43</v>
      </c>
      <c r="D72" s="23" t="s">
        <v>288</v>
      </c>
      <c r="E72" s="23" t="s">
        <v>288</v>
      </c>
      <c r="F72" s="73">
        <f>'DOE25'!I123</f>
        <v>0</v>
      </c>
      <c r="G72" s="23" t="s">
        <v>288</v>
      </c>
      <c r="H72" s="13">
        <f t="shared" si="4"/>
        <v>486345.43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469981.5</v>
      </c>
      <c r="D75" s="23" t="s">
        <v>288</v>
      </c>
      <c r="E75" s="23" t="s">
        <v>288</v>
      </c>
      <c r="F75" s="23" t="s">
        <v>288</v>
      </c>
      <c r="G75" s="23" t="s">
        <v>288</v>
      </c>
      <c r="H75" s="13">
        <f t="shared" si="4"/>
        <v>469981.5</v>
      </c>
      <c r="I75"/>
    </row>
    <row r="76" spans="1:9" x14ac:dyDescent="0.2">
      <c r="A76" s="1" t="s">
        <v>257</v>
      </c>
      <c r="B76" s="6" t="s">
        <v>179</v>
      </c>
      <c r="C76" s="73">
        <f>SUM('DOE25'!F127:F130)</f>
        <v>80193.39</v>
      </c>
      <c r="D76" s="23" t="s">
        <v>288</v>
      </c>
      <c r="E76" s="73">
        <f>SUM('DOE25'!H127:H130)</f>
        <v>0</v>
      </c>
      <c r="F76" s="73">
        <f>SUM('DOE25'!I127:I130)</f>
        <v>0</v>
      </c>
      <c r="G76" s="23" t="s">
        <v>288</v>
      </c>
      <c r="H76" s="13">
        <f t="shared" si="4"/>
        <v>80193.39</v>
      </c>
      <c r="I76"/>
    </row>
    <row r="77" spans="1:9" ht="12" thickBot="1" x14ac:dyDescent="0.25">
      <c r="A77" s="1" t="s">
        <v>258</v>
      </c>
      <c r="B77" s="6" t="s">
        <v>180</v>
      </c>
      <c r="C77" s="73">
        <f>SUM('DOE25'!F131:F135)</f>
        <v>0</v>
      </c>
      <c r="D77" s="73">
        <f>SUM('DOE25'!G131:G135)</f>
        <v>55834.27</v>
      </c>
      <c r="E77" s="73">
        <f>SUM('DOE25'!H131:H135)</f>
        <v>0</v>
      </c>
      <c r="F77" s="73">
        <f>SUM('DOE25'!I131:I135)</f>
        <v>0</v>
      </c>
      <c r="G77" s="73">
        <f>SUM('DOE25'!J131:J135)</f>
        <v>0</v>
      </c>
      <c r="H77" s="13">
        <f t="shared" si="4"/>
        <v>55834.27</v>
      </c>
      <c r="I77"/>
    </row>
    <row r="78" spans="1:9" ht="12.75" thickTop="1" thickBot="1" x14ac:dyDescent="0.25">
      <c r="A78" s="28" t="s">
        <v>259</v>
      </c>
      <c r="B78" s="6"/>
      <c r="C78" s="93">
        <f>SUM(C72:C77)</f>
        <v>1036520.32</v>
      </c>
      <c r="D78" s="93">
        <f>SUM(D72:D77)</f>
        <v>55834.27</v>
      </c>
      <c r="E78" s="93">
        <f>SUM(E72:E77)</f>
        <v>0</v>
      </c>
      <c r="F78" s="93">
        <f>SUM(F72:F77)</f>
        <v>0</v>
      </c>
      <c r="G78" s="93">
        <f>SUM(G72:G77)</f>
        <v>0</v>
      </c>
      <c r="H78" s="13">
        <f t="shared" si="4"/>
        <v>1092354.5899999999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10799090.450000001</v>
      </c>
      <c r="D81" s="93">
        <f>SUM(D79:D80)+D78+D70</f>
        <v>102886.04999999999</v>
      </c>
      <c r="E81" s="93">
        <f>SUM(E79:E80)+E78+E70</f>
        <v>0</v>
      </c>
      <c r="F81" s="93">
        <f>SUM(F79:F80)+F78+F70</f>
        <v>0</v>
      </c>
      <c r="G81" s="93">
        <f>SUM(G79:G80)+G78+G70</f>
        <v>0</v>
      </c>
      <c r="H81" s="93">
        <f t="shared" si="4"/>
        <v>10901976.500000002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113085.22</v>
      </c>
      <c r="D88" s="253">
        <f>SUM('DOE25'!G153:G162)</f>
        <v>415524.61</v>
      </c>
      <c r="E88" s="253">
        <f>SUM('DOE25'!H153:H162)</f>
        <v>3585506.12</v>
      </c>
      <c r="F88" s="253">
        <f>SUM('DOE25'!I153:I162)</f>
        <v>0</v>
      </c>
      <c r="G88" s="23" t="s">
        <v>288</v>
      </c>
      <c r="H88" s="13">
        <f t="shared" si="5"/>
        <v>4114115.95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113085.22</v>
      </c>
      <c r="D91" s="94">
        <f>SUM(D85:D90)</f>
        <v>415524.61</v>
      </c>
      <c r="E91" s="94">
        <f>SUM(E85:E90)</f>
        <v>3585506.12</v>
      </c>
      <c r="F91" s="94">
        <f>SUM(F85:F90)</f>
        <v>0</v>
      </c>
      <c r="G91" s="23" t="s">
        <v>288</v>
      </c>
      <c r="H91" s="13">
        <f t="shared" si="5"/>
        <v>4114115.95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28633683.729999997</v>
      </c>
      <c r="D104" s="68">
        <f>D63+D81+D91+D103</f>
        <v>867675.75</v>
      </c>
      <c r="E104" s="68">
        <f>E63+E81+E91+E103</f>
        <v>3646522.2600000002</v>
      </c>
      <c r="F104" s="68">
        <f>F63+F81+F91+F103</f>
        <v>0</v>
      </c>
      <c r="G104" s="68">
        <f>G63+G81+G103</f>
        <v>72838.259999999995</v>
      </c>
      <c r="H104" s="68">
        <f t="shared" si="5"/>
        <v>33220720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8920306.9800000004</v>
      </c>
      <c r="D109" s="23" t="s">
        <v>288</v>
      </c>
      <c r="E109" s="73">
        <f>('DOE25'!L277)+('DOE25'!L296)+('DOE25'!L315)</f>
        <v>586362.00000000012</v>
      </c>
      <c r="F109" s="23" t="s">
        <v>288</v>
      </c>
      <c r="G109" s="23" t="s">
        <v>288</v>
      </c>
      <c r="H109" s="13">
        <f t="shared" ref="H109:H115" si="6">SUM(C109:G109)</f>
        <v>9506668.9800000004</v>
      </c>
    </row>
    <row r="110" spans="1:8" x14ac:dyDescent="0.2">
      <c r="A110" t="s">
        <v>198</v>
      </c>
      <c r="B110" s="31" t="s">
        <v>199</v>
      </c>
      <c r="C110" s="73">
        <f>('DOE25'!L199)+('DOE25'!L217)+('DOE25'!L235)</f>
        <v>6114264.8600000003</v>
      </c>
      <c r="D110" s="23" t="s">
        <v>288</v>
      </c>
      <c r="E110" s="73">
        <f>('DOE25'!L278)+('DOE25'!L297)+('DOE25'!L316)</f>
        <v>426113.74</v>
      </c>
      <c r="F110" s="23" t="s">
        <v>288</v>
      </c>
      <c r="G110" s="23" t="s">
        <v>288</v>
      </c>
      <c r="H110" s="13">
        <f t="shared" si="6"/>
        <v>6540378.6000000006</v>
      </c>
    </row>
    <row r="111" spans="1:8" x14ac:dyDescent="0.2">
      <c r="A111" t="s">
        <v>200</v>
      </c>
      <c r="B111" s="31" t="s">
        <v>165</v>
      </c>
      <c r="C111" s="73">
        <f>('DOE25'!L200)+('DOE25'!L218)+('DOE25'!L236)</f>
        <v>842466.17</v>
      </c>
      <c r="D111" s="23" t="s">
        <v>288</v>
      </c>
      <c r="E111" s="73">
        <f>('DOE25'!L279)+('DOE25'!L298)+('DOE25'!L317)</f>
        <v>96175.48000000001</v>
      </c>
      <c r="F111" s="23" t="s">
        <v>288</v>
      </c>
      <c r="G111" s="23" t="s">
        <v>288</v>
      </c>
      <c r="H111" s="13">
        <f t="shared" si="6"/>
        <v>938641.65</v>
      </c>
    </row>
    <row r="112" spans="1:8" x14ac:dyDescent="0.2">
      <c r="A112" t="s">
        <v>201</v>
      </c>
      <c r="B112" s="31" t="s">
        <v>167</v>
      </c>
      <c r="C112" s="73">
        <f>('DOE25'!L201)+('DOE25'!L219)+('DOE25'!L237)</f>
        <v>484042.48</v>
      </c>
      <c r="D112" s="23" t="s">
        <v>288</v>
      </c>
      <c r="E112" s="73">
        <f>+('DOE25'!L280)+('DOE25'!L299)+('DOE25'!L318)</f>
        <v>215034.96</v>
      </c>
      <c r="F112" s="23" t="s">
        <v>288</v>
      </c>
      <c r="G112" s="23" t="s">
        <v>288</v>
      </c>
      <c r="H112" s="13">
        <f t="shared" si="6"/>
        <v>699077.44</v>
      </c>
    </row>
    <row r="113" spans="1:8" x14ac:dyDescent="0.2">
      <c r="A113" t="s">
        <v>202</v>
      </c>
      <c r="B113" s="31" t="s">
        <v>169</v>
      </c>
      <c r="C113" s="73">
        <f>'DOE25'!L251</f>
        <v>0</v>
      </c>
      <c r="D113" s="23" t="s">
        <v>288</v>
      </c>
      <c r="E113" s="73">
        <f>+'DOE25'!L333</f>
        <v>1349.55</v>
      </c>
      <c r="F113" s="23" t="s">
        <v>288</v>
      </c>
      <c r="G113" s="23" t="s">
        <v>288</v>
      </c>
      <c r="H113" s="13">
        <f t="shared" si="6"/>
        <v>1349.55</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16361080.49</v>
      </c>
      <c r="D115" s="68">
        <f>SUM(D109:D114)</f>
        <v>0</v>
      </c>
      <c r="E115" s="68">
        <f>SUM(E109:E114)</f>
        <v>1325035.7300000002</v>
      </c>
      <c r="F115" s="68">
        <f>SUM(F109:F114)</f>
        <v>0</v>
      </c>
      <c r="G115" s="68">
        <f>SUM(G109:G114)</f>
        <v>0</v>
      </c>
      <c r="H115" s="68">
        <f t="shared" si="6"/>
        <v>17686116.219999999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1865403.02</v>
      </c>
      <c r="D118" s="23" t="s">
        <v>288</v>
      </c>
      <c r="E118" s="73">
        <f>+('DOE25'!L282)+('DOE25'!L301)+('DOE25'!L320)</f>
        <v>472354.55999999994</v>
      </c>
      <c r="F118" s="23" t="s">
        <v>288</v>
      </c>
      <c r="G118" s="23" t="s">
        <v>288</v>
      </c>
      <c r="H118" s="13">
        <f t="shared" ref="H118:H145" si="7">SUM(C118:G118)</f>
        <v>2337757.58</v>
      </c>
    </row>
    <row r="119" spans="1:8" x14ac:dyDescent="0.2">
      <c r="A119" t="s">
        <v>208</v>
      </c>
      <c r="B119" s="31" t="s">
        <v>209</v>
      </c>
      <c r="C119" s="73">
        <f>('DOE25'!L204)+('DOE25'!L222)+('DOE25'!L240)</f>
        <v>427305.81</v>
      </c>
      <c r="D119" s="23" t="s">
        <v>288</v>
      </c>
      <c r="E119" s="73">
        <f>+('DOE25'!L283)+('DOE25'!L302)+('DOE25'!L321)</f>
        <v>217880.66999999998</v>
      </c>
      <c r="F119" s="23" t="s">
        <v>288</v>
      </c>
      <c r="G119" s="23" t="s">
        <v>288</v>
      </c>
      <c r="H119" s="13">
        <f t="shared" si="7"/>
        <v>645186.48</v>
      </c>
    </row>
    <row r="120" spans="1:8" x14ac:dyDescent="0.2">
      <c r="A120" t="s">
        <v>210</v>
      </c>
      <c r="B120" s="31" t="s">
        <v>211</v>
      </c>
      <c r="C120" s="73">
        <f>('DOE25'!L205)+('DOE25'!L223)+('DOE25'!L241)</f>
        <v>1292235.75</v>
      </c>
      <c r="D120" s="23" t="s">
        <v>288</v>
      </c>
      <c r="E120" s="73">
        <f>+('DOE25'!L284)+('DOE25'!L303)+('DOE25'!L322)</f>
        <v>0</v>
      </c>
      <c r="F120" s="23" t="s">
        <v>288</v>
      </c>
      <c r="G120" s="23" t="s">
        <v>288</v>
      </c>
      <c r="H120" s="13">
        <f t="shared" si="7"/>
        <v>1292235.75</v>
      </c>
    </row>
    <row r="121" spans="1:8" x14ac:dyDescent="0.2">
      <c r="A121" t="s">
        <v>212</v>
      </c>
      <c r="B121" s="31" t="s">
        <v>213</v>
      </c>
      <c r="C121" s="73">
        <f>('DOE25'!L206)+('DOE25'!L224)+('DOE25'!L242)</f>
        <v>1977957.7200000002</v>
      </c>
      <c r="D121" s="23" t="s">
        <v>288</v>
      </c>
      <c r="E121" s="73">
        <f>+('DOE25'!L285)+('DOE25'!L304)+('DOE25'!L323)</f>
        <v>0</v>
      </c>
      <c r="F121" s="23" t="s">
        <v>288</v>
      </c>
      <c r="G121" s="23" t="s">
        <v>288</v>
      </c>
      <c r="H121" s="13">
        <f t="shared" si="7"/>
        <v>1977957.7200000002</v>
      </c>
    </row>
    <row r="122" spans="1:8" x14ac:dyDescent="0.2">
      <c r="A122" t="s">
        <v>214</v>
      </c>
      <c r="B122" s="31" t="s">
        <v>215</v>
      </c>
      <c r="C122" s="73">
        <f>('DOE25'!L207)+('DOE25'!L225)+('DOE25'!L243)</f>
        <v>0</v>
      </c>
      <c r="D122" s="23" t="s">
        <v>288</v>
      </c>
      <c r="E122" s="73">
        <f>+('DOE25'!L286)+('DOE25'!L305)+('DOE25'!L324)</f>
        <v>106370.02999999998</v>
      </c>
      <c r="F122" s="23" t="s">
        <v>288</v>
      </c>
      <c r="G122" s="23" t="s">
        <v>288</v>
      </c>
      <c r="H122" s="13">
        <f t="shared" si="7"/>
        <v>106370.02999999998</v>
      </c>
    </row>
    <row r="123" spans="1:8" x14ac:dyDescent="0.2">
      <c r="A123" t="s">
        <v>216</v>
      </c>
      <c r="B123" s="31" t="s">
        <v>217</v>
      </c>
      <c r="C123" s="73">
        <f>('DOE25'!L208)+('DOE25'!L226)+('DOE25'!L244)</f>
        <v>2884582.05</v>
      </c>
      <c r="D123" s="23" t="s">
        <v>288</v>
      </c>
      <c r="E123" s="73">
        <f>+('DOE25'!L287)+('DOE25'!L306)+('DOE25'!L325)</f>
        <v>0</v>
      </c>
      <c r="F123" s="23" t="s">
        <v>288</v>
      </c>
      <c r="G123" s="23" t="s">
        <v>288</v>
      </c>
      <c r="H123" s="13">
        <f t="shared" si="7"/>
        <v>2884582.05</v>
      </c>
    </row>
    <row r="124" spans="1:8" x14ac:dyDescent="0.2">
      <c r="A124" t="s">
        <v>218</v>
      </c>
      <c r="B124" s="31" t="s">
        <v>219</v>
      </c>
      <c r="C124" s="73">
        <f>('DOE25'!L209)+('DOE25'!L227)+('DOE25'!L245+'DOE25'!L255)</f>
        <v>1518525.13</v>
      </c>
      <c r="D124" s="23" t="s">
        <v>288</v>
      </c>
      <c r="E124" s="73">
        <f>+('DOE25'!L288)+('DOE25'!L307)+('DOE25'!L326)</f>
        <v>21162.07</v>
      </c>
      <c r="F124" s="23" t="s">
        <v>288</v>
      </c>
      <c r="G124" s="23" t="s">
        <v>288</v>
      </c>
      <c r="H124" s="13">
        <f t="shared" si="7"/>
        <v>1539687.2</v>
      </c>
    </row>
    <row r="125" spans="1:8" x14ac:dyDescent="0.2">
      <c r="A125" t="s">
        <v>220</v>
      </c>
      <c r="B125" s="31" t="s">
        <v>221</v>
      </c>
      <c r="C125" s="73">
        <f>('DOE25'!L210)+('DOE25'!L228)+('DOE25'!L246)</f>
        <v>387729.46</v>
      </c>
      <c r="D125" s="23" t="s">
        <v>288</v>
      </c>
      <c r="E125" s="73">
        <f>+('DOE25'!L289)+('DOE25'!L308)+('DOE25'!L327)</f>
        <v>0</v>
      </c>
      <c r="F125" s="23" t="s">
        <v>288</v>
      </c>
      <c r="G125" s="23" t="s">
        <v>288</v>
      </c>
      <c r="H125" s="13">
        <f t="shared" si="7"/>
        <v>387729.46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885985.69</v>
      </c>
      <c r="E127" s="23" t="s">
        <v>288</v>
      </c>
      <c r="F127" s="23" t="s">
        <v>288</v>
      </c>
      <c r="G127" s="23" t="s">
        <v>288</v>
      </c>
      <c r="H127" s="13">
        <f t="shared" si="7"/>
        <v>885985.69</v>
      </c>
    </row>
    <row r="128" spans="1:8" ht="12.75" thickTop="1" thickBot="1" x14ac:dyDescent="0.25">
      <c r="A128" s="32" t="s">
        <v>226</v>
      </c>
      <c r="C128" s="68">
        <f>SUM(C118:C127)</f>
        <v>10353738.940000001</v>
      </c>
      <c r="D128" s="68">
        <f>SUM(D118:D127)</f>
        <v>885985.69</v>
      </c>
      <c r="E128" s="68">
        <f>SUM(E118:E127)</f>
        <v>817767.33</v>
      </c>
      <c r="F128" s="68">
        <f>SUM(F118:F127)</f>
        <v>0</v>
      </c>
      <c r="G128" s="68">
        <f>SUM(G118:G127)</f>
        <v>0</v>
      </c>
      <c r="H128" s="68">
        <f t="shared" si="7"/>
        <v>12057491.960000001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1510427.16</v>
      </c>
      <c r="F130" s="92">
        <f>SUM('DOE25'!L375:'DOE25'!L381)</f>
        <v>20716.54</v>
      </c>
      <c r="G130" s="23" t="s">
        <v>288</v>
      </c>
      <c r="H130" s="13">
        <f t="shared" si="7"/>
        <v>1531143.7</v>
      </c>
    </row>
    <row r="131" spans="1:8" x14ac:dyDescent="0.2">
      <c r="A131" t="s">
        <v>229</v>
      </c>
      <c r="B131" s="31">
        <v>5110</v>
      </c>
      <c r="C131" s="73">
        <f>'DOE25'!L261</f>
        <v>1125984.8599999999</v>
      </c>
      <c r="D131" s="23" t="s">
        <v>288</v>
      </c>
      <c r="E131" s="92">
        <f>'DOE25'!L342</f>
        <v>0</v>
      </c>
      <c r="F131" s="23" t="s">
        <v>288</v>
      </c>
      <c r="G131" s="23" t="s">
        <v>288</v>
      </c>
      <c r="H131" s="13">
        <f t="shared" si="7"/>
        <v>1125984.8599999999</v>
      </c>
    </row>
    <row r="132" spans="1:8" x14ac:dyDescent="0.2">
      <c r="A132" t="s">
        <v>230</v>
      </c>
      <c r="B132" s="31">
        <v>5120</v>
      </c>
      <c r="C132" s="73">
        <f>'DOE25'!L262</f>
        <v>692879.44</v>
      </c>
      <c r="D132" s="23" t="s">
        <v>288</v>
      </c>
      <c r="E132" s="92">
        <f>'DOE25'!L343</f>
        <v>0</v>
      </c>
      <c r="F132" s="23" t="s">
        <v>288</v>
      </c>
      <c r="G132" s="23" t="s">
        <v>288</v>
      </c>
      <c r="H132" s="13">
        <f t="shared" si="7"/>
        <v>692879.44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72838.259999999995</v>
      </c>
      <c r="D139" s="23" t="s">
        <v>288</v>
      </c>
      <c r="E139" s="23" t="s">
        <v>288</v>
      </c>
      <c r="F139" s="23" t="s">
        <v>288</v>
      </c>
      <c r="G139" s="23" t="s">
        <v>288</v>
      </c>
      <c r="H139" s="13">
        <f t="shared" si="7"/>
        <v>72838.259999999995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-72838.259999999995</v>
      </c>
      <c r="D141" s="23" t="s">
        <v>288</v>
      </c>
      <c r="E141" s="23" t="s">
        <v>288</v>
      </c>
      <c r="F141" s="23" t="s">
        <v>288</v>
      </c>
      <c r="G141" s="23" t="s">
        <v>288</v>
      </c>
      <c r="H141" s="13">
        <f t="shared" si="7"/>
        <v>-72838.259999999995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1818864.2999999998</v>
      </c>
      <c r="D144" s="98">
        <f>SUM(D130:D143)</f>
        <v>0</v>
      </c>
      <c r="E144" s="98">
        <f>SUM(E130:E143)</f>
        <v>1510427.16</v>
      </c>
      <c r="F144" s="98">
        <f>SUM(F130:F143)</f>
        <v>20716.54</v>
      </c>
      <c r="G144" s="98">
        <f>SUM(G130:G143)</f>
        <v>0</v>
      </c>
      <c r="H144" s="98">
        <f t="shared" si="7"/>
        <v>3350008</v>
      </c>
    </row>
    <row r="145" spans="1:9" ht="12.75" thickTop="1" thickBot="1" x14ac:dyDescent="0.25">
      <c r="A145" s="32" t="s">
        <v>244</v>
      </c>
      <c r="C145" s="68">
        <f>(C115+C128+C144)</f>
        <v>28533683.73</v>
      </c>
      <c r="D145" s="68">
        <f>(D115+D128+D144)</f>
        <v>885985.69</v>
      </c>
      <c r="E145" s="68">
        <f>(E115+E128+E144)</f>
        <v>3653230.2199999997</v>
      </c>
      <c r="F145" s="68">
        <f>(F115+F128+F144)</f>
        <v>20716.54</v>
      </c>
      <c r="G145" s="68">
        <f>(G115+G128+G144)</f>
        <v>0</v>
      </c>
      <c r="H145" s="68">
        <f t="shared" si="7"/>
        <v>33093616.18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15</v>
      </c>
      <c r="E151" s="110">
        <f>'DOE25'!I491</f>
        <v>0</v>
      </c>
      <c r="F151" s="110">
        <f>'DOE25'!J491</f>
        <v>15</v>
      </c>
      <c r="G151" s="23" t="s">
        <v>288</v>
      </c>
    </row>
    <row r="152" spans="1:9" x14ac:dyDescent="0.2">
      <c r="A152" s="21" t="s">
        <v>28</v>
      </c>
      <c r="B152" s="109" t="str">
        <f>'DOE25'!F492</f>
        <v>1/10</v>
      </c>
      <c r="C152" s="109" t="str">
        <f>'DOE25'!G492</f>
        <v>8/13</v>
      </c>
      <c r="D152" s="109">
        <f>'DOE25'!H492</f>
        <v>216</v>
      </c>
      <c r="E152" s="109">
        <f>'DOE25'!I492</f>
        <v>0</v>
      </c>
      <c r="F152" s="109">
        <f>'DOE25'!J492</f>
        <v>221</v>
      </c>
      <c r="G152" s="23" t="s">
        <v>288</v>
      </c>
    </row>
    <row r="153" spans="1:9" x14ac:dyDescent="0.2">
      <c r="A153" s="21" t="s">
        <v>29</v>
      </c>
      <c r="B153" s="109" t="str">
        <f>'DOE25'!F493</f>
        <v>1/30</v>
      </c>
      <c r="C153" s="109" t="str">
        <f>'DOE25'!G493</f>
        <v>8/28</v>
      </c>
      <c r="D153" s="109">
        <f>'DOE25'!H493</f>
        <v>831</v>
      </c>
      <c r="E153" s="109">
        <f>'DOE25'!I493</f>
        <v>0</v>
      </c>
      <c r="F153" s="109">
        <f>'DOE25'!J493</f>
        <v>236</v>
      </c>
      <c r="G153" s="23" t="s">
        <v>288</v>
      </c>
    </row>
    <row r="154" spans="1:9" x14ac:dyDescent="0.2">
      <c r="A154" s="21" t="s">
        <v>30</v>
      </c>
      <c r="B154" s="19">
        <f>'DOE25'!F494</f>
        <v>18953000</v>
      </c>
      <c r="C154" s="19">
        <f>'DOE25'!G494</f>
        <v>1181700</v>
      </c>
      <c r="D154" s="19">
        <f>'DOE25'!H494</f>
        <v>1453925</v>
      </c>
      <c r="E154" s="19">
        <f>'DOE25'!I494</f>
        <v>1640000</v>
      </c>
      <c r="F154" s="19">
        <f>'DOE25'!J494</f>
        <v>550500</v>
      </c>
      <c r="G154" s="23" t="s">
        <v>288</v>
      </c>
    </row>
    <row r="155" spans="1:9" x14ac:dyDescent="0.2">
      <c r="A155" s="21" t="s">
        <v>31</v>
      </c>
      <c r="B155" s="19">
        <f>'DOE25'!F495</f>
        <v>3.73</v>
      </c>
      <c r="C155" s="19">
        <f>'DOE25'!G495</f>
        <v>3.14</v>
      </c>
      <c r="D155" s="19">
        <f>'DOE25'!H495</f>
        <v>2.16</v>
      </c>
      <c r="E155" s="19">
        <f>'DOE25'!I495</f>
        <v>0</v>
      </c>
      <c r="F155" s="19">
        <f>'DOE25'!J495</f>
        <v>1.31</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Somersworth</v>
      </c>
    </row>
    <row r="3" spans="1:4" x14ac:dyDescent="0.2">
      <c r="B3" s="137" t="s">
        <v>1799</v>
      </c>
    </row>
    <row r="4" spans="1:4" x14ac:dyDescent="0.2">
      <c r="B4" t="s">
        <v>61</v>
      </c>
      <c r="C4" s="129">
        <f>IF('DOE25'!F666+'DOE25'!F671=0,0,ROUND('DOE25'!F673,0))</f>
        <v>20885</v>
      </c>
    </row>
    <row r="5" spans="1:4" x14ac:dyDescent="0.2">
      <c r="B5" t="s">
        <v>700</v>
      </c>
      <c r="C5" s="129">
        <f>IF('DOE25'!G666+'DOE25'!G671=0,0,ROUND('DOE25'!G673,0))</f>
        <v>17355</v>
      </c>
    </row>
    <row r="6" spans="1:4" x14ac:dyDescent="0.2">
      <c r="B6" t="s">
        <v>62</v>
      </c>
      <c r="C6" s="129">
        <f>IF('DOE25'!H666+'DOE25'!H671=0,0,ROUND('DOE25'!H673,0))</f>
        <v>21151</v>
      </c>
    </row>
    <row r="7" spans="1:4" x14ac:dyDescent="0.2">
      <c r="B7" t="s">
        <v>701</v>
      </c>
      <c r="C7" s="129">
        <f>IF('DOE25'!I666+'DOE25'!I671=0,0,ROUND('DOE25'!I673,0))</f>
        <v>20038</v>
      </c>
    </row>
    <row r="9" spans="1:4" x14ac:dyDescent="0.2">
      <c r="A9" s="136" t="s">
        <v>94</v>
      </c>
      <c r="B9" s="137" t="s">
        <v>1800</v>
      </c>
      <c r="C9" s="131" t="s">
        <v>720</v>
      </c>
      <c r="D9" s="131" t="s">
        <v>721</v>
      </c>
    </row>
    <row r="10" spans="1:4" x14ac:dyDescent="0.2">
      <c r="A10">
        <v>1100</v>
      </c>
      <c r="B10" t="s">
        <v>702</v>
      </c>
      <c r="C10" s="129">
        <f>ROUND('DOE25'!L198+'DOE25'!L216+'DOE25'!L234+'DOE25'!L277+'DOE25'!L296+'DOE25'!L315,0)</f>
        <v>9506669</v>
      </c>
      <c r="D10" s="132">
        <f>ROUND((C10/$C$28)*100,1)</f>
        <v>31.6</v>
      </c>
    </row>
    <row r="11" spans="1:4" x14ac:dyDescent="0.2">
      <c r="A11">
        <v>1200</v>
      </c>
      <c r="B11" t="s">
        <v>703</v>
      </c>
      <c r="C11" s="129">
        <f>ROUND('DOE25'!L199+'DOE25'!L217+'DOE25'!L235+'DOE25'!L278+'DOE25'!L297+'DOE25'!L316,0)</f>
        <v>6540379</v>
      </c>
      <c r="D11" s="132">
        <f>ROUND((C11/$C$28)*100,1)</f>
        <v>21.7</v>
      </c>
    </row>
    <row r="12" spans="1:4" x14ac:dyDescent="0.2">
      <c r="A12">
        <v>1300</v>
      </c>
      <c r="B12" t="s">
        <v>704</v>
      </c>
      <c r="C12" s="129">
        <f>ROUND('DOE25'!L200+'DOE25'!L218+'DOE25'!L236+'DOE25'!L279+'DOE25'!L298+'DOE25'!L317,0)</f>
        <v>938642</v>
      </c>
      <c r="D12" s="132">
        <f>ROUND((C12/$C$28)*100,1)</f>
        <v>3.1</v>
      </c>
    </row>
    <row r="13" spans="1:4" x14ac:dyDescent="0.2">
      <c r="A13">
        <v>1400</v>
      </c>
      <c r="B13" t="s">
        <v>705</v>
      </c>
      <c r="C13" s="129">
        <f>ROUND('DOE25'!L201+'DOE25'!L219+'DOE25'!L237+'DOE25'!L280+'DOE25'!L299+'DOE25'!L318,0)</f>
        <v>699077</v>
      </c>
      <c r="D13" s="132">
        <f>ROUND((C13/$C$28)*100,1)</f>
        <v>2.2999999999999998</v>
      </c>
    </row>
    <row r="14" spans="1:4" x14ac:dyDescent="0.2">
      <c r="D14" s="132"/>
    </row>
    <row r="15" spans="1:4" x14ac:dyDescent="0.2">
      <c r="A15">
        <v>2100</v>
      </c>
      <c r="B15" t="s">
        <v>706</v>
      </c>
      <c r="C15" s="129">
        <f>ROUND('DOE25'!L203+'DOE25'!L221+'DOE25'!L239+'DOE25'!L282+'DOE25'!L301+'DOE25'!L320,0)</f>
        <v>2337758</v>
      </c>
      <c r="D15" s="132">
        <f t="shared" ref="D15:D27" si="0">ROUND((C15/$C$28)*100,1)</f>
        <v>7.8</v>
      </c>
    </row>
    <row r="16" spans="1:4" x14ac:dyDescent="0.2">
      <c r="A16">
        <v>2200</v>
      </c>
      <c r="B16" t="s">
        <v>707</v>
      </c>
      <c r="C16" s="129">
        <f>ROUND('DOE25'!L204+'DOE25'!L222+'DOE25'!L240+'DOE25'!L283+'DOE25'!L302+'DOE25'!L321,0)</f>
        <v>645186</v>
      </c>
      <c r="D16" s="132">
        <f t="shared" si="0"/>
        <v>2.1</v>
      </c>
    </row>
    <row r="17" spans="1:4" x14ac:dyDescent="0.2">
      <c r="A17" s="133" t="s">
        <v>723</v>
      </c>
      <c r="B17" t="s">
        <v>738</v>
      </c>
      <c r="C17" s="129">
        <f>ROUND('DOE25'!L205+'DOE25'!L210+'DOE25'!L223+'DOE25'!L228+'DOE25'!L241+'DOE25'!L246+'DOE25'!L284+'DOE25'!L289+'DOE25'!L303+'DOE25'!L308+'DOE25'!L322+'DOE25'!L327,0)</f>
        <v>1679965</v>
      </c>
      <c r="D17" s="132">
        <f t="shared" si="0"/>
        <v>5.6</v>
      </c>
    </row>
    <row r="18" spans="1:4" x14ac:dyDescent="0.2">
      <c r="A18">
        <v>2400</v>
      </c>
      <c r="B18" t="s">
        <v>711</v>
      </c>
      <c r="C18" s="129">
        <f>ROUND('DOE25'!L206+'DOE25'!L224+'DOE25'!L242+'DOE25'!L285+'DOE25'!L304+'DOE25'!L323,0)</f>
        <v>1977958</v>
      </c>
      <c r="D18" s="132">
        <f t="shared" si="0"/>
        <v>6.6</v>
      </c>
    </row>
    <row r="19" spans="1:4" x14ac:dyDescent="0.2">
      <c r="A19">
        <v>2500</v>
      </c>
      <c r="B19" t="s">
        <v>708</v>
      </c>
      <c r="C19" s="129">
        <f>ROUND('DOE25'!L207+'DOE25'!L225+'DOE25'!L243+'DOE25'!L286+'DOE25'!L305+'DOE25'!L324,0)</f>
        <v>106370</v>
      </c>
      <c r="D19" s="132">
        <f t="shared" si="0"/>
        <v>0.4</v>
      </c>
    </row>
    <row r="20" spans="1:4" x14ac:dyDescent="0.2">
      <c r="A20">
        <v>2600</v>
      </c>
      <c r="B20" t="s">
        <v>709</v>
      </c>
      <c r="C20" s="129">
        <f>ROUND('DOE25'!L208+'DOE25'!L226+'DOE25'!L244+'DOE25'!L287+'DOE25'!L306+'DOE25'!L325,0)</f>
        <v>2884582</v>
      </c>
      <c r="D20" s="132">
        <f t="shared" si="0"/>
        <v>9.6</v>
      </c>
    </row>
    <row r="21" spans="1:4" x14ac:dyDescent="0.2">
      <c r="A21">
        <v>2700</v>
      </c>
      <c r="B21" t="s">
        <v>710</v>
      </c>
      <c r="C21" s="129">
        <f>ROUND('DOE25'!L209+'DOE25'!L227+'DOE25'!L245+'DOE25'!L288+'DOE25'!L307+'DOE25'!L326,0)</f>
        <v>1539687</v>
      </c>
      <c r="D21" s="132">
        <f t="shared" si="0"/>
        <v>5.0999999999999996</v>
      </c>
    </row>
    <row r="22" spans="1:4" x14ac:dyDescent="0.2">
      <c r="A22">
        <v>2900</v>
      </c>
      <c r="B22" t="s">
        <v>712</v>
      </c>
      <c r="C22" s="129">
        <v>0</v>
      </c>
      <c r="D22" s="132">
        <f t="shared" si="0"/>
        <v>0</v>
      </c>
    </row>
    <row r="23" spans="1:4" x14ac:dyDescent="0.2">
      <c r="A23">
        <v>1500</v>
      </c>
      <c r="B23" t="s">
        <v>714</v>
      </c>
      <c r="C23" s="129">
        <f>ROUND('DOE25'!L251+'DOE25'!L333,0)</f>
        <v>1350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692879</v>
      </c>
      <c r="D25" s="132">
        <f t="shared" si="0"/>
        <v>2.2999999999999998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536720.91</v>
      </c>
      <c r="D27" s="132">
        <f t="shared" si="0"/>
        <v>1.8</v>
      </c>
    </row>
    <row r="28" spans="1:4" x14ac:dyDescent="0.2">
      <c r="B28" s="136" t="s">
        <v>719</v>
      </c>
      <c r="C28" s="130">
        <f>SUM(C10:C27)</f>
        <v>30087222.91</v>
      </c>
      <c r="D28" s="134">
        <f>ROUND(SUM(D10:D27),0)</f>
        <v>100</v>
      </c>
    </row>
    <row r="29" spans="1:4" x14ac:dyDescent="0.2">
      <c r="A29">
        <v>4000</v>
      </c>
      <c r="B29" t="s">
        <v>724</v>
      </c>
      <c r="C29" s="129">
        <f>ROUND('DOE25'!L256+'DOE25'!L337+'DOE25'!L375+'DOE25'!L376+'DOE25'!L377+'DOE25'!L378+'DOE25'!L379+'DOE25'!L380+'DOE25'!L381,0)</f>
        <v>1531144</v>
      </c>
    </row>
    <row r="30" spans="1:4" x14ac:dyDescent="0.2">
      <c r="B30" s="136" t="s">
        <v>725</v>
      </c>
      <c r="C30" s="130">
        <f>SUM(C28:C29)</f>
        <v>31618366.91</v>
      </c>
    </row>
    <row r="31" spans="1:4" x14ac:dyDescent="0.2">
      <c r="B31" s="32"/>
      <c r="C31" s="130"/>
    </row>
    <row r="32" spans="1:4" x14ac:dyDescent="0.2">
      <c r="A32">
        <v>5100</v>
      </c>
      <c r="B32" s="32" t="s">
        <v>726</v>
      </c>
      <c r="C32" s="130">
        <f>ROUND('DOE25'!L261+'DOE25'!L342,0)</f>
        <v>1125985</v>
      </c>
    </row>
    <row r="34" spans="1:4" x14ac:dyDescent="0.2">
      <c r="A34" s="136" t="s">
        <v>94</v>
      </c>
      <c r="B34" s="137" t="s">
        <v>1801</v>
      </c>
      <c r="C34" s="131" t="s">
        <v>720</v>
      </c>
      <c r="D34" s="131" t="s">
        <v>721</v>
      </c>
    </row>
    <row r="35" spans="1:4" x14ac:dyDescent="0.2">
      <c r="A35">
        <v>1100</v>
      </c>
      <c r="B35" s="71" t="s">
        <v>727</v>
      </c>
      <c r="C35" s="129">
        <f>ROUND('DOE25'!F60+'DOE25'!G60+'DOE25'!H60+'DOE25'!I60+'DOE25'!J60,0)</f>
        <v>17115548</v>
      </c>
      <c r="D35" s="132">
        <f t="shared" ref="D35:D40" si="1">ROUND((C35/$C$41)*100,1)</f>
        <v>52.1</v>
      </c>
    </row>
    <row r="36" spans="1:4" x14ac:dyDescent="0.2">
      <c r="B36" s="71" t="s">
        <v>739</v>
      </c>
      <c r="C36" s="129">
        <f>SUM('DOE25'!F112:J112)-SUM('DOE25'!G97:G110)+('DOE25'!F175+'DOE25'!F176+'DOE25'!I175+'DOE25'!I176)-C35</f>
        <v>739814.46000000089</v>
      </c>
      <c r="D36" s="132">
        <f t="shared" si="1"/>
        <v>2.2999999999999998</v>
      </c>
    </row>
    <row r="37" spans="1:4" x14ac:dyDescent="0.2">
      <c r="A37" s="133" t="s">
        <v>834</v>
      </c>
      <c r="B37" s="71" t="s">
        <v>728</v>
      </c>
      <c r="C37" s="129">
        <f>ROUND('DOE25'!F117+'DOE25'!F118,0)</f>
        <v>9623148</v>
      </c>
      <c r="D37" s="132">
        <f t="shared" si="1"/>
        <v>29.3</v>
      </c>
    </row>
    <row r="38" spans="1:4" x14ac:dyDescent="0.2">
      <c r="A38" s="133" t="s">
        <v>734</v>
      </c>
      <c r="B38" s="71" t="s">
        <v>729</v>
      </c>
      <c r="C38" s="129">
        <f>ROUND(SUM('DOE25'!F140:J140)-SUM('DOE25'!F117:F119),0)</f>
        <v>1278828</v>
      </c>
      <c r="D38" s="132">
        <f t="shared" si="1"/>
        <v>3.9</v>
      </c>
    </row>
    <row r="39" spans="1:4" x14ac:dyDescent="0.2">
      <c r="A39">
        <v>4000</v>
      </c>
      <c r="B39" s="71" t="s">
        <v>730</v>
      </c>
      <c r="C39" s="129">
        <f>ROUND('DOE25'!F170+'DOE25'!G170+'DOE25'!H170+'DOE25'!I170,0)</f>
        <v>4114116</v>
      </c>
      <c r="D39" s="132">
        <f t="shared" si="1"/>
        <v>12.5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32871454.460000001</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W22" sqref="W22"/>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Somersworth</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19</v>
      </c>
      <c r="B4" s="150">
        <v>8</v>
      </c>
      <c r="C4" s="327" t="s">
        <v>1816</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62</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174</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f>IF('School Level Expenditures'!$B$2='School Tables'!L65,'School Tables'!S65,"")</f>
        <v>62</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f>IF('School Level Expenditures'!$B$2='School Tables'!W86,'School Tables'!AD86,"")</f>
        <v>83</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f>IF('School Level Expenditures'!$B$2=A135,'School Tables'!H135,"")</f>
        <v>132</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f>IF('School Level Expenditures'!$B$2=A177,'School Tables'!H177,"")</f>
        <v>174</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2023-08-23T15:11:02Z</cp:lastPrinted>
  <dcterms:created xsi:type="dcterms:W3CDTF">1997-12-04T19:04:30Z</dcterms:created>
  <dcterms:modified xsi:type="dcterms:W3CDTF">2023-12-29T14:24:26Z</dcterms:modified>
</cp:coreProperties>
</file>