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5940D9C-A9D7-4F5E-BD76-12D2D2C9435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2" l="1"/>
  <c r="B19" i="12"/>
  <c r="B10" i="12"/>
  <c r="B11" i="12"/>
  <c r="B38" i="12"/>
  <c r="B37" i="12"/>
  <c r="B39" i="12"/>
  <c r="D38" i="14"/>
  <c r="E38" i="14"/>
  <c r="E9" i="17"/>
  <c r="F469" i="1"/>
  <c r="F473" i="1"/>
  <c r="K237" i="1"/>
  <c r="H237" i="1"/>
  <c r="J110" i="1"/>
  <c r="H460" i="1"/>
  <c r="J470" i="1"/>
  <c r="H473" i="1"/>
  <c r="J595" i="1"/>
  <c r="J593" i="1"/>
  <c r="H544" i="1"/>
  <c r="G544" i="1"/>
  <c r="J473" i="1"/>
  <c r="G473" i="1"/>
  <c r="G469" i="1"/>
  <c r="H469" i="1"/>
  <c r="I469" i="1"/>
  <c r="G430" i="1"/>
  <c r="K430" i="1"/>
  <c r="H430" i="1"/>
  <c r="H361" i="1"/>
  <c r="H48" i="1"/>
  <c r="I404" i="1"/>
  <c r="F98" i="1"/>
  <c r="H440" i="1"/>
  <c r="G460" i="1"/>
  <c r="F50" i="1"/>
  <c r="Q43" i="14"/>
  <c r="P43" i="14"/>
  <c r="O43" i="14"/>
  <c r="N43" i="14"/>
  <c r="M43" i="14"/>
  <c r="L43" i="14"/>
  <c r="K43" i="14"/>
  <c r="Q33" i="14"/>
  <c r="P33" i="14"/>
  <c r="O33" i="14"/>
  <c r="N33" i="14"/>
  <c r="M33" i="14"/>
  <c r="L33" i="14"/>
  <c r="K33" i="14"/>
  <c r="Q21" i="14"/>
  <c r="P21" i="14"/>
  <c r="O21" i="14"/>
  <c r="N21" i="14"/>
  <c r="M21" i="14"/>
  <c r="L21" i="14"/>
  <c r="K21" i="14"/>
  <c r="C2" i="1"/>
  <c r="B2" i="1"/>
  <c r="P2" i="14" l="1"/>
  <c r="P3" i="14" s="1"/>
  <c r="O2" i="14"/>
  <c r="O3" i="14" s="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4" i="1"/>
  <c r="H636" i="1"/>
  <c r="H637" i="1"/>
  <c r="H639" i="1"/>
  <c r="G644" i="1"/>
  <c r="G645" i="1"/>
  <c r="G651" i="1"/>
  <c r="H653" i="1"/>
  <c r="G654" i="1"/>
  <c r="H654" i="1"/>
  <c r="H655" i="1"/>
  <c r="H656" i="1"/>
  <c r="A40" i="12" l="1"/>
  <c r="G62" i="2"/>
  <c r="G63" i="2" s="1"/>
  <c r="E13" i="13"/>
  <c r="C13" i="13" s="1"/>
  <c r="H72" i="2"/>
  <c r="H25" i="2"/>
  <c r="F409" i="1"/>
  <c r="H644" i="1" s="1"/>
  <c r="H135" i="2"/>
  <c r="H143" i="2"/>
  <c r="E111" i="2"/>
  <c r="G663" i="1"/>
  <c r="H30" i="2"/>
  <c r="H69" i="2"/>
  <c r="G662" i="1"/>
  <c r="F85" i="2"/>
  <c r="J652" i="1"/>
  <c r="H125" i="2"/>
  <c r="E124" i="2"/>
  <c r="E120" i="2"/>
  <c r="H112" i="2"/>
  <c r="C119" i="2"/>
  <c r="C13" i="10"/>
  <c r="C110" i="2"/>
  <c r="D29" i="13"/>
  <c r="C29" i="13" s="1"/>
  <c r="H11" i="2"/>
  <c r="G477" i="1"/>
  <c r="H624" i="1" s="1"/>
  <c r="J624" i="1" s="1"/>
  <c r="H96" i="2"/>
  <c r="H80" i="2"/>
  <c r="H77" i="2"/>
  <c r="H47" i="2"/>
  <c r="H98" i="2"/>
  <c r="H34" i="2"/>
  <c r="H477" i="1"/>
  <c r="H625" i="1" s="1"/>
  <c r="J625" i="1" s="1"/>
  <c r="H94" i="2"/>
  <c r="H29" i="2"/>
  <c r="H27" i="2"/>
  <c r="H24" i="2"/>
  <c r="H12" i="2"/>
  <c r="H8" i="2"/>
  <c r="J140" i="1"/>
  <c r="K2" i="14"/>
  <c r="K3" i="14" s="1"/>
  <c r="D18" i="13"/>
  <c r="C18" i="13" s="1"/>
  <c r="D15" i="13"/>
  <c r="C15" i="13" s="1"/>
  <c r="C121" i="2"/>
  <c r="C12" i="10"/>
  <c r="C120" i="2"/>
  <c r="D6" i="13"/>
  <c r="C6" i="13" s="1"/>
  <c r="L2" i="14"/>
  <c r="L3" i="14" s="1"/>
  <c r="H15" i="2"/>
  <c r="H89" i="2"/>
  <c r="I409" i="1"/>
  <c r="H101" i="2"/>
  <c r="H99" i="2"/>
  <c r="H79" i="2"/>
  <c r="H76" i="2"/>
  <c r="H58" i="2"/>
  <c r="H132" i="2"/>
  <c r="H36" i="2"/>
  <c r="H44" i="2"/>
  <c r="H48" i="2"/>
  <c r="G646" i="1"/>
  <c r="H100" i="2"/>
  <c r="H73" i="2"/>
  <c r="H59" i="2"/>
  <c r="D144" i="2"/>
  <c r="H97" i="2"/>
  <c r="H93" i="2"/>
  <c r="H87" i="2"/>
  <c r="H61" i="2"/>
  <c r="H26" i="2"/>
  <c r="E121" i="2"/>
  <c r="N2" i="14"/>
  <c r="N3" i="14" s="1"/>
  <c r="H102" i="2"/>
  <c r="M2" i="14"/>
  <c r="M3" i="14" s="1"/>
  <c r="G409" i="1"/>
  <c r="H646" i="1" s="1"/>
  <c r="H137" i="2"/>
  <c r="H35" i="2"/>
  <c r="H28" i="2"/>
  <c r="H9" i="2"/>
  <c r="H23" i="2"/>
  <c r="H22" i="2"/>
  <c r="H17" i="2"/>
  <c r="H13"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J619" i="1"/>
  <c r="G42" i="2"/>
  <c r="G50" i="2" s="1"/>
  <c r="J51" i="1"/>
  <c r="G16" i="2"/>
  <c r="G18" i="2" s="1"/>
  <c r="J19" i="1"/>
  <c r="G622" i="1" s="1"/>
  <c r="F546" i="1"/>
  <c r="H435" i="1"/>
  <c r="D103" i="2"/>
  <c r="I140" i="1"/>
  <c r="A22" i="12"/>
  <c r="J653" i="1"/>
  <c r="G572" i="1"/>
  <c r="I435" i="1"/>
  <c r="G435" i="1"/>
  <c r="I664" i="1"/>
  <c r="G647" i="1" l="1"/>
  <c r="J469" i="1"/>
  <c r="B33" i="16"/>
  <c r="H124" i="2"/>
  <c r="H120" i="2"/>
  <c r="H118" i="2"/>
  <c r="F194" i="1"/>
  <c r="J646" i="1"/>
  <c r="G24" i="14"/>
  <c r="H24" i="14" s="1"/>
  <c r="I24" i="14" s="1"/>
  <c r="I663" i="1"/>
  <c r="H119" i="2"/>
  <c r="I662" i="1"/>
  <c r="H62" i="2"/>
  <c r="H122" i="2"/>
  <c r="H123" i="2"/>
  <c r="E128" i="2"/>
  <c r="H21" i="2"/>
  <c r="H85" i="2"/>
  <c r="H121" i="2"/>
  <c r="H91" i="2"/>
  <c r="H134" i="2"/>
  <c r="H42" i="2"/>
  <c r="D128" i="2"/>
  <c r="D145" i="2" s="1"/>
  <c r="H127" i="2"/>
  <c r="H114" i="2"/>
  <c r="C81" i="2"/>
  <c r="H81" i="2" s="1"/>
  <c r="H78" i="2"/>
  <c r="H16" i="2"/>
  <c r="H57" i="2"/>
  <c r="H103" i="2"/>
  <c r="E51" i="2"/>
  <c r="H50" i="2"/>
  <c r="D51" i="2"/>
  <c r="H31" i="2"/>
  <c r="H18" i="2"/>
  <c r="F661" i="1"/>
  <c r="E115" i="2"/>
  <c r="H109" i="2"/>
  <c r="F144" i="2"/>
  <c r="H130" i="2"/>
  <c r="H661" i="1"/>
  <c r="H665" i="1" s="1"/>
  <c r="H194" i="1"/>
  <c r="G630" i="1" s="1"/>
  <c r="J630" i="1" s="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J471" i="1" l="1"/>
  <c r="J477" i="1" s="1"/>
  <c r="H627" i="1" s="1"/>
  <c r="J627" i="1" s="1"/>
  <c r="H632" i="1"/>
  <c r="J632" i="1" s="1"/>
  <c r="H638" i="1"/>
  <c r="G633" i="1"/>
  <c r="M24" i="14"/>
  <c r="H51" i="2"/>
  <c r="H128" i="2"/>
  <c r="C104" i="2"/>
  <c r="H104" i="2" s="1"/>
  <c r="H63"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F477" i="1" s="1"/>
  <c r="H623" i="1" s="1"/>
  <c r="J623" i="1" s="1"/>
  <c r="H633" i="1"/>
  <c r="J633" i="1" s="1"/>
  <c r="H144" i="2"/>
  <c r="H145" i="2"/>
  <c r="I670" i="1"/>
  <c r="I673" i="1" s="1"/>
  <c r="C7" i="10" s="1"/>
  <c r="F673" i="1"/>
  <c r="C4" i="10" s="1"/>
  <c r="I668" i="1"/>
  <c r="D28" i="10"/>
  <c r="D37" i="10"/>
  <c r="D36" i="10"/>
  <c r="D35" i="10"/>
  <c r="D40" i="10"/>
  <c r="D39" i="10"/>
  <c r="H657" i="1" l="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<sst xmlns="http://schemas.openxmlformats.org/spreadsheetml/2006/main" count="6561" uniqueCount="1814">
  <si>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</si>
  <si>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</si>
  <si>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</si>
  <si>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</si>
  <si>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</si>
  <si>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</si>
  <si>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</si>
  <si>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</si>
  <si>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</si>
  <si>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</si>
  <si>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</si>
  <si>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</si>
  <si>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</si>
  <si>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</si>
  <si>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</si>
  <si>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</si>
  <si>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</si>
  <si>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</si>
  <si>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</si>
  <si>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</si>
  <si>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</si>
  <si>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</si>
  <si>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</si>
  <si>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</si>
  <si>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</si>
  <si>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</si>
  <si>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</si>
  <si>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</si>
  <si>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</si>
  <si>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</si>
  <si>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</si>
  <si>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</si>
  <si>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</si>
  <si>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</si>
  <si>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</si>
  <si>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</si>
  <si>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</si>
  <si>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</si>
  <si>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</si>
  <si>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</si>
  <si>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</si>
  <si>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</si>
  <si>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</si>
  <si>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</si>
  <si>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</si>
  <si>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</si>
  <si>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</si>
  <si>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</si>
  <si>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</si>
  <si>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</si>
  <si>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</si>
  <si>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</si>
  <si>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</si>
  <si>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</si>
  <si>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</si>
  <si>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</si>
  <si>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</si>
  <si>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</si>
  <si>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</si>
  <si>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</si>
  <si>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</si>
  <si>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</si>
  <si>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</si>
  <si>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</si>
  <si>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</si>
  <si>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</si>
  <si>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</si>
  <si>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</si>
  <si>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</si>
  <si>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</si>
  <si>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</si>
  <si>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</si>
  <si>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</si>
  <si>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</si>
  <si>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</si>
  <si>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</si>
  <si>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</si>
  <si>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</si>
  <si>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</si>
  <si>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</si>
  <si>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</si>
  <si>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</si>
  <si>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</si>
  <si>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</si>
  <si>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</si>
  <si>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</si>
  <si>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</si>
  <si>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</si>
  <si>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</si>
  <si>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</si>
  <si>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</si>
  <si>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</si>
  <si>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</si>
  <si>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</si>
  <si>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</si>
  <si>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</si>
  <si>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</si>
  <si>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</si>
  <si>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</si>
  <si>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</si>
  <si>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</si>
  <si>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</si>
  <si>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</si>
  <si>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</si>
  <si>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</si>
  <si>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</si>
  <si>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</si>
  <si>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</si>
  <si>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</si>
  <si>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</si>
  <si>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</si>
  <si>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</si>
  <si>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</si>
  <si>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</si>
  <si>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</si>
  <si>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</si>
  <si>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</si>
  <si>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</si>
  <si>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</si>
  <si>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</si>
  <si>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</si>
  <si>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</si>
  <si>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</si>
  <si>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</si>
  <si>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</si>
  <si>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</si>
  <si>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</si>
  <si>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</si>
  <si>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</si>
  <si>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</si>
  <si>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</si>
  <si>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</si>
  <si>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</si>
  <si>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</si>
  <si>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</si>
  <si>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</si>
  <si>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</si>
  <si>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</si>
  <si>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</si>
  <si>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</si>
  <si>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</si>
  <si>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</si>
  <si>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</si>
  <si>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</si>
  <si>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</si>
  <si>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</si>
  <si>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</si>
  <si>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</si>
  <si>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</si>
  <si>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</si>
  <si>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</si>
  <si>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</si>
  <si>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</si>
  <si>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</si>
  <si>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</si>
  <si>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</si>
  <si>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</si>
  <si>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</si>
  <si>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</si>
  <si>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</si>
  <si>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</si>
  <si>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</si>
  <si>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</si>
  <si>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</si>
  <si>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</si>
  <si>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</si>
  <si>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</si>
  <si>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</si>
  <si>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</si>
  <si>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</si>
  <si>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</si>
  <si>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</si>
  <si>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</si>
  <si>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</si>
  <si>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</si>
  <si>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</si>
  <si>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</si>
  <si>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</si>
  <si>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</si>
  <si>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</si>
  <si>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</si>
  <si>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</si>
  <si>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</si>
  <si>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</si>
  <si>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</si>
  <si>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</si>
  <si>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</si>
  <si>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</si>
  <si>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</si>
  <si>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</si>
  <si>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</si>
  <si>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</si>
  <si>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</si>
  <si>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</si>
  <si>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</si>
  <si>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</si>
  <si>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</si>
  <si>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</si>
  <si>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</si>
  <si>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</si>
  <si>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</si>
  <si>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</si>
  <si>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</si>
  <si>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</si>
  <si>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</si>
  <si>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</si>
  <si>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</si>
  <si>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</si>
  <si>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</si>
  <si>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</si>
  <si>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</si>
  <si>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</si>
  <si>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</si>
  <si>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</si>
  <si>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</si>
  <si>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</si>
  <si>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</si>
  <si>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</si>
  <si>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</si>
  <si>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</si>
  <si>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</si>
  <si>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</si>
  <si>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</si>
  <si>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</si>
  <si>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</si>
  <si>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</si>
  <si>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</si>
  <si>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</si>
  <si>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</si>
  <si>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</si>
  <si>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</si>
  <si>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</si>
  <si>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</si>
  <si>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</si>
  <si>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</si>
  <si>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</si>
  <si>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</si>
  <si>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</si>
  <si>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</si>
  <si>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</si>
  <si>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</si>
  <si>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</si>
  <si>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</si>
  <si>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</si>
  <si>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</si>
  <si>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</si>
  <si>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</si>
  <si>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</si>
  <si>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</si>
  <si>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</si>
  <si>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</si>
  <si>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</si>
  <si>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</si>
  <si>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</si>
  <si>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</si>
  <si>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</si>
  <si>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</si>
  <si>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</si>
  <si>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</si>
  <si>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</si>
  <si>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</si>
  <si>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</si>
  <si>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</si>
  <si>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</si>
  <si>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</si>
  <si>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</si>
  <si>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</si>
  <si>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</si>
  <si>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</si>
  <si>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</si>
  <si>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</si>
  <si>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</si>
  <si>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</si>
  <si>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</si>
  <si>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</si>
  <si>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</si>
  <si>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</si>
  <si>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</si>
  <si>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</si>
  <si>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</si>
  <si>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</si>
  <si>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</si>
  <si>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</si>
  <si>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</si>
  <si>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</si>
  <si>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</si>
  <si>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</si>
  <si>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</si>
  <si>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</si>
  <si>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</si>
  <si>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</si>
  <si>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</si>
  <si>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</si>
  <si>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</si>
  <si>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</si>
  <si>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</si>
  <si>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</si>
  <si>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</si>
  <si>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</si>
  <si>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</si>
  <si>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</si>
  <si>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</si>
  <si>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</si>
  <si>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</si>
  <si>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</si>
  <si>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</si>
  <si>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</si>
  <si>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</si>
  <si>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</si>
  <si>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</si>
  <si>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</si>
  <si>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</si>
  <si>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</si>
  <si>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</si>
  <si>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</si>
  <si>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</si>
  <si>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</si>
  <si>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</si>
  <si>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</si>
  <si>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</si>
  <si>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</si>
  <si>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</si>
  <si>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</si>
  <si>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</si>
  <si>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</si>
  <si>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</si>
  <si>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</si>
  <si>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</si>
  <si>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</si>
  <si>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</si>
  <si>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</si>
  <si>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</si>
  <si>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</si>
  <si>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</si>
  <si>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</si>
  <si>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</si>
  <si>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</si>
  <si>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</si>
  <si>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</si>
  <si>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</si>
  <si>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</si>
  <si>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</si>
  <si>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</si>
  <si>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</si>
  <si>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</si>
  <si>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</si>
  <si>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</si>
  <si>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</si>
  <si>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</si>
  <si>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</si>
  <si>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</si>
  <si>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</si>
  <si>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</si>
  <si>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</si>
  <si>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</si>
  <si>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</si>
  <si>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</si>
  <si>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</si>
  <si>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</si>
  <si>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</si>
  <si>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</si>
  <si>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</si>
  <si>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</si>
  <si>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</si>
  <si>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</si>
  <si>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</si>
  <si>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</si>
  <si>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</si>
  <si>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</si>
  <si>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</si>
  <si>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</si>
  <si>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</si>
  <si>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</si>
  <si>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</si>
  <si>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</si>
  <si>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</si>
  <si>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</si>
  <si>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</si>
  <si>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</si>
  <si>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</si>
  <si>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</si>
  <si>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</si>
  <si>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</si>
  <si>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</si>
  <si>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</si>
  <si>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</si>
  <si>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</si>
  <si>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</si>
  <si>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</si>
  <si>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</si>
  <si>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</si>
  <si>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</si>
  <si>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</si>
  <si>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</si>
  <si>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</si>
  <si>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</si>
  <si>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</si>
  <si>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</si>
  <si>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</si>
  <si>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</si>
  <si>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</si>
  <si>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</si>
  <si>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</si>
  <si>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</si>
  <si>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</si>
  <si>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</si>
  <si>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</si>
  <si>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</si>
  <si>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</si>
  <si>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</si>
  <si>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</si>
  <si>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</si>
  <si>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</si>
  <si>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</si>
  <si>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</si>
  <si>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</si>
  <si>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</si>
  <si>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</si>
  <si>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</si>
  <si>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</si>
  <si>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</si>
  <si>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</si>
  <si>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</si>
  <si>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</si>
  <si>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</si>
  <si>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</si>
  <si>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</si>
  <si>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</si>
  <si>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</si>
  <si>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</si>
  <si>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</si>
  <si>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</si>
  <si>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</si>
  <si>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</si>
  <si>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</si>
  <si>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</si>
  <si>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</si>
  <si>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</si>
  <si>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</si>
  <si>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</si>
  <si>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</si>
  <si>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</si>
  <si>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</si>
  <si>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</si>
  <si>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</si>
  <si>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</si>
  <si>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</si>
  <si>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</si>
  <si>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</si>
  <si>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</si>
  <si>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</si>
  <si>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</si>
  <si>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</si>
  <si>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</si>
  <si>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</si>
  <si>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</si>
  <si>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</si>
  <si>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</si>
  <si>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</si>
  <si>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</si>
  <si>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</si>
  <si>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</si>
  <si>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</si>
  <si>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</si>
  <si>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</si>
  <si>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</si>
  <si>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</si>
  <si>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</si>
  <si>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</si>
  <si>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</si>
  <si>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</si>
  <si>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</si>
  <si>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</si>
  <si>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</si>
  <si>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</si>
  <si>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</si>
  <si>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</si>
  <si>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</si>
  <si>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</si>
  <si>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</si>
  <si>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</si>
  <si>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</si>
  <si>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</si>
  <si>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</si>
  <si>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</si>
  <si>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</si>
  <si>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</si>
  <si>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</si>
  <si>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</si>
  <si>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</si>
  <si>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</si>
  <si>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</si>
  <si>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</si>
  <si>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</si>
  <si>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</si>
  <si>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</si>
  <si>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</si>
  <si>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</si>
  <si>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</si>
  <si>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</si>
  <si>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</si>
  <si>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</si>
  <si>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</si>
  <si>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</si>
  <si>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</si>
  <si>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</si>
  <si>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</si>
  <si>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</si>
  <si>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</si>
  <si>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</si>
  <si>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</si>
  <si>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</si>
  <si>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</si>
  <si>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</si>
  <si>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</si>
  <si>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</si>
  <si>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</si>
  <si>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</si>
  <si>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</si>
  <si>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</si>
  <si>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</si>
  <si>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</si>
  <si>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</si>
  <si>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</si>
  <si>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</si>
  <si>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</si>
  <si>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</si>
  <si>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</si>
  <si>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</si>
  <si>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</si>
  <si>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</si>
  <si>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</si>
  <si>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</si>
  <si>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</si>
  <si>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</si>
  <si>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</si>
  <si>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</si>
  <si>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</si>
  <si>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</si>
  <si>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</si>
  <si>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</si>
  <si>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</si>
  <si>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</si>
  <si>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</si>
  <si>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</si>
  <si>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</si>
  <si>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</si>
  <si>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</si>
  <si>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</si>
  <si>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</si>
  <si>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</si>
  <si>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</si>
  <si>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</si>
  <si>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</si>
  <si>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</si>
  <si>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</si>
  <si>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</si>
  <si>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</si>
  <si>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</si>
  <si>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</si>
  <si>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</si>
  <si>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</si>
  <si>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</si>
  <si>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</si>
  <si>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</si>
  <si>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</si>
  <si>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</si>
  <si>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</si>
  <si>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</si>
  <si>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</si>
  <si>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</si>
  <si>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</si>
  <si>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</si>
  <si>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</si>
  <si>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</si>
  <si>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</si>
  <si>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</si>
  <si>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</si>
  <si>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</si>
  <si>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</si>
  <si>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</si>
  <si>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</si>
  <si>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</si>
  <si>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</si>
  <si>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</si>
  <si>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</si>
  <si>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</si>
  <si>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</si>
  <si>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</si>
  <si>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</si>
  <si>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</si>
  <si>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</si>
  <si>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</si>
  <si>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</si>
  <si>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</si>
  <si>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</si>
  <si>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</si>
  <si>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</si>
  <si>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</si>
  <si>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</si>
  <si>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</si>
  <si>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</si>
  <si>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</si>
  <si>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</si>
  <si>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</si>
  <si>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</si>
  <si>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</si>
  <si>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</si>
  <si>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</si>
  <si>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</si>
  <si>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</si>
  <si>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</si>
  <si>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</si>
  <si>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</si>
  <si>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</si>
  <si>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</si>
  <si>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</si>
  <si>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</si>
  <si>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</si>
  <si>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</si>
  <si>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</si>
  <si>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</si>
  <si>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</si>
  <si>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</si>
  <si>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</si>
  <si>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</si>
  <si>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</si>
  <si>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</si>
  <si>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</si>
  <si>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</si>
  <si>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</si>
  <si>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</si>
  <si>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</si>
  <si>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</si>
  <si>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</si>
  <si>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</si>
  <si>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</si>
  <si>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</si>
  <si>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</si>
  <si>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</si>
  <si>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</si>
  <si>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</si>
  <si>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</si>
  <si>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</si>
  <si>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</si>
  <si>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</si>
  <si>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</si>
  <si>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</si>
  <si>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</si>
  <si>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</si>
  <si>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</si>
  <si>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</si>
  <si>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</si>
  <si>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</si>
  <si>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</si>
  <si>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</si>
  <si>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</si>
  <si>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</si>
  <si>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</si>
  <si>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</si>
  <si>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</si>
  <si>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</si>
  <si>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</si>
  <si>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</si>
  <si>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</si>
  <si>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</si>
  <si>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</si>
  <si>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</si>
  <si>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</si>
  <si>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</si>
  <si>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</si>
  <si>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</si>
  <si>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</si>
  <si>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</si>
  <si>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</si>
  <si>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</si>
  <si>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</si>
  <si>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</si>
  <si>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</si>
  <si>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</si>
  <si>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</si>
  <si>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</si>
  <si>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</si>
  <si>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</si>
  <si>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</si>
  <si>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</si>
  <si>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</si>
  <si>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</si>
  <si>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</si>
  <si>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</si>
  <si>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</si>
  <si>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</si>
  <si>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</si>
  <si>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</si>
  <si>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</si>
  <si>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</si>
  <si>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</si>
  <si>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</si>
  <si>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</si>
  <si>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</si>
  <si>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</si>
  <si>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</si>
  <si>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</si>
  <si>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</si>
  <si>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</si>
  <si>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</si>
  <si>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</si>
  <si>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</si>
  <si>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</si>
  <si>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</si>
  <si>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</si>
  <si>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</si>
  <si>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</si>
  <si>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</si>
  <si>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</si>
  <si>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</si>
  <si>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</si>
  <si>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</si>
  <si>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</si>
  <si>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</si>
  <si>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</si>
  <si>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</si>
  <si>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</si>
  <si>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</si>
  <si>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</si>
  <si>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</si>
  <si>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</si>
  <si>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</si>
  <si>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</si>
  <si>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</si>
  <si>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</si>
  <si>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</si>
  <si>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</si>
  <si>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</si>
  <si>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</si>
  <si>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</si>
  <si>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</si>
  <si>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</si>
  <si>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</si>
  <si>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</si>
  <si>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</si>
  <si>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</si>
  <si>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</si>
  <si>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</si>
  <si>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</si>
  <si>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</si>
  <si>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</si>
  <si>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</si>
  <si>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</si>
  <si>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</si>
  <si>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</si>
  <si>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</si>
  <si>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</si>
  <si>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</si>
  <si>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</si>
  <si>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</si>
  <si>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</si>
  <si>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</si>
  <si>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</si>
  <si>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</si>
  <si>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</si>
  <si>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</si>
  <si>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</si>
  <si>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</si>
  <si>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</si>
  <si>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</si>
  <si>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</si>
  <si>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</si>
  <si>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</si>
  <si>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</si>
  <si>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</si>
  <si>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</si>
  <si>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</si>
  <si>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</si>
  <si>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</si>
  <si>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</si>
  <si>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</si>
  <si>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</si>
  <si>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</si>
  <si>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</si>
  <si>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</si>
  <si>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</si>
  <si>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</si>
  <si>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</si>
  <si>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</si>
  <si>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</si>
  <si>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</si>
  <si>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</si>
  <si>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</si>
  <si>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</si>
  <si>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</si>
  <si>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</si>
  <si>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</si>
  <si>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</si>
  <si>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</si>
  <si>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</si>
  <si>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</si>
  <si>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</si>
  <si>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</si>
  <si>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</si>
  <si>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</si>
  <si>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</si>
  <si>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</si>
  <si>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</si>
  <si>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</si>
  <si>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</si>
  <si>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</si>
  <si>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</si>
  <si>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</si>
  <si>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</si>
  <si>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</si>
  <si>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</si>
  <si>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</si>
  <si>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</si>
  <si>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</si>
  <si>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</si>
  <si>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</si>
  <si>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</si>
  <si>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</si>
  <si>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</si>
  <si>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</si>
  <si>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</si>
  <si>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</si>
  <si>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</si>
  <si>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</si>
  <si>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</si>
  <si>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</si>
  <si>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</si>
  <si>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</si>
  <si>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</si>
  <si>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</si>
  <si>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</si>
  <si>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</si>
  <si>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</si>
  <si>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</si>
  <si>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</si>
  <si>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</si>
  <si>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</si>
  <si>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</si>
  <si>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</si>
  <si>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</si>
  <si>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</si>
  <si>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</si>
  <si>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</si>
  <si>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</si>
  <si>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</si>
  <si>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</si>
  <si>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</si>
  <si>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</si>
  <si>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</si>
  <si>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</si>
  <si>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</si>
  <si>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</si>
  <si>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</si>
  <si>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</si>
  <si>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</si>
  <si>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</si>
  <si>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</si>
  <si>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</si>
  <si>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</si>
  <si>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</si>
  <si>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</si>
  <si>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</si>
  <si>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</si>
  <si>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</si>
  <si>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</si>
  <si>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</si>
  <si>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</si>
  <si>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</si>
  <si>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</si>
  <si>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</si>
  <si>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</si>
  <si>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</si>
  <si>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</si>
  <si>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</si>
  <si>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</si>
  <si>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</si>
  <si>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</si>
  <si>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</si>
  <si>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</si>
  <si>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</si>
  <si>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</si>
  <si>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</si>
  <si>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</si>
  <si>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</si>
  <si>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</si>
  <si>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</si>
  <si>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</si>
  <si>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</si>
  <si>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</si>
  <si>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</si>
  <si>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</si>
  <si>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</si>
  <si>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</si>
  <si>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</si>
  <si>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</si>
  <si>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</si>
  <si>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</si>
  <si>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</si>
  <si>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</si>
  <si>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</si>
  <si>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</si>
  <si>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</si>
  <si>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</si>
  <si>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</si>
  <si>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</si>
  <si>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</si>
  <si>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</si>
  <si>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</si>
  <si>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</si>
  <si>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</si>
  <si>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</si>
  <si>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</si>
  <si>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</si>
  <si>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</si>
  <si>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</si>
  <si>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</si>
  <si>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</si>
  <si>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</si>
  <si>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</si>
  <si>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</si>
  <si>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</si>
  <si>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</si>
  <si>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</si>
  <si>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</si>
  <si>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</si>
  <si>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</si>
  <si>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</si>
  <si>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</si>
  <si>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</si>
  <si>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</si>
  <si>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</si>
  <si>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</si>
  <si>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</si>
  <si>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</si>
  <si>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</si>
  <si>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</si>
  <si>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</si>
  <si>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</si>
  <si>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</si>
  <si>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</si>
  <si>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</si>
  <si>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</si>
  <si>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</si>
  <si>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</si>
  <si>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</si>
  <si>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</si>
  <si>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</si>
  <si>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</si>
  <si>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</si>
  <si>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</si>
  <si>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</si>
  <si>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</si>
  <si>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</si>
  <si>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</si>
  <si>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</si>
  <si>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</si>
  <si>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</si>
  <si>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</si>
  <si>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</si>
  <si>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</si>
  <si>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</si>
  <si>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</si>
  <si>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</si>
  <si>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</si>
  <si>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</si>
  <si>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</si>
  <si>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</si>
  <si>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</si>
  <si>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</si>
  <si>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</si>
  <si>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</si>
  <si>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</si>
  <si>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</si>
  <si>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</si>
  <si>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</si>
  <si>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</si>
  <si>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</si>
  <si>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</si>
  <si>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</si>
  <si>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</si>
  <si>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</si>
  <si>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</si>
  <si>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</si>
  <si>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</si>
  <si>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</si>
  <si>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</si>
  <si>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</si>
  <si>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</si>
  <si>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</si>
  <si>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</si>
  <si>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</si>
  <si>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</si>
  <si>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</si>
  <si>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</si>
  <si>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</si>
  <si>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</si>
  <si>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</si>
  <si>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</si>
  <si>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</si>
  <si>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</si>
  <si>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</si>
  <si>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</si>
  <si>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</si>
  <si>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</si>
  <si>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</si>
  <si>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</si>
  <si>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</si>
  <si>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</si>
  <si>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</si>
  <si>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</si>
  <si>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</si>
  <si>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</si>
  <si>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</si>
  <si>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</si>
  <si>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</si>
  <si>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</si>
  <si>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</si>
  <si>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</si>
  <si>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</si>
  <si>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</si>
  <si>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</si>
  <si>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</si>
  <si>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</si>
  <si>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</si>
  <si>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</si>
  <si>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</si>
  <si>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</si>
  <si>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</si>
  <si>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</si>
  <si>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</si>
  <si>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</si>
  <si>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</si>
  <si>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</si>
  <si>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</si>
  <si>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</si>
  <si>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</si>
  <si>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</si>
  <si>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</si>
  <si>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</si>
  <si>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</si>
  <si>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</si>
  <si>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</si>
  <si>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</si>
  <si>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</si>
  <si>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</si>
  <si>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</si>
  <si>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</si>
  <si>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</si>
  <si>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</si>
  <si>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</si>
  <si>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</si>
  <si>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</si>
  <si>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</si>
  <si>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</si>
  <si>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</si>
  <si>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</si>
  <si>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</si>
  <si>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</si>
  <si>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</si>
  <si>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</si>
  <si>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</si>
  <si>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</si>
  <si>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</si>
  <si>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</si>
  <si>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</si>
  <si>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</si>
  <si>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</si>
  <si>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</si>
  <si>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</si>
  <si>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</si>
  <si>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</si>
  <si>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</si>
  <si>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</si>
  <si>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</si>
  <si>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</si>
  <si>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</si>
  <si>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</si>
  <si>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</si>
  <si>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</si>
  <si>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</si>
  <si>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</si>
  <si>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</si>
  <si>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</si>
  <si>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</si>
  <si>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</si>
  <si>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</si>
  <si>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</si>
  <si>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</si>
  <si>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</si>
  <si>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</si>
  <si>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</si>
  <si>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</si>
  <si>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</si>
  <si>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</si>
  <si>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</si>
  <si>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</si>
  <si>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</si>
  <si>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</si>
  <si>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</si>
  <si>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</si>
  <si>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</si>
  <si>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</si>
  <si>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</si>
  <si>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</si>
  <si>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</si>
  <si>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</si>
  <si>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</si>
  <si>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</si>
  <si>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</si>
  <si>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</si>
  <si>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</si>
  <si>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</si>
  <si>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</si>
  <si>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</si>
  <si>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</si>
  <si>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</si>
  <si>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</si>
  <si>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</si>
  <si>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</si>
  <si>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</si>
  <si>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</si>
  <si>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</si>
  <si>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</si>
  <si>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</si>
  <si>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</si>
  <si>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</si>
  <si>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</si>
  <si>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</si>
  <si>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</si>
  <si>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</si>
  <si>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</si>
  <si>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</si>
  <si>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</si>
  <si>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</si>
  <si>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</si>
  <si>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</si>
  <si>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</si>
  <si>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</si>
  <si>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</si>
  <si>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</si>
  <si>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</si>
  <si>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</si>
  <si>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</si>
  <si>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</si>
  <si>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</si>
  <si>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</si>
  <si>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</si>
  <si>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</si>
  <si>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</si>
  <si>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</si>
  <si>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</si>
  <si>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</si>
  <si>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</si>
  <si>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</si>
  <si>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</si>
  <si>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</si>
  <si>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</si>
  <si>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</si>
  <si>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</si>
  <si>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</si>
  <si>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</si>
  <si>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</si>
  <si>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</si>
  <si>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</si>
  <si>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</si>
  <si>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</si>
  <si>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</si>
  <si>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</si>
  <si>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</si>
  <si>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</si>
  <si>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</si>
  <si>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</si>
  <si>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</si>
  <si>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</si>
  <si>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</si>
  <si>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</si>
  <si>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</si>
  <si>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</si>
  <si>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</si>
  <si>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</si>
  <si>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</si>
  <si>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</si>
  <si>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</si>
  <si>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</si>
  <si>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</si>
  <si>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</si>
  <si>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</si>
  <si>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</si>
  <si>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</si>
  <si>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</si>
  <si>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</si>
  <si>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</si>
  <si>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</si>
  <si>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</si>
  <si>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</si>
  <si>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</si>
  <si>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</si>
  <si>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</si>
  <si>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</si>
  <si>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</si>
  <si>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</si>
  <si>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</si>
  <si>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</si>
  <si>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</si>
  <si>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</si>
  <si>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</si>
  <si>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</si>
  <si>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</si>
  <si>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</si>
  <si>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</si>
  <si>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</si>
  <si>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</si>
  <si>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</si>
  <si>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</si>
  <si>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</si>
  <si>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</si>
  <si>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</si>
  <si>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</si>
  <si>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</si>
  <si>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</si>
  <si>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</si>
  <si>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</si>
  <si>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</si>
  <si>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</si>
  <si>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</si>
  <si>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</si>
  <si>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</si>
  <si>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</si>
  <si>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</si>
  <si>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</si>
  <si>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</si>
  <si>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</si>
  <si>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</si>
  <si>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</si>
  <si>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</si>
  <si>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</si>
  <si>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</si>
  <si>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</si>
  <si>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</si>
  <si>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</si>
  <si>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</si>
  <si>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</si>
  <si>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</si>
  <si>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</si>
  <si>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</si>
  <si>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</si>
  <si>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</si>
  <si>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</si>
  <si>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</si>
  <si>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</si>
  <si>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</si>
  <si>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</si>
  <si>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</si>
  <si>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</si>
  <si>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</si>
  <si>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</si>
  <si>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</si>
  <si>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</si>
  <si>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</si>
  <si>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</si>
  <si>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</si>
  <si>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</si>
  <si>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</si>
  <si>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</si>
  <si>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</si>
  <si>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</si>
  <si>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</si>
  <si>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</si>
  <si>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</si>
  <si>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</si>
  <si>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</si>
  <si>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</si>
  <si>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</si>
  <si>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</si>
  <si>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</si>
  <si>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</si>
  <si>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</si>
  <si>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</si>
  <si>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</si>
  <si>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</si>
  <si>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</si>
  <si>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</si>
  <si>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</si>
  <si>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</si>
  <si>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</si>
  <si>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</si>
  <si>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</si>
  <si>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</si>
  <si>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</si>
  <si>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</si>
  <si>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</si>
  <si>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</si>
  <si>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</si>
  <si>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</si>
  <si>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</si>
  <si>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</si>
  <si>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</si>
  <si>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</si>
  <si>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</si>
  <si>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</si>
  <si>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</si>
  <si>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</si>
  <si>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</si>
  <si>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</si>
  <si>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</si>
  <si>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</si>
  <si>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</si>
  <si>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</si>
  <si>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</si>
  <si>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</si>
  <si>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</si>
  <si>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</si>
  <si>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</si>
  <si>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</si>
  <si>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</si>
  <si>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</si>
  <si>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</si>
  <si>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</si>
  <si>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</si>
  <si>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</si>
  <si>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</si>
  <si>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</si>
  <si>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</si>
  <si>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</si>
  <si>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</si>
  <si>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</si>
  <si>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</si>
  <si>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</si>
  <si>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</si>
  <si>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</si>
  <si>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</si>
  <si>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</si>
  <si>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</si>
  <si>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</si>
  <si>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</si>
  <si>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</si>
  <si>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</si>
  <si>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</si>
  <si>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</si>
  <si>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</si>
  <si>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</si>
  <si>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</si>
  <si>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</si>
  <si>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</si>
  <si>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</si>
  <si>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</si>
  <si>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</si>
  <si>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</si>
  <si>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</si>
  <si>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</si>
  <si>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</si>
  <si>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</si>
  <si>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</si>
  <si>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</si>
  <si>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</si>
  <si>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</si>
  <si>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</si>
  <si>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</si>
  <si>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</si>
  <si>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</si>
  <si>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</si>
  <si>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</si>
  <si>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</si>
  <si>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</si>
  <si>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</si>
  <si>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</si>
  <si>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</si>
  <si>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</si>
  <si>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</si>
  <si>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</si>
  <si>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</si>
  <si>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</si>
  <si>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</si>
  <si>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</si>
  <si>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</si>
  <si>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</si>
  <si>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</si>
  <si>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</si>
  <si>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</si>
  <si>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</si>
  <si>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</si>
  <si>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</si>
  <si>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</si>
  <si>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</si>
  <si>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</si>
  <si>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</si>
  <si>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</si>
  <si>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</si>
  <si>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</si>
  <si>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</si>
  <si>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</si>
  <si>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</si>
  <si>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</si>
  <si>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</si>
  <si>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</si>
  <si>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</si>
  <si>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</si>
  <si>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</si>
  <si>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</si>
  <si>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</si>
  <si>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</si>
  <si>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</si>
  <si>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</si>
  <si>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</si>
  <si>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</si>
  <si>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</si>
  <si>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</si>
  <si>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</si>
  <si>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</si>
  <si>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</si>
  <si>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</si>
  <si>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</si>
  <si>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</si>
  <si>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</si>
  <si>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</si>
  <si>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</si>
  <si>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</si>
  <si>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</si>
  <si>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</si>
  <si>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</si>
  <si>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</si>
  <si>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</si>
  <si>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</si>
  <si>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</si>
  <si>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</si>
  <si>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</si>
  <si>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</si>
  <si>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</si>
  <si>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</si>
  <si>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</si>
  <si>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</si>
  <si>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</si>
  <si>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</si>
  <si>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</si>
  <si>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</si>
  <si>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</si>
  <si>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</si>
  <si>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</si>
  <si>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</si>
  <si>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</si>
  <si>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</si>
  <si>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</si>
  <si>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</si>
  <si>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</si>
  <si>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</si>
  <si>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</si>
  <si>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</si>
  <si>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</si>
  <si>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</si>
  <si>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</si>
  <si>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</si>
  <si>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</si>
  <si>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</si>
  <si>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</si>
  <si>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</si>
  <si>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</si>
  <si>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</si>
  <si>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</si>
  <si>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</si>
  <si>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</si>
  <si>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</si>
  <si>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</si>
  <si>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</si>
  <si>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</si>
  <si>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</si>
  <si>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</si>
  <si>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</si>
  <si>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</si>
  <si>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</si>
  <si>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</si>
  <si>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</si>
  <si>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</si>
  <si>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</si>
  <si>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</si>
  <si>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</si>
  <si>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</si>
  <si>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</si>
  <si>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</si>
  <si>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</si>
  <si>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</si>
  <si>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</si>
  <si>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</si>
  <si>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</si>
  <si>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</si>
  <si>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</si>
  <si>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</si>
  <si>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</si>
  <si>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</si>
  <si>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</si>
  <si>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</si>
  <si>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</si>
  <si>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</si>
  <si>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</si>
  <si>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</si>
  <si>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</si>
  <si>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</si>
  <si>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</si>
  <si>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</si>
  <si>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</si>
  <si>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</si>
  <si>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</si>
  <si>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</si>
  <si>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</si>
  <si>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</si>
  <si>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</si>
  <si>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</si>
  <si>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</si>
  <si>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</si>
  <si>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</si>
  <si>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</si>
  <si>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</si>
  <si>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</si>
  <si>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</si>
  <si>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</si>
  <si>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</si>
  <si>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</si>
  <si>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</si>
  <si>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</si>
  <si>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</si>
  <si>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</si>
  <si>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</si>
  <si>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</si>
  <si>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</si>
  <si>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</si>
  <si>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</si>
  <si>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</si>
  <si>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</si>
  <si>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</si>
  <si>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</si>
  <si>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</si>
  <si>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</si>
  <si>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</si>
  <si>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</si>
  <si>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</si>
  <si>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</si>
  <si>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</si>
  <si>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</si>
  <si>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</si>
  <si>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</si>
  <si>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</si>
  <si>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</si>
  <si>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</si>
  <si>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</si>
  <si>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</si>
  <si>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</si>
  <si>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</si>
  <si>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</si>
  <si>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</si>
  <si>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</si>
  <si>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</si>
  <si>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</si>
  <si>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</si>
  <si>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</si>
  <si>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</si>
  <si>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</si>
  <si>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</si>
  <si>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</si>
  <si>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</si>
  <si>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</si>
  <si>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</si>
  <si>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</si>
  <si>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</si>
  <si>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</si>
  <si>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</si>
  <si>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</si>
  <si>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</si>
  <si>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</si>
  <si>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</si>
  <si>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</si>
  <si>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</si>
  <si>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</si>
  <si>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</si>
  <si>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</si>
  <si>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</si>
  <si>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</si>
  <si>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</si>
  <si>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</si>
  <si>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</si>
  <si>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</si>
  <si>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</si>
  <si>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</si>
  <si>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</si>
  <si>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</si>
  <si>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</si>
  <si>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</si>
  <si>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</si>
  <si>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</si>
  <si>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</si>
  <si>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</si>
  <si>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</si>
  <si>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</si>
  <si>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</si>
  <si>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</si>
  <si>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</si>
  <si>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</si>
  <si>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</si>
  <si>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</si>
  <si>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</si>
  <si>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</si>
  <si>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</si>
  <si>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</si>
  <si>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</si>
  <si>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</si>
  <si>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</si>
  <si>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</si>
  <si>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</si>
  <si>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</si>
  <si>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</si>
  <si>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</si>
  <si>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</si>
  <si>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</si>
  <si>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</si>
  <si>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</si>
  <si>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</si>
  <si>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</si>
  <si>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</si>
  <si>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</si>
  <si>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</si>
  <si>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</si>
  <si>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</si>
  <si>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</si>
  <si>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</si>
  <si>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</si>
  <si>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</si>
  <si>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</si>
  <si>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</si>
  <si>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</si>
  <si>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</si>
  <si>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</si>
  <si>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</si>
  <si>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</si>
  <si>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</si>
  <si>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</si>
  <si>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</si>
  <si>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</si>
  <si>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</si>
  <si>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</si>
  <si>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</si>
  <si>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</si>
  <si>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</si>
  <si>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</si>
  <si>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</si>
  <si>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</si>
  <si>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</si>
  <si>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</si>
  <si>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</si>
  <si>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</si>
  <si>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</si>
  <si>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</si>
  <si>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</si>
  <si>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</si>
  <si>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</si>
  <si>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</si>
  <si>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</si>
  <si>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</si>
  <si>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</si>
  <si>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</si>
  <si>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</si>
  <si>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</si>
  <si>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</si>
  <si>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</si>
  <si>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</si>
  <si>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</si>
  <si>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</si>
  <si>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</si>
  <si>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</si>
  <si>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</si>
  <si>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</si>
  <si>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</si>
  <si>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</si>
  <si>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</si>
  <si>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</si>
  <si>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</si>
  <si>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</si>
  <si>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</si>
  <si>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</si>
  <si>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</si>
  <si>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</si>
  <si>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</si>
  <si>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</si>
  <si>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</si>
  <si>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</si>
  <si>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</si>
  <si>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</si>
  <si>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</si>
  <si>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</si>
  <si>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</si>
  <si>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</si>
  <si>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</si>
  <si>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</si>
  <si>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</si>
  <si>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</si>
  <si>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</si>
  <si>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</si>
  <si>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</si>
  <si>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</si>
  <si>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</si>
  <si>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</si>
  <si>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</si>
  <si>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</si>
  <si>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</si>
  <si>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</si>
  <si>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</si>
  <si>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</si>
  <si>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</si>
  <si>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</si>
  <si>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</si>
  <si>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</si>
  <si>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</si>
  <si>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</si>
  <si>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</si>
  <si>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</si>
  <si>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</si>
  <si>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</si>
  <si>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</si>
  <si>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</si>
  <si>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</si>
  <si>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</si>
  <si>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</si>
  <si>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</si>
  <si>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</si>
  <si>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</si>
  <si>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</si>
  <si>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</si>
  <si>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</si>
  <si>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</si>
  <si>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</si>
  <si>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</si>
  <si>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</si>
  <si>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</si>
  <si>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</si>
  <si>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</si>
  <si>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</si>
  <si>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</si>
  <si>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</si>
  <si>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</si>
  <si>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</si>
  <si>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</si>
  <si>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</si>
  <si>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</si>
  <si>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</si>
  <si>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</si>
  <si>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</si>
  <si>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</si>
  <si>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</si>
  <si>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</si>
  <si>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</si>
  <si>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</si>
  <si>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</si>
  <si>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</si>
  <si>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</si>
  <si>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</si>
  <si>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</si>
  <si>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</si>
  <si>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</si>
  <si>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</si>
  <si>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</si>
  <si>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</si>
  <si>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</si>
  <si>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</si>
  <si>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</si>
  <si>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</si>
  <si>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</si>
  <si>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</si>
  <si>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</si>
  <si>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</si>
  <si>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</si>
  <si>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</si>
  <si>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</si>
  <si>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</si>
  <si>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</si>
  <si>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</si>
  <si>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</si>
  <si>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</si>
  <si>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</si>
  <si>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</si>
  <si>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</si>
  <si>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</si>
  <si>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</si>
  <si>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</si>
  <si>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</si>
  <si>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</si>
  <si>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</si>
  <si>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</si>
  <si>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</si>
  <si>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</si>
  <si>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</si>
  <si>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</si>
  <si>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</si>
  <si>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</si>
  <si>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</si>
  <si>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</si>
  <si>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</si>
  <si>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</si>
  <si>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</si>
  <si>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</si>
  <si>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</si>
  <si>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</si>
  <si>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</si>
  <si>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</si>
  <si>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</si>
  <si>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</si>
  <si>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</si>
  <si>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</si>
  <si>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</si>
  <si>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</si>
  <si>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</si>
  <si>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</si>
  <si>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</si>
  <si>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</si>
  <si>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</si>
  <si>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Agency Funds</t>
  </si>
  <si>
    <t>Audit Adjustment to reclassify Student Activity Funds from Def. Rev to Rev/Expd/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</si>
</sst>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0" zoomScaleNormal="11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1412</v>
      </c>
      <c r="B2">
        <f>INDEX('School Tables'!$AH$3:$AH$209,MATCH('DOE25'!A2,'School Tables'!$AJ$3:$AJ$209,0))</f>
        <v>493</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1389601.45</v>
      </c>
      <c r="G9" s="18">
        <v>0</v>
      </c>
      <c r="H9" s="18">
        <v>278181.99</v>
      </c>
      <c r="I9" s="18">
        <v>0</v>
      </c>
      <c r="J9" s="13">
        <f>SUM(I440)</f>
        <v>244564.99</v>
      </c>
      <c r="K9" s="23" t="s">
        <v>288</v>
      </c>
      <c r="L9" s="23" t="s">
        <v>288</v>
      </c>
      <c r="M9" s="8"/>
      <c r="N9" s="165"/>
    </row>
    <row r="10" spans="1:14" s="3" customFormat="1" ht="12.2" customHeight="1" x14ac:dyDescent="0.15">
      <c r="A10" s="1" t="s">
        <v>562</v>
      </c>
      <c r="B10" s="2" t="s">
        <v>289</v>
      </c>
      <c r="C10" s="6">
        <v>2</v>
      </c>
      <c r="D10" s="2" t="s">
        <v>428</v>
      </c>
      <c r="E10" s="6">
        <v>110</v>
      </c>
      <c r="F10" s="18">
        <v>331217.69</v>
      </c>
      <c r="G10" s="18"/>
      <c r="H10" s="18">
        <v>0</v>
      </c>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170483.7</v>
      </c>
      <c r="G12" s="18"/>
      <c r="H12" s="18">
        <v>0</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82439.42</v>
      </c>
      <c r="G13" s="18">
        <v>65184.81</v>
      </c>
      <c r="H13" s="18">
        <v>27148.400000000001</v>
      </c>
      <c r="I13" s="18"/>
      <c r="J13" s="13">
        <f>SUM(I443)</f>
        <v>991790.79999999993</v>
      </c>
      <c r="K13" s="23" t="s">
        <v>288</v>
      </c>
      <c r="L13" s="23" t="s">
        <v>288</v>
      </c>
      <c r="M13" s="8"/>
      <c r="N13" s="165"/>
    </row>
    <row r="14" spans="1:14" s="3" customFormat="1" ht="12.2" customHeight="1" x14ac:dyDescent="0.15">
      <c r="A14" s="1" t="s">
        <v>565</v>
      </c>
      <c r="B14" s="2" t="s">
        <v>289</v>
      </c>
      <c r="C14" s="6">
        <v>6</v>
      </c>
      <c r="D14" s="2" t="s">
        <v>428</v>
      </c>
      <c r="E14" s="6">
        <v>150</v>
      </c>
      <c r="F14" s="18">
        <v>7.75</v>
      </c>
      <c r="G14" s="18">
        <v>0</v>
      </c>
      <c r="H14" s="18">
        <v>0</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c r="H16" s="18">
        <v>0</v>
      </c>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1973750.0099999998</v>
      </c>
      <c r="G19" s="38">
        <f>SUM(G9:G18)</f>
        <v>65184.81</v>
      </c>
      <c r="H19" s="38">
        <f>SUM(H9:H18)</f>
        <v>305330.39</v>
      </c>
      <c r="I19" s="38">
        <f>SUM(I9:I18)</f>
        <v>0</v>
      </c>
      <c r="J19" s="38">
        <f>SUM(J9:J18)</f>
        <v>1236355.79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39229.769999999997</v>
      </c>
      <c r="H22" s="18">
        <v>10073.42</v>
      </c>
      <c r="I22" s="18">
        <v>0</v>
      </c>
      <c r="J22" s="13">
        <f>SUM(I449)</f>
        <v>121180.51</v>
      </c>
      <c r="K22" s="23" t="s">
        <v>288</v>
      </c>
      <c r="L22" s="23" t="s">
        <v>288</v>
      </c>
      <c r="M22" s="8"/>
      <c r="N22" s="165"/>
    </row>
    <row r="23" spans="1:14" s="3" customFormat="1" ht="12.2" customHeight="1" x14ac:dyDescent="0.15">
      <c r="A23" s="1" t="s">
        <v>607</v>
      </c>
      <c r="B23" s="2" t="s">
        <v>289</v>
      </c>
      <c r="C23" s="6">
        <v>13</v>
      </c>
      <c r="D23" s="2" t="s">
        <v>429</v>
      </c>
      <c r="E23" s="6">
        <v>410</v>
      </c>
      <c r="F23" s="18">
        <v>224289.66</v>
      </c>
      <c r="G23" s="18">
        <v>0</v>
      </c>
      <c r="H23" s="18">
        <v>0</v>
      </c>
      <c r="I23" s="18"/>
      <c r="J23" s="13">
        <f>SUM(I450)</f>
        <v>80384.31</v>
      </c>
      <c r="K23" s="23" t="s">
        <v>288</v>
      </c>
      <c r="L23" s="23" t="s">
        <v>288</v>
      </c>
      <c r="M23" s="8"/>
      <c r="N23" s="165"/>
    </row>
    <row r="24" spans="1:14" s="3" customFormat="1" ht="12.2" customHeight="1" x14ac:dyDescent="0.15">
      <c r="A24" s="1" t="s">
        <v>570</v>
      </c>
      <c r="B24" s="2" t="s">
        <v>289</v>
      </c>
      <c r="C24" s="6">
        <v>14</v>
      </c>
      <c r="D24" s="2" t="s">
        <v>429</v>
      </c>
      <c r="E24" s="6">
        <v>420</v>
      </c>
      <c r="F24" s="18">
        <v>176243.17</v>
      </c>
      <c r="G24" s="18">
        <v>2020.41</v>
      </c>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187022.06</v>
      </c>
      <c r="G28" s="18">
        <v>0</v>
      </c>
      <c r="H28" s="18">
        <v>0</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19705.330000000002</v>
      </c>
      <c r="G29" s="18">
        <v>0</v>
      </c>
      <c r="H29" s="18">
        <v>0</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3191.7</v>
      </c>
      <c r="G30" s="18">
        <v>23934.63</v>
      </c>
      <c r="H30" s="18">
        <v>6604.98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610451.91999999993</v>
      </c>
      <c r="G32" s="38">
        <f>SUM(G22:G31)</f>
        <v>65184.81</v>
      </c>
      <c r="H32" s="38">
        <f>SUM(H22:H31)</f>
        <v>16678.400000000001</v>
      </c>
      <c r="I32" s="38">
        <f>SUM(I22:I31)</f>
        <v>0</v>
      </c>
      <c r="J32" s="38">
        <f>SUM(J22:J31)</f>
        <v>201564.82</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315000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0</v>
      </c>
      <c r="H48" s="18">
        <f>183717.43+104934.56</f>
        <v>288651.99</v>
      </c>
      <c r="I48" s="18">
        <v>0</v>
      </c>
      <c r="J48" s="13">
        <f>SUM(I460)</f>
        <v>1034790.97</v>
      </c>
      <c r="K48" s="23" t="s">
        <v>288</v>
      </c>
      <c r="L48" s="23" t="s">
        <v>288</v>
      </c>
      <c r="M48" s="8"/>
      <c r="N48" s="165"/>
    </row>
    <row r="49" spans="1:14" s="3" customFormat="1" ht="12.2" customHeight="1" x14ac:dyDescent="0.15">
      <c r="A49" s="1" t="s">
        <v>858</v>
      </c>
      <c r="B49" s="2" t="s">
        <v>289</v>
      </c>
      <c r="C49" s="6">
        <v>34</v>
      </c>
      <c r="D49" s="2"/>
      <c r="E49" s="6">
        <v>753</v>
      </c>
      <c r="F49" s="18">
        <v>106799.89</v>
      </c>
      <c r="G49" s="18">
        <v>0</v>
      </c>
      <c r="H49" s="18">
        <v>0</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1003587.17-62088.97</f>
        <v>941498.20000000007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1363298.09</v>
      </c>
      <c r="G51" s="38">
        <f>SUM(G35:G50)</f>
        <v>0</v>
      </c>
      <c r="H51" s="38">
        <f>SUM(H35:H50)</f>
        <v>288651.99</v>
      </c>
      <c r="I51" s="38">
        <f>SUM(I35:I50)</f>
        <v>0</v>
      </c>
      <c r="J51" s="38">
        <f>SUM(J35:J50)</f>
        <v>1034790.97</v>
      </c>
      <c r="K51" s="42" t="s">
        <v>288</v>
      </c>
      <c r="L51" s="42" t="s">
        <v>288</v>
      </c>
      <c r="N51" s="131"/>
    </row>
    <row r="52" spans="1:14" s="3" customFormat="1" ht="12.2" customHeight="1" thickTop="1" x14ac:dyDescent="0.15">
      <c r="A52" s="35" t="s">
        <v>455</v>
      </c>
      <c r="B52" s="36" t="s">
        <v>289</v>
      </c>
      <c r="C52" s="6">
        <v>37</v>
      </c>
      <c r="D52" s="36" t="s">
        <v>653</v>
      </c>
      <c r="E52" s="36"/>
      <c r="F52" s="38">
        <f>F51+F32</f>
        <v>1973750.01</v>
      </c>
      <c r="G52" s="38">
        <f>G51+G32</f>
        <v>65184.81</v>
      </c>
      <c r="H52" s="38">
        <f>H51+H32</f>
        <v>305330.39</v>
      </c>
      <c r="I52" s="38">
        <f>I51+I32</f>
        <v>0</v>
      </c>
      <c r="J52" s="38">
        <f>J51+J32</f>
        <v>1236355.79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14621617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14621617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43371.46</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1605.67</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12431.94</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57409.07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97.81</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97.81</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42592.14</v>
      </c>
      <c r="G96" s="18"/>
      <c r="H96" s="18">
        <v>3342.56</v>
      </c>
      <c r="I96" s="18">
        <v>0</v>
      </c>
      <c r="J96" s="18">
        <v>38875.96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361081.49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f>78479.01</f>
        <v>78479.009999999995</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3868.25</v>
      </c>
      <c r="G101" s="18"/>
      <c r="H101" s="18">
        <v>16592</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c r="H102" s="18">
        <v>6060.18</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7000</v>
      </c>
      <c r="G103" s="18">
        <v>0</v>
      </c>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13121.58</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4892.8</v>
      </c>
      <c r="G109" s="18">
        <v>67.260000000000005</v>
      </c>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1880.55</v>
      </c>
      <c r="G110" s="18">
        <v>511.25</v>
      </c>
      <c r="H110" s="18"/>
      <c r="I110" s="18"/>
      <c r="J110" s="18">
        <f>307033.8+516.61</f>
        <v>307550.40999999997</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151834.32999999996</v>
      </c>
      <c r="G111" s="38">
        <f>SUM(G96:G110)</f>
        <v>361660</v>
      </c>
      <c r="H111" s="38">
        <f>SUM(H96:H110)</f>
        <v>25994.74</v>
      </c>
      <c r="I111" s="38">
        <f>SUM(I96:I110)</f>
        <v>0</v>
      </c>
      <c r="J111" s="38">
        <f>SUM(J96:J110)</f>
        <v>346426.37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14830958.210000001</v>
      </c>
      <c r="G112" s="38">
        <f>G60+G111</f>
        <v>361660</v>
      </c>
      <c r="H112" s="38">
        <f>H60+H79+H94+H111</f>
        <v>25994.74</v>
      </c>
      <c r="I112" s="38">
        <f>I60+I111</f>
        <v>0</v>
      </c>
      <c r="J112" s="38">
        <f>J60+J111</f>
        <v>346426.37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1978939.49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969743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104715.71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3053398.2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471062.99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5010.7</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2299.71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476073.69</v>
      </c>
      <c r="G136" s="38">
        <f>SUM(G123:G135)</f>
        <v>2299.71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3529471.89</v>
      </c>
      <c r="G140" s="38">
        <f>G121+SUM(G136:G137)</f>
        <v>2299.71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0</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8995.27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56538.51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97650.62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101514.92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c r="H161" s="18">
        <v>2880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54235.89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101514.92</v>
      </c>
      <c r="G163" s="38">
        <f>SUM(G150:G162)</f>
        <v>56538.51</v>
      </c>
      <c r="H163" s="38">
        <f>SUM(H150:H162)</f>
        <v>163761.78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101514.92</v>
      </c>
      <c r="G170" s="38">
        <f>G147+G163+SUM(G164:G169)</f>
        <v>56538.51</v>
      </c>
      <c r="H170" s="38">
        <f>H147+H163+SUM(H164:H169)</f>
        <v>163761.78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17971.150000000001</v>
      </c>
      <c r="H180" s="18">
        <v>85000</v>
      </c>
      <c r="I180" s="18"/>
      <c r="J180" s="18">
        <v>56500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17971.150000000001</v>
      </c>
      <c r="H184" s="38">
        <f>SUM(H180:H183)</f>
        <v>85000</v>
      </c>
      <c r="I184" s="38">
        <f>SUM(I180:I183)</f>
        <v>0</v>
      </c>
      <c r="J184" s="38">
        <f>SUM(J180:J183)</f>
        <v>56500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17971.150000000001</v>
      </c>
      <c r="H193" s="38">
        <f>+H184+SUM(H189:H192)</f>
        <v>85000</v>
      </c>
      <c r="I193" s="38">
        <f>I178+I184+SUM(I189:I192)</f>
        <v>0</v>
      </c>
      <c r="J193" s="38">
        <f>J184</f>
        <v>56500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18461945.020000003</v>
      </c>
      <c r="G194" s="38">
        <f>G112+G140+G170+G193</f>
        <v>438469.37000000005</v>
      </c>
      <c r="H194" s="38">
        <f>H112+H140+H170+H193</f>
        <v>274756.52</v>
      </c>
      <c r="I194" s="38">
        <f>I112+I140+I170+I193</f>
        <v>0</v>
      </c>
      <c r="J194" s="38">
        <f>J112+J140+J193</f>
        <v>402926.37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4827087.17</v>
      </c>
      <c r="G234" s="18">
        <v>2283744.5699999998</v>
      </c>
      <c r="H234" s="18">
        <v>19003.900000000001</v>
      </c>
      <c r="I234" s="18">
        <v>94539.22</v>
      </c>
      <c r="J234" s="18">
        <v>190514.33</v>
      </c>
      <c r="K234" s="18">
        <v>24912.9</v>
      </c>
      <c r="L234" s="13">
        <f>SUM(F234:K234)</f>
        <v>7439802.0900000008</v>
      </c>
      <c r="M234" s="8"/>
      <c r="N234" s="165"/>
    </row>
    <row r="235" spans="1:14" s="3" customFormat="1" ht="12.2" customHeight="1" x14ac:dyDescent="0.15">
      <c r="A235" s="1" t="s">
        <v>439</v>
      </c>
      <c r="B235" s="2" t="s">
        <v>350</v>
      </c>
      <c r="C235" s="2" t="s">
        <v>291</v>
      </c>
      <c r="D235" s="2" t="s">
        <v>431</v>
      </c>
      <c r="E235" s="6">
        <v>1200</v>
      </c>
      <c r="F235" s="18">
        <v>1718273.84</v>
      </c>
      <c r="G235" s="18">
        <v>926166.16</v>
      </c>
      <c r="H235" s="18">
        <v>963755.82</v>
      </c>
      <c r="I235" s="18">
        <v>20035.84</v>
      </c>
      <c r="J235" s="18">
        <v>6000</v>
      </c>
      <c r="K235" s="18">
        <v>210</v>
      </c>
      <c r="L235" s="13">
        <f>SUM(F235:K235)</f>
        <v>3634441.6599999997</v>
      </c>
      <c r="M235" s="8"/>
      <c r="N235" s="165"/>
    </row>
    <row r="236" spans="1:14" s="3" customFormat="1" ht="12.2" customHeight="1" x14ac:dyDescent="0.15">
      <c r="A236" s="1" t="s">
        <v>440</v>
      </c>
      <c r="B236" s="2" t="s">
        <v>350</v>
      </c>
      <c r="C236" s="2" t="s">
        <v>292</v>
      </c>
      <c r="D236" s="2" t="s">
        <v>431</v>
      </c>
      <c r="E236" s="6">
        <v>1300</v>
      </c>
      <c r="F236" s="18"/>
      <c r="G236" s="18"/>
      <c r="H236" s="18">
        <v>29923.200000000001</v>
      </c>
      <c r="I236" s="18"/>
      <c r="J236" s="18"/>
      <c r="K236" s="18"/>
      <c r="L236" s="13">
        <f>SUM(F236:K236)</f>
        <v>29923.200000000001</v>
      </c>
      <c r="M236" s="8"/>
      <c r="N236" s="165"/>
    </row>
    <row r="237" spans="1:14" s="3" customFormat="1" ht="12.2" customHeight="1" x14ac:dyDescent="0.15">
      <c r="A237" s="1" t="s">
        <v>441</v>
      </c>
      <c r="B237" s="2" t="s">
        <v>350</v>
      </c>
      <c r="C237" s="2" t="s">
        <v>293</v>
      </c>
      <c r="D237" s="2" t="s">
        <v>431</v>
      </c>
      <c r="E237" s="6">
        <v>1400</v>
      </c>
      <c r="F237" s="18">
        <v>407764.33</v>
      </c>
      <c r="G237" s="18">
        <v>112243.58</v>
      </c>
      <c r="H237" s="18">
        <f>128710.55-40000</f>
        <v>88710.55</v>
      </c>
      <c r="I237" s="18">
        <v>46731.1</v>
      </c>
      <c r="J237" s="18">
        <v>28707.15</v>
      </c>
      <c r="K237" s="18">
        <f>30723.25-16500</f>
        <v>14223.25</v>
      </c>
      <c r="L237" s="13">
        <f>SUM(F237:K237)</f>
        <v>698379.96000000008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1070338.8400000001</v>
      </c>
      <c r="G239" s="18">
        <v>522448.82</v>
      </c>
      <c r="H239" s="18">
        <v>200495.72</v>
      </c>
      <c r="I239" s="18">
        <v>6610.12</v>
      </c>
      <c r="J239" s="18">
        <v>0</v>
      </c>
      <c r="K239" s="18">
        <v>612</v>
      </c>
      <c r="L239" s="13">
        <f t="shared" ref="L239:L245" si="4">SUM(F239:K239)</f>
        <v>1800505.5000000002</v>
      </c>
      <c r="M239" s="8"/>
      <c r="N239" s="165"/>
    </row>
    <row r="240" spans="1:14" s="3" customFormat="1" ht="12.2" customHeight="1" x14ac:dyDescent="0.15">
      <c r="A240" s="1" t="s">
        <v>443</v>
      </c>
      <c r="B240" s="2" t="s">
        <v>350</v>
      </c>
      <c r="C240" s="2" t="s">
        <v>295</v>
      </c>
      <c r="D240" s="2" t="s">
        <v>431</v>
      </c>
      <c r="E240" s="6">
        <v>2200</v>
      </c>
      <c r="F240" s="18">
        <v>316414.61</v>
      </c>
      <c r="G240" s="18">
        <v>188264.65</v>
      </c>
      <c r="H240" s="18">
        <v>1156.8</v>
      </c>
      <c r="I240" s="18">
        <v>44764.87</v>
      </c>
      <c r="J240" s="18">
        <v>0</v>
      </c>
      <c r="K240" s="18">
        <v>322</v>
      </c>
      <c r="L240" s="13">
        <f t="shared" si="4"/>
        <v>550922.93000000005</v>
      </c>
      <c r="M240" s="8"/>
      <c r="N240" s="165"/>
    </row>
    <row r="241" spans="1:14" s="3" customFormat="1" ht="12.2" customHeight="1" x14ac:dyDescent="0.15">
      <c r="A241" s="1" t="s">
        <v>444</v>
      </c>
      <c r="B241" s="2" t="s">
        <v>350</v>
      </c>
      <c r="C241" s="2" t="s">
        <v>296</v>
      </c>
      <c r="D241" s="2" t="s">
        <v>431</v>
      </c>
      <c r="E241" s="6">
        <v>2300</v>
      </c>
      <c r="F241" s="18">
        <v>166873.22</v>
      </c>
      <c r="G241" s="18">
        <v>73613.600000000006</v>
      </c>
      <c r="H241" s="18">
        <v>909511.56</v>
      </c>
      <c r="I241" s="18">
        <v>1862.79</v>
      </c>
      <c r="J241" s="18">
        <v>0</v>
      </c>
      <c r="K241" s="18">
        <v>6816.26</v>
      </c>
      <c r="L241" s="13">
        <f t="shared" si="4"/>
        <v>1158677.4300000002</v>
      </c>
      <c r="M241" s="8"/>
      <c r="N241" s="165"/>
    </row>
    <row r="242" spans="1:14" s="3" customFormat="1" ht="12.2" customHeight="1" x14ac:dyDescent="0.15">
      <c r="A242" s="1" t="s">
        <v>445</v>
      </c>
      <c r="B242" s="2" t="s">
        <v>350</v>
      </c>
      <c r="C242" s="2" t="s">
        <v>297</v>
      </c>
      <c r="D242" s="2" t="s">
        <v>431</v>
      </c>
      <c r="E242" s="6">
        <v>2400</v>
      </c>
      <c r="F242" s="18">
        <v>463220.44</v>
      </c>
      <c r="G242" s="18">
        <v>178956.68</v>
      </c>
      <c r="H242" s="18">
        <v>48248.14</v>
      </c>
      <c r="I242" s="18">
        <v>34248.879999999997</v>
      </c>
      <c r="J242" s="18">
        <v>0</v>
      </c>
      <c r="K242" s="18">
        <v>4940</v>
      </c>
      <c r="L242" s="13">
        <f t="shared" si="4"/>
        <v>729614.14</v>
      </c>
      <c r="M242" s="8"/>
      <c r="N242" s="165"/>
    </row>
    <row r="243" spans="1:14" s="3" customFormat="1" ht="12.2" customHeight="1" x14ac:dyDescent="0.15">
      <c r="A243" s="1" t="s">
        <v>446</v>
      </c>
      <c r="B243" s="2" t="s">
        <v>350</v>
      </c>
      <c r="C243" s="2" t="s">
        <v>298</v>
      </c>
      <c r="D243" s="2" t="s">
        <v>431</v>
      </c>
      <c r="E243" s="6">
        <v>2500</v>
      </c>
      <c r="F243" s="18">
        <v>0</v>
      </c>
      <c r="G243" s="18">
        <v>0</v>
      </c>
      <c r="H243" s="18">
        <v>15505.54</v>
      </c>
      <c r="I243" s="18">
        <v>0</v>
      </c>
      <c r="J243" s="18">
        <v>0</v>
      </c>
      <c r="K243" s="18">
        <v>0</v>
      </c>
      <c r="L243" s="13">
        <f t="shared" si="4"/>
        <v>15505.54</v>
      </c>
      <c r="M243" s="8"/>
      <c r="N243" s="165"/>
    </row>
    <row r="244" spans="1:14" s="3" customFormat="1" ht="12.2" customHeight="1" x14ac:dyDescent="0.15">
      <c r="A244" s="1" t="s">
        <v>447</v>
      </c>
      <c r="B244" s="2" t="s">
        <v>350</v>
      </c>
      <c r="C244" s="2" t="s">
        <v>299</v>
      </c>
      <c r="D244" s="2" t="s">
        <v>431</v>
      </c>
      <c r="E244" s="6">
        <v>2600</v>
      </c>
      <c r="F244" s="18">
        <v>425651.98</v>
      </c>
      <c r="G244" s="18">
        <v>233399.12</v>
      </c>
      <c r="H244" s="18">
        <v>374903.01</v>
      </c>
      <c r="I244" s="18">
        <v>360822.45</v>
      </c>
      <c r="J244" s="18">
        <v>9831.83</v>
      </c>
      <c r="K244" s="18">
        <v>0</v>
      </c>
      <c r="L244" s="13">
        <f t="shared" si="4"/>
        <v>1404608.3900000001</v>
      </c>
      <c r="M244" s="8"/>
      <c r="N244" s="165"/>
    </row>
    <row r="245" spans="1:14" s="3" customFormat="1" ht="12.2" customHeight="1" x14ac:dyDescent="0.15">
      <c r="A245" s="1" t="s">
        <v>448</v>
      </c>
      <c r="B245" s="2" t="s">
        <v>350</v>
      </c>
      <c r="C245" s="2" t="s">
        <v>300</v>
      </c>
      <c r="D245" s="2" t="s">
        <v>431</v>
      </c>
      <c r="E245" s="6">
        <v>2700</v>
      </c>
      <c r="F245" s="18">
        <v>47831.75</v>
      </c>
      <c r="G245" s="18">
        <v>9614.1</v>
      </c>
      <c r="H245" s="18">
        <v>525051.21</v>
      </c>
      <c r="I245" s="18">
        <v>2441.83</v>
      </c>
      <c r="J245" s="18">
        <v>82450</v>
      </c>
      <c r="K245" s="18">
        <v>0</v>
      </c>
      <c r="L245" s="13">
        <f t="shared" si="4"/>
        <v>667388.8899999999</v>
      </c>
      <c r="M245" s="8"/>
      <c r="N245" s="165"/>
    </row>
    <row r="246" spans="1:14" s="3" customFormat="1" ht="12.2" customHeight="1" x14ac:dyDescent="0.15">
      <c r="A246" s="1" t="s">
        <v>449</v>
      </c>
      <c r="B246" s="2" t="s">
        <v>350</v>
      </c>
      <c r="C246" s="2" t="s">
        <v>343</v>
      </c>
      <c r="D246" s="2" t="s">
        <v>431</v>
      </c>
      <c r="E246" s="6">
        <v>2800</v>
      </c>
      <c r="F246" s="18">
        <v>119836.72</v>
      </c>
      <c r="G246" s="18">
        <v>44352.58</v>
      </c>
      <c r="H246" s="18">
        <v>18864.48</v>
      </c>
      <c r="I246" s="18">
        <v>27077.99</v>
      </c>
      <c r="J246" s="18">
        <v>19241.39</v>
      </c>
      <c r="K246" s="18">
        <v>0</v>
      </c>
      <c r="L246" s="13">
        <f>SUM(F246:K246)</f>
        <v>229373.15999999997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9563292.9000000004</v>
      </c>
      <c r="G248" s="38">
        <f t="shared" si="5"/>
        <v>4572803.8599999994</v>
      </c>
      <c r="H248" s="38">
        <f t="shared" si="5"/>
        <v>3195129.93</v>
      </c>
      <c r="I248" s="38">
        <f t="shared" si="5"/>
        <v>639135.09</v>
      </c>
      <c r="J248" s="38">
        <f t="shared" si="5"/>
        <v>336744.69999999995</v>
      </c>
      <c r="K248" s="38">
        <f t="shared" si="5"/>
        <v>52036.41</v>
      </c>
      <c r="L248" s="38">
        <f t="shared" si="5"/>
        <v>18359142.890000001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5419.95</v>
      </c>
      <c r="I256" s="18"/>
      <c r="J256" s="18">
        <v>0</v>
      </c>
      <c r="K256" s="18"/>
      <c r="L256" s="13">
        <f t="shared" si="6"/>
        <v>5419.95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5419.95</v>
      </c>
      <c r="I257" s="38">
        <f t="shared" si="7"/>
        <v>0</v>
      </c>
      <c r="J257" s="38">
        <f t="shared" si="7"/>
        <v>0</v>
      </c>
      <c r="K257" s="38">
        <f t="shared" si="7"/>
        <v>0</v>
      </c>
      <c r="L257" s="38">
        <f>SUM(F257:K257)</f>
        <v>5419.95</v>
      </c>
      <c r="M257" s="8"/>
      <c r="N257" s="165"/>
    </row>
    <row r="258" spans="1:14" s="3" customFormat="1" ht="12.2" customHeight="1" thickTop="1" x14ac:dyDescent="0.15">
      <c r="A258" s="35" t="s">
        <v>462</v>
      </c>
      <c r="B258" s="37">
        <v>10</v>
      </c>
      <c r="C258" s="37">
        <v>8</v>
      </c>
      <c r="D258" s="36" t="s">
        <v>431</v>
      </c>
      <c r="E258" s="37"/>
      <c r="F258" s="38">
        <f t="shared" ref="F258:L258" si="8">F212+F230+F248+F257</f>
        <v>9563292.9000000004</v>
      </c>
      <c r="G258" s="38">
        <f t="shared" si="8"/>
        <v>4572803.8599999994</v>
      </c>
      <c r="H258" s="38">
        <f t="shared" si="8"/>
        <v>3200549.8800000004</v>
      </c>
      <c r="I258" s="38">
        <f t="shared" si="8"/>
        <v>639135.09</v>
      </c>
      <c r="J258" s="38">
        <f t="shared" si="8"/>
        <v>336744.69999999995</v>
      </c>
      <c r="K258" s="38">
        <f t="shared" si="8"/>
        <v>52036.41</v>
      </c>
      <c r="L258" s="38">
        <f t="shared" si="8"/>
        <v>18364562.84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17971.150000000001</v>
      </c>
      <c r="L264" s="13">
        <f>SUM(F264:K264)</f>
        <v>17971.150000000001</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85000</v>
      </c>
      <c r="L265" s="13">
        <f t="shared" ref="L265:L271" si="9">SUM(F265:K265)</f>
        <v>85000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56500</v>
      </c>
      <c r="L267" s="13">
        <f t="shared" si="9"/>
        <v>56500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159471.15</v>
      </c>
      <c r="L271" s="38">
        <f t="shared" si="9"/>
        <v>159471.15</v>
      </c>
      <c r="M271" s="8"/>
      <c r="N271" s="165"/>
    </row>
    <row r="272" spans="1:14" s="33" customFormat="1" ht="12.2" customHeight="1" thickTop="1" x14ac:dyDescent="0.2">
      <c r="A272" s="40" t="s">
        <v>464</v>
      </c>
      <c r="B272" s="37">
        <v>10</v>
      </c>
      <c r="C272" s="37">
        <v>18</v>
      </c>
      <c r="D272" s="36" t="s">
        <v>431</v>
      </c>
      <c r="E272" s="37"/>
      <c r="F272" s="39">
        <f t="shared" ref="F272:L272" si="11">F258+F271</f>
        <v>9563292.9000000004</v>
      </c>
      <c r="G272" s="39">
        <f t="shared" si="11"/>
        <v>4572803.8599999994</v>
      </c>
      <c r="H272" s="39">
        <f t="shared" si="11"/>
        <v>3200549.8800000004</v>
      </c>
      <c r="I272" s="39">
        <f t="shared" si="11"/>
        <v>639135.09</v>
      </c>
      <c r="J272" s="39">
        <f t="shared" si="11"/>
        <v>336744.69999999995</v>
      </c>
      <c r="K272" s="39">
        <f t="shared" si="11"/>
        <v>211507.56</v>
      </c>
      <c r="L272" s="39">
        <f t="shared" si="11"/>
        <v>18524033.989999998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32575</v>
      </c>
      <c r="G315" s="18">
        <v>2765.03</v>
      </c>
      <c r="H315" s="18">
        <v>0</v>
      </c>
      <c r="I315" s="18">
        <v>4940.46</v>
      </c>
      <c r="J315" s="18">
        <v>0</v>
      </c>
      <c r="K315" s="18">
        <v>0</v>
      </c>
      <c r="L315" s="13">
        <f>SUM(F315:K315)</f>
        <v>40280.49</v>
      </c>
      <c r="M315" s="8"/>
      <c r="N315" s="165"/>
    </row>
    <row r="316" spans="1:14" s="3" customFormat="1" ht="12.2" customHeight="1" x14ac:dyDescent="0.15">
      <c r="A316" s="1" t="s">
        <v>439</v>
      </c>
      <c r="B316" s="2" t="s">
        <v>359</v>
      </c>
      <c r="C316" s="2" t="s">
        <v>291</v>
      </c>
      <c r="D316" s="2" t="s">
        <v>431</v>
      </c>
      <c r="E316" s="6">
        <v>1200</v>
      </c>
      <c r="F316" s="18">
        <v>71642.820000000007</v>
      </c>
      <c r="G316" s="18">
        <v>15933.39</v>
      </c>
      <c r="H316" s="18">
        <v>188.98</v>
      </c>
      <c r="I316" s="18">
        <v>9481.02</v>
      </c>
      <c r="J316" s="18">
        <v>0</v>
      </c>
      <c r="K316" s="18">
        <v>0</v>
      </c>
      <c r="L316" s="13">
        <f>SUM(F316:K316)</f>
        <v>97246.21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2700</v>
      </c>
      <c r="G320" s="18">
        <v>785.68</v>
      </c>
      <c r="H320" s="18">
        <v>9885.43</v>
      </c>
      <c r="I320" s="18">
        <v>0</v>
      </c>
      <c r="J320" s="18">
        <v>0</v>
      </c>
      <c r="K320" s="18">
        <v>0</v>
      </c>
      <c r="L320" s="13">
        <f t="shared" ref="L320:L326" si="16">SUM(F320:K320)</f>
        <v>13371.11</v>
      </c>
      <c r="M320" s="8"/>
      <c r="N320" s="165"/>
    </row>
    <row r="321" spans="1:14" s="3" customFormat="1" ht="12.2" customHeight="1" x14ac:dyDescent="0.15">
      <c r="A321" s="1" t="s">
        <v>443</v>
      </c>
      <c r="B321" s="2" t="s">
        <v>359</v>
      </c>
      <c r="C321" s="2" t="s">
        <v>295</v>
      </c>
      <c r="D321" s="2" t="s">
        <v>431</v>
      </c>
      <c r="E321" s="6">
        <v>2200</v>
      </c>
      <c r="F321" s="18">
        <v>5075</v>
      </c>
      <c r="G321" s="18">
        <v>1441.29</v>
      </c>
      <c r="H321" s="18">
        <v>0</v>
      </c>
      <c r="I321" s="18">
        <v>268.77999999999997</v>
      </c>
      <c r="J321" s="18">
        <v>2478.98</v>
      </c>
      <c r="K321" s="18">
        <v>0</v>
      </c>
      <c r="L321" s="13">
        <f t="shared" si="16"/>
        <v>9264.0499999999993</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3540</v>
      </c>
      <c r="J323" s="18">
        <v>0</v>
      </c>
      <c r="K323" s="18">
        <v>0</v>
      </c>
      <c r="L323" s="13">
        <f t="shared" si="16"/>
        <v>3540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2880</v>
      </c>
      <c r="J325" s="18">
        <v>0</v>
      </c>
      <c r="K325" s="18">
        <v>0</v>
      </c>
      <c r="L325" s="13">
        <f t="shared" si="16"/>
        <v>2880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3240.1</v>
      </c>
      <c r="J327" s="18">
        <v>0</v>
      </c>
      <c r="K327" s="18"/>
      <c r="L327" s="13">
        <f>SUM(F327:K327)</f>
        <v>3240.1</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111992.82</v>
      </c>
      <c r="G329" s="39">
        <f t="shared" si="17"/>
        <v>20925.39</v>
      </c>
      <c r="H329" s="39">
        <f t="shared" si="17"/>
        <v>10074.41</v>
      </c>
      <c r="I329" s="39">
        <f t="shared" si="17"/>
        <v>24350.36</v>
      </c>
      <c r="J329" s="39">
        <f t="shared" si="17"/>
        <v>2478.98</v>
      </c>
      <c r="K329" s="39">
        <f t="shared" si="17"/>
        <v>0</v>
      </c>
      <c r="L329" s="38">
        <f t="shared" si="17"/>
        <v>169821.96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111992.82</v>
      </c>
      <c r="G339" s="38">
        <f t="shared" si="20"/>
        <v>20925.39</v>
      </c>
      <c r="H339" s="38">
        <f t="shared" si="20"/>
        <v>10074.41</v>
      </c>
      <c r="I339" s="38">
        <f t="shared" si="20"/>
        <v>24350.36</v>
      </c>
      <c r="J339" s="38">
        <f t="shared" si="20"/>
        <v>2478.98</v>
      </c>
      <c r="K339" s="38">
        <f t="shared" si="20"/>
        <v>0</v>
      </c>
      <c r="L339" s="38">
        <f t="shared" si="20"/>
        <v>169821.96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111992.82</v>
      </c>
      <c r="G353" s="38">
        <f>G339</f>
        <v>20925.39</v>
      </c>
      <c r="H353" s="38">
        <f>H339</f>
        <v>10074.41</v>
      </c>
      <c r="I353" s="38">
        <f>I339</f>
        <v>24350.36</v>
      </c>
      <c r="J353" s="38">
        <f>J339</f>
        <v>2478.98</v>
      </c>
      <c r="K353" s="38">
        <f>K339+K352</f>
        <v>0</v>
      </c>
      <c r="L353" s="38">
        <f>L339+L352</f>
        <v>169821.96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v>156281.72</v>
      </c>
      <c r="G361" s="18">
        <v>58573.120000000003</v>
      </c>
      <c r="H361" s="18">
        <f>4432.47+36300.6</f>
        <v>40733.07</v>
      </c>
      <c r="I361" s="18">
        <v>182648.13</v>
      </c>
      <c r="J361" s="18">
        <v>0</v>
      </c>
      <c r="K361" s="18">
        <v>233.33</v>
      </c>
      <c r="L361" s="13">
        <f>SUM(F361:K361)</f>
        <v>438469.37000000005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156281.72</v>
      </c>
      <c r="G363" s="38">
        <f t="shared" si="22"/>
        <v>58573.120000000003</v>
      </c>
      <c r="H363" s="38">
        <f t="shared" si="22"/>
        <v>40733.07</v>
      </c>
      <c r="I363" s="38">
        <f t="shared" si="22"/>
        <v>182648.13</v>
      </c>
      <c r="J363" s="38">
        <f t="shared" si="22"/>
        <v>0</v>
      </c>
      <c r="K363" s="38">
        <f t="shared" si="22"/>
        <v>233.33</v>
      </c>
      <c r="L363" s="38">
        <f t="shared" si="22"/>
        <v>438469.37000000005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v>166521.75</v>
      </c>
      <c r="I368" s="13">
        <f>SUM(F368:H368)</f>
        <v>166521.75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v>16126.38</v>
      </c>
      <c r="I369" s="13">
        <f>SUM(F369:H369)</f>
        <v>16126.38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182648.13</v>
      </c>
      <c r="I370" s="38">
        <f>SUM(I368:I369)</f>
        <v>182648.13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13869.89</v>
      </c>
      <c r="I397" s="18"/>
      <c r="J397" s="23" t="s">
        <v>288</v>
      </c>
      <c r="K397" s="23" t="s">
        <v>288</v>
      </c>
      <c r="L397" s="13">
        <f t="shared" si="26"/>
        <v>13869.89</v>
      </c>
      <c r="M397" s="8"/>
      <c r="N397" s="165"/>
    </row>
    <row r="398" spans="1:14" s="3" customFormat="1" ht="12.2" customHeight="1" x14ac:dyDescent="0.15">
      <c r="A398" s="62" t="s">
        <v>515</v>
      </c>
      <c r="B398" s="2" t="s">
        <v>381</v>
      </c>
      <c r="C398" s="6">
        <v>10</v>
      </c>
      <c r="D398" s="2" t="s">
        <v>432</v>
      </c>
      <c r="E398" s="6"/>
      <c r="F398" s="18"/>
      <c r="G398" s="18"/>
      <c r="H398" s="18">
        <v>23543.01</v>
      </c>
      <c r="I398" s="18"/>
      <c r="J398" s="23" t="s">
        <v>288</v>
      </c>
      <c r="K398" s="23" t="s">
        <v>288</v>
      </c>
      <c r="L398" s="13">
        <f t="shared" si="26"/>
        <v>23543.01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1463.06</v>
      </c>
      <c r="I401" s="18"/>
      <c r="J401" s="23" t="s">
        <v>288</v>
      </c>
      <c r="K401" s="23" t="s">
        <v>288</v>
      </c>
      <c r="L401" s="13">
        <f t="shared" si="26"/>
        <v>1463.06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38875.959999999992</v>
      </c>
      <c r="I402" s="38">
        <f>SUM(I396:I401)</f>
        <v>0</v>
      </c>
      <c r="J402" s="42" t="s">
        <v>288</v>
      </c>
      <c r="K402" s="42" t="s">
        <v>288</v>
      </c>
      <c r="L402" s="38">
        <f>SUM(L396:L401)</f>
        <v>38875.959999999992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v>56500</v>
      </c>
      <c r="H404" s="18"/>
      <c r="I404" s="18">
        <f>307033.8+516.61</f>
        <v>307550.40999999997</v>
      </c>
      <c r="J404" s="23" t="s">
        <v>288</v>
      </c>
      <c r="K404" s="23" t="s">
        <v>288</v>
      </c>
      <c r="L404" s="13">
        <f>SUM(F404:K404)</f>
        <v>364050.41</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56500</v>
      </c>
      <c r="H408" s="38">
        <f>SUM(H404:H407)</f>
        <v>0</v>
      </c>
      <c r="I408" s="38">
        <f>SUM(I404:I407)</f>
        <v>307550.40999999997</v>
      </c>
      <c r="J408" s="45" t="s">
        <v>288</v>
      </c>
      <c r="K408" s="45" t="s">
        <v>288</v>
      </c>
      <c r="L408" s="38">
        <f>SUM(L404:L407)</f>
        <v>364050.41</v>
      </c>
      <c r="M408" s="8"/>
      <c r="N408" s="165"/>
    </row>
    <row r="409" spans="1:21" s="3" customFormat="1" ht="12.2" customHeight="1" thickTop="1" x14ac:dyDescent="0.15">
      <c r="A409" s="61" t="s">
        <v>421</v>
      </c>
      <c r="B409" s="2" t="s">
        <v>381</v>
      </c>
      <c r="C409" s="6">
        <v>20</v>
      </c>
      <c r="D409" s="6"/>
      <c r="E409" s="37"/>
      <c r="F409" s="38">
        <f>F394+F402+F408</f>
        <v>0</v>
      </c>
      <c r="G409" s="38">
        <f>G394+G402+G408</f>
        <v>56500</v>
      </c>
      <c r="H409" s="38">
        <f>H394+H402+H408</f>
        <v>38875.959999999992</v>
      </c>
      <c r="I409" s="38">
        <f>I394+I402+I408</f>
        <v>307550.40999999997</v>
      </c>
      <c r="J409" s="23" t="s">
        <v>288</v>
      </c>
      <c r="K409" s="23" t="s">
        <v>288</v>
      </c>
      <c r="L409" s="38">
        <f>L394+L402+L408</f>
        <v>402926.37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68451</v>
      </c>
      <c r="I423" s="18"/>
      <c r="J423" s="18"/>
      <c r="K423" s="18"/>
      <c r="L423" s="13">
        <f t="shared" si="29"/>
        <v>68451</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68451</v>
      </c>
      <c r="I428" s="38">
        <f t="shared" si="30"/>
        <v>0</v>
      </c>
      <c r="J428" s="38">
        <f t="shared" si="30"/>
        <v>0</v>
      </c>
      <c r="K428" s="38">
        <f t="shared" si="30"/>
        <v>0</v>
      </c>
      <c r="L428" s="38">
        <f t="shared" si="30"/>
        <v>68451</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t="s">
        <v>1812</v>
      </c>
      <c r="B430" s="6">
        <v>17</v>
      </c>
      <c r="C430" s="6">
        <v>15</v>
      </c>
      <c r="D430" s="2" t="s">
        <v>432</v>
      </c>
      <c r="E430" s="6"/>
      <c r="F430" s="18">
        <v>400</v>
      </c>
      <c r="G430" s="18">
        <f>5.53+84.08+27</f>
        <v>116.61</v>
      </c>
      <c r="H430" s="18">
        <f>41970.25</f>
        <v>41970.25</v>
      </c>
      <c r="I430" s="18">
        <v>615.72</v>
      </c>
      <c r="J430" s="18"/>
      <c r="K430" s="18">
        <f>305254.85+12681.5</f>
        <v>317936.34999999998</v>
      </c>
      <c r="L430" s="13">
        <f>SUM(F430:K430)</f>
        <v>361038.93</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400</v>
      </c>
      <c r="G434" s="38">
        <f t="shared" si="31"/>
        <v>116.61</v>
      </c>
      <c r="H434" s="38">
        <f t="shared" si="31"/>
        <v>41970.25</v>
      </c>
      <c r="I434" s="38">
        <f t="shared" si="31"/>
        <v>615.72</v>
      </c>
      <c r="J434" s="38">
        <f t="shared" si="31"/>
        <v>0</v>
      </c>
      <c r="K434" s="38">
        <f t="shared" si="31"/>
        <v>317936.34999999998</v>
      </c>
      <c r="L434" s="38">
        <f t="shared" si="31"/>
        <v>361038.93</v>
      </c>
      <c r="M434" s="8"/>
      <c r="N434" s="165"/>
    </row>
    <row r="435" spans="1:14" s="3" customFormat="1" ht="12.2" customHeight="1" thickTop="1" x14ac:dyDescent="0.15">
      <c r="A435" s="61" t="s">
        <v>422</v>
      </c>
      <c r="B435" s="6">
        <v>17</v>
      </c>
      <c r="C435" s="6">
        <v>20</v>
      </c>
      <c r="D435" s="2" t="s">
        <v>432</v>
      </c>
      <c r="E435" s="37"/>
      <c r="F435" s="38">
        <f t="shared" ref="F435:L435" si="32">F420+F428+F434</f>
        <v>400</v>
      </c>
      <c r="G435" s="38">
        <f t="shared" si="32"/>
        <v>116.61</v>
      </c>
      <c r="H435" s="38">
        <f t="shared" si="32"/>
        <v>110421.25</v>
      </c>
      <c r="I435" s="38">
        <f t="shared" si="32"/>
        <v>615.72</v>
      </c>
      <c r="J435" s="38">
        <f t="shared" si="32"/>
        <v>0</v>
      </c>
      <c r="K435" s="38">
        <f t="shared" si="32"/>
        <v>317936.34999999998</v>
      </c>
      <c r="L435" s="38">
        <f t="shared" si="32"/>
        <v>429489.93</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f>241521.84+3043.15</f>
        <v>244564.99</v>
      </c>
      <c r="I440" s="13">
        <f t="shared" ref="I440:I446" si="33">SUM(F440:H440)</f>
        <v>244564.99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991274.19</v>
      </c>
      <c r="H443" s="18">
        <v>516.61</v>
      </c>
      <c r="I443" s="13">
        <f t="shared" si="33"/>
        <v>991790.79999999993</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991274.19</v>
      </c>
      <c r="H447" s="13">
        <f>SUM(H440:H446)</f>
        <v>245081.59999999998</v>
      </c>
      <c r="I447" s="13">
        <f>SUM(I440:I446)</f>
        <v>1236355.79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121038.36</v>
      </c>
      <c r="H449" s="18">
        <v>142.15</v>
      </c>
      <c r="I449" s="13">
        <f>SUM(F449:H449)</f>
        <v>121180.51</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v>80384.31</v>
      </c>
      <c r="I450" s="13">
        <f>SUM(F450:H450)</f>
        <v>80384.31</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121038.36</v>
      </c>
      <c r="H453" s="57">
        <f>SUM(H449:H452)</f>
        <v>80526.459999999992</v>
      </c>
      <c r="I453" s="57">
        <f>SUM(I449:I452)</f>
        <v>201564.82</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899810.87-29575.04</f>
        <v>870235.83</v>
      </c>
      <c r="H460" s="18">
        <f>159358.58+1810.62+1778.95+1232.53+374.46</f>
        <v>164555.13999999998</v>
      </c>
      <c r="I460" s="13">
        <f t="shared" si="34"/>
        <v>1034790.97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870235.83</v>
      </c>
      <c r="H461" s="65">
        <f>SUM(H455:H460)</f>
        <v>164555.13999999998</v>
      </c>
      <c r="I461" s="65">
        <f>SUM(I455:I460)</f>
        <v>1034790.97</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991274.19</v>
      </c>
      <c r="H462" s="39">
        <f>H453+H461</f>
        <v>245081.59999999998</v>
      </c>
      <c r="I462" s="39">
        <f>I453+I461</f>
        <v>1236355.79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1425387.06</v>
      </c>
      <c r="G466" s="18">
        <v>0</v>
      </c>
      <c r="H466" s="18">
        <v>183717.43</v>
      </c>
      <c r="I466" s="18">
        <v>0</v>
      </c>
      <c r="J466" s="18">
        <v>900185.33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18461945.020000003</v>
      </c>
      <c r="G469" s="18">
        <f t="shared" ref="G469:J469" si="35">G194</f>
        <v>438469.37000000005</v>
      </c>
      <c r="H469" s="18">
        <f t="shared" si="35"/>
        <v>274756.52</v>
      </c>
      <c r="I469" s="18">
        <f t="shared" si="35"/>
        <v>0</v>
      </c>
      <c r="J469" s="18">
        <f t="shared" si="35"/>
        <v>402926.37</v>
      </c>
      <c r="K469" s="23" t="s">
        <v>288</v>
      </c>
      <c r="L469" s="23" t="s">
        <v>288</v>
      </c>
      <c r="N469" s="131"/>
    </row>
    <row r="470" spans="1:14" ht="12.2" customHeight="1" x14ac:dyDescent="0.2">
      <c r="A470" s="71" t="s">
        <v>611</v>
      </c>
      <c r="B470" s="22">
        <v>19</v>
      </c>
      <c r="C470" s="31">
        <v>3</v>
      </c>
      <c r="D470" s="2" t="s">
        <v>432</v>
      </c>
      <c r="E470" s="31"/>
      <c r="F470" s="18"/>
      <c r="G470" s="18"/>
      <c r="H470" s="18"/>
      <c r="I470" s="18"/>
      <c r="J470" s="18">
        <f>159358.58+1810.62</f>
        <v>161169.19999999998</v>
      </c>
      <c r="K470" s="23" t="s">
        <v>288</v>
      </c>
      <c r="L470" s="23" t="s">
        <v>288</v>
      </c>
      <c r="N470" s="131"/>
    </row>
    <row r="471" spans="1:14" ht="12.2" customHeight="1" x14ac:dyDescent="0.2">
      <c r="A471" s="32" t="s">
        <v>425</v>
      </c>
      <c r="B471" s="22">
        <v>19</v>
      </c>
      <c r="C471" s="31">
        <v>4</v>
      </c>
      <c r="D471" s="2" t="s">
        <v>432</v>
      </c>
      <c r="E471" s="31"/>
      <c r="F471" s="19">
        <f>SUM(F469:F470)</f>
        <v>18461945.020000003</v>
      </c>
      <c r="G471" s="19">
        <f>SUM(G469:G470)</f>
        <v>438469.37000000005</v>
      </c>
      <c r="H471" s="19">
        <f>SUM(H469:H470)</f>
        <v>274756.52</v>
      </c>
      <c r="I471" s="19">
        <f>SUM(I469:I470)</f>
        <v>0</v>
      </c>
      <c r="J471" s="19">
        <f>SUM(J469:J470)</f>
        <v>564095.56999999995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18524033.989999998</v>
      </c>
      <c r="G473" s="18">
        <f>L363</f>
        <v>438469.37000000005</v>
      </c>
      <c r="H473" s="18">
        <f>L353</f>
        <v>169821.96</v>
      </c>
      <c r="I473" s="18">
        <v>0</v>
      </c>
      <c r="J473" s="18">
        <f>L435</f>
        <v>429489.93</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18524033.989999998</v>
      </c>
      <c r="G475" s="19">
        <f>SUM(G473:G474)</f>
        <v>438469.37000000005</v>
      </c>
      <c r="H475" s="19">
        <f>SUM(H473:H474)</f>
        <v>169821.96</v>
      </c>
      <c r="I475" s="19">
        <f>SUM(I473:I474)</f>
        <v>0</v>
      </c>
      <c r="J475" s="19">
        <f>SUM(J473:J474)</f>
        <v>429489.93</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1363298.0900000036</v>
      </c>
      <c r="G477" s="19">
        <f>(G466+G471)- G475</f>
        <v>0</v>
      </c>
      <c r="H477" s="19">
        <f>(H466+H471)- H475</f>
        <v>288651.99</v>
      </c>
      <c r="I477" s="19">
        <f>(I466+I471)- I475</f>
        <v>0</v>
      </c>
      <c r="J477" s="19">
        <f>(J466+J471)- J475</f>
        <v>1034790.97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1813</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1789916.66</v>
      </c>
      <c r="G524" s="18">
        <v>942099.55</v>
      </c>
      <c r="H524" s="18">
        <v>963944.8</v>
      </c>
      <c r="I524" s="18">
        <v>29516.86</v>
      </c>
      <c r="J524" s="18">
        <v>6000</v>
      </c>
      <c r="K524" s="18">
        <v>210</v>
      </c>
      <c r="L524" s="69">
        <f>SUM(F524:K524)</f>
        <v>3731687.8699999996</v>
      </c>
      <c r="N524" s="131"/>
    </row>
    <row r="525" spans="1:14" ht="12.2" customHeight="1" thickTop="1" x14ac:dyDescent="0.2">
      <c r="A525" s="97" t="s">
        <v>63</v>
      </c>
      <c r="B525" s="41">
        <v>21</v>
      </c>
      <c r="C525" s="41">
        <v>4</v>
      </c>
      <c r="D525" s="115" t="s">
        <v>432</v>
      </c>
      <c r="E525" s="41"/>
      <c r="F525" s="81">
        <f>SUM(F522:F524)</f>
        <v>1789916.66</v>
      </c>
      <c r="G525" s="81">
        <f t="shared" ref="G525:L525" si="37">SUM(G522:G524)</f>
        <v>942099.55</v>
      </c>
      <c r="H525" s="81">
        <f t="shared" si="37"/>
        <v>963944.8</v>
      </c>
      <c r="I525" s="81">
        <f t="shared" si="37"/>
        <v>29516.86</v>
      </c>
      <c r="J525" s="81">
        <f t="shared" si="37"/>
        <v>6000</v>
      </c>
      <c r="K525" s="81">
        <f t="shared" si="37"/>
        <v>210</v>
      </c>
      <c r="L525" s="70">
        <f t="shared" si="37"/>
        <v>3731687.8699999996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387816</v>
      </c>
      <c r="G529" s="18">
        <v>216306.41</v>
      </c>
      <c r="H529" s="18">
        <v>144035.07</v>
      </c>
      <c r="I529" s="18">
        <v>490.9</v>
      </c>
      <c r="J529" s="18">
        <v>0</v>
      </c>
      <c r="K529" s="18">
        <v>0</v>
      </c>
      <c r="L529" s="69">
        <f>SUM(F529:K529)</f>
        <v>748648.38</v>
      </c>
      <c r="M529" s="8"/>
      <c r="N529" s="165"/>
    </row>
    <row r="530" spans="1:14" s="3" customFormat="1" ht="12.2" customHeight="1" thickTop="1" x14ac:dyDescent="0.15">
      <c r="A530" s="97" t="s">
        <v>65</v>
      </c>
      <c r="B530" s="41">
        <v>21</v>
      </c>
      <c r="C530" s="41">
        <v>8</v>
      </c>
      <c r="D530" s="115" t="s">
        <v>432</v>
      </c>
      <c r="E530" s="41"/>
      <c r="F530" s="70">
        <f>SUM(F527:F529)</f>
        <v>387816</v>
      </c>
      <c r="G530" s="70">
        <f t="shared" ref="G530:L530" si="38">SUM(G527:G529)</f>
        <v>216306.41</v>
      </c>
      <c r="H530" s="70">
        <f t="shared" si="38"/>
        <v>144035.07</v>
      </c>
      <c r="I530" s="70">
        <f t="shared" si="38"/>
        <v>490.9</v>
      </c>
      <c r="J530" s="70">
        <f t="shared" si="38"/>
        <v>0</v>
      </c>
      <c r="K530" s="70">
        <f t="shared" si="38"/>
        <v>0</v>
      </c>
      <c r="L530" s="70">
        <f t="shared" si="38"/>
        <v>748648.38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153398.72</v>
      </c>
      <c r="G534" s="18">
        <v>72685.48</v>
      </c>
      <c r="H534" s="18">
        <v>8473.2800000000007</v>
      </c>
      <c r="I534" s="18">
        <v>1666.58</v>
      </c>
      <c r="J534" s="18"/>
      <c r="K534" s="18"/>
      <c r="L534" s="69">
        <f>SUM(F534:K534)</f>
        <v>236224.06</v>
      </c>
      <c r="M534" s="8"/>
      <c r="N534" s="165"/>
    </row>
    <row r="535" spans="1:14" s="3" customFormat="1" ht="12.2" customHeight="1" thickTop="1" x14ac:dyDescent="0.15">
      <c r="A535" s="97" t="s">
        <v>67</v>
      </c>
      <c r="B535" s="41">
        <v>21</v>
      </c>
      <c r="C535" s="41">
        <v>12</v>
      </c>
      <c r="D535" s="115" t="s">
        <v>432</v>
      </c>
      <c r="E535" s="41"/>
      <c r="F535" s="70">
        <f>SUM(F532:F534)</f>
        <v>153398.72</v>
      </c>
      <c r="G535" s="70">
        <f t="shared" ref="G535:L535" si="39">SUM(G532:G534)</f>
        <v>72685.48</v>
      </c>
      <c r="H535" s="70">
        <f t="shared" si="39"/>
        <v>8473.2800000000007</v>
      </c>
      <c r="I535" s="70">
        <f t="shared" si="39"/>
        <v>1666.58</v>
      </c>
      <c r="J535" s="70">
        <f t="shared" si="39"/>
        <v>0</v>
      </c>
      <c r="K535" s="70">
        <f t="shared" si="39"/>
        <v>0</v>
      </c>
      <c r="L535" s="70">
        <f t="shared" si="39"/>
        <v>236224.06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340.96</v>
      </c>
      <c r="I539" s="18"/>
      <c r="J539" s="18"/>
      <c r="K539" s="18"/>
      <c r="L539" s="69">
        <f>SUM(F539:K539)</f>
        <v>340.96</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340.96</v>
      </c>
      <c r="I540" s="70">
        <f t="shared" si="40"/>
        <v>0</v>
      </c>
      <c r="J540" s="70">
        <f t="shared" si="40"/>
        <v>0</v>
      </c>
      <c r="K540" s="70">
        <f t="shared" si="40"/>
        <v>0</v>
      </c>
      <c r="L540" s="70">
        <f t="shared" si="40"/>
        <v>340.96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v>30231.75</v>
      </c>
      <c r="G544" s="18">
        <f>430.99+4250.62+1013.62</f>
        <v>5695.23</v>
      </c>
      <c r="H544" s="18">
        <f>188926.96+39</f>
        <v>188965.96</v>
      </c>
      <c r="I544" s="18">
        <v>636.07000000000005</v>
      </c>
      <c r="J544" s="18">
        <v>41225</v>
      </c>
      <c r="K544" s="18"/>
      <c r="L544" s="69">
        <f>SUM(F544:K544)</f>
        <v>266754.01</v>
      </c>
      <c r="M544" s="8"/>
      <c r="N544" s="165"/>
    </row>
    <row r="545" spans="1:14" s="3" customFormat="1" ht="12.2" customHeight="1" thickTop="1" thickBot="1" x14ac:dyDescent="0.2">
      <c r="A545" s="93" t="s">
        <v>71</v>
      </c>
      <c r="B545" s="63">
        <v>21</v>
      </c>
      <c r="C545" s="63">
        <v>20</v>
      </c>
      <c r="D545" s="140" t="s">
        <v>432</v>
      </c>
      <c r="E545" s="63"/>
      <c r="F545" s="141">
        <f>SUM(F542:F544)</f>
        <v>30231.75</v>
      </c>
      <c r="G545" s="141">
        <f t="shared" ref="G545:L545" si="41">SUM(G542:G544)</f>
        <v>5695.23</v>
      </c>
      <c r="H545" s="141">
        <f t="shared" si="41"/>
        <v>188965.96</v>
      </c>
      <c r="I545" s="141">
        <f t="shared" si="41"/>
        <v>636.07000000000005</v>
      </c>
      <c r="J545" s="141">
        <f t="shared" si="41"/>
        <v>41225</v>
      </c>
      <c r="K545" s="141">
        <f t="shared" si="41"/>
        <v>0</v>
      </c>
      <c r="L545" s="141">
        <f t="shared" si="41"/>
        <v>266754.01</v>
      </c>
      <c r="M545" s="8"/>
      <c r="N545" s="165"/>
    </row>
    <row r="546" spans="1:14" s="3" customFormat="1" ht="12.2" customHeight="1" thickTop="1" x14ac:dyDescent="0.15">
      <c r="A546" s="75" t="s">
        <v>72</v>
      </c>
      <c r="B546" s="41">
        <v>21</v>
      </c>
      <c r="C546" s="41">
        <v>21</v>
      </c>
      <c r="D546" s="115" t="s">
        <v>432</v>
      </c>
      <c r="E546" s="41"/>
      <c r="F546" s="70">
        <f>F525+F530+F535+F540+F545</f>
        <v>2361363.1300000004</v>
      </c>
      <c r="G546" s="70">
        <f t="shared" ref="G546:L546" si="42">G525+G530+G535+G540+G545</f>
        <v>1236786.67</v>
      </c>
      <c r="H546" s="70">
        <f t="shared" si="42"/>
        <v>1305760.07</v>
      </c>
      <c r="I546" s="70">
        <f t="shared" si="42"/>
        <v>32310.410000000003</v>
      </c>
      <c r="J546" s="70">
        <f t="shared" si="42"/>
        <v>47225</v>
      </c>
      <c r="K546" s="70">
        <f t="shared" si="42"/>
        <v>210</v>
      </c>
      <c r="L546" s="70">
        <f t="shared" si="42"/>
        <v>4983655.2799999993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3731687.8699999996</v>
      </c>
      <c r="G552" s="69">
        <f>L529</f>
        <v>748648.38</v>
      </c>
      <c r="H552" s="69">
        <f>L534</f>
        <v>236224.06</v>
      </c>
      <c r="I552" s="69">
        <f>L539</f>
        <v>340.96</v>
      </c>
      <c r="J552" s="69">
        <f>L544</f>
        <v>266754.01</v>
      </c>
      <c r="K552" s="69">
        <f>SUM(F552:J552)</f>
        <v>4983655.2799999993</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3731687.8699999996</v>
      </c>
      <c r="G553" s="70">
        <f t="shared" si="43"/>
        <v>748648.38</v>
      </c>
      <c r="H553" s="70">
        <f t="shared" si="43"/>
        <v>236224.06</v>
      </c>
      <c r="I553" s="70">
        <f t="shared" si="43"/>
        <v>340.96</v>
      </c>
      <c r="J553" s="70">
        <f t="shared" si="43"/>
        <v>266754.01</v>
      </c>
      <c r="K553" s="70">
        <f t="shared" si="43"/>
        <v>4983655.2799999993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v>36455.35</v>
      </c>
      <c r="I565" s="18">
        <v>21.5</v>
      </c>
      <c r="J565" s="18"/>
      <c r="K565" s="18"/>
      <c r="L565" s="69">
        <f>SUM(F565:K565)</f>
        <v>36476.85</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36455.35</v>
      </c>
      <c r="I566" s="70">
        <f t="shared" si="45"/>
        <v>21.5</v>
      </c>
      <c r="J566" s="70">
        <f t="shared" si="45"/>
        <v>0</v>
      </c>
      <c r="K566" s="70">
        <f t="shared" si="45"/>
        <v>0</v>
      </c>
      <c r="L566" s="70">
        <f t="shared" si="45"/>
        <v>36476.85</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36455.35</v>
      </c>
      <c r="I572" s="70">
        <f t="shared" si="47"/>
        <v>21.5</v>
      </c>
      <c r="J572" s="70">
        <f t="shared" si="47"/>
        <v>0</v>
      </c>
      <c r="K572" s="70">
        <f t="shared" si="47"/>
        <v>0</v>
      </c>
      <c r="L572" s="70">
        <f t="shared" si="47"/>
        <v>36476.85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16502.72</v>
      </c>
      <c r="I576" s="69">
        <f>SUM(F576:H576)</f>
        <v>16502.72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0</v>
      </c>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0</v>
      </c>
      <c r="I580" s="69">
        <f t="shared" si="48"/>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441587.52</v>
      </c>
      <c r="I583" s="69">
        <f t="shared" si="48"/>
        <v>441587.52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473055.75</v>
      </c>
      <c r="I584" s="69">
        <f t="shared" si="48"/>
        <v>473055.75</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29923.200000000001</v>
      </c>
      <c r="I585" s="69">
        <f t="shared" si="48"/>
        <v>29923.200000000001</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v>240776.23</v>
      </c>
      <c r="K592" s="80">
        <f t="shared" ref="K592:K598" si="49">SUM(H592:J592)</f>
        <v>240776.23</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f>230151.96+35926.98+39+636.07</f>
        <v>266754.01</v>
      </c>
      <c r="K593" s="80">
        <f t="shared" si="49"/>
        <v>266754.01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34122.269999999997</v>
      </c>
      <c r="K594" s="80">
        <f t="shared" si="49"/>
        <v>34122.269999999997</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f>118472.45+1805.76</f>
        <v>120278.20999999999</v>
      </c>
      <c r="K595" s="80">
        <f t="shared" si="49"/>
        <v>120278.20999999999</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v>5458.17</v>
      </c>
      <c r="K596" s="80">
        <f t="shared" si="49"/>
        <v>5458.17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667388.89</v>
      </c>
      <c r="K599" s="81">
        <f>SUM(K592:K598)</f>
        <v>667388.89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v>339223.68</v>
      </c>
      <c r="K605" s="80">
        <f>SUM(H605:J605)</f>
        <v>339223.68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339223.68</v>
      </c>
      <c r="K606" s="81">
        <f>SUM(K603:K605)</f>
        <v>339223.68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15297.59</v>
      </c>
      <c r="G614" s="18">
        <v>4093.96</v>
      </c>
      <c r="H614" s="18"/>
      <c r="I614" s="18"/>
      <c r="J614" s="18"/>
      <c r="K614" s="18"/>
      <c r="L614" s="69">
        <f>SUM(F614:K614)</f>
        <v>19391.55</v>
      </c>
      <c r="M614" s="8"/>
      <c r="N614" s="165"/>
    </row>
    <row r="615" spans="1:14" s="3" customFormat="1" ht="12.2" customHeight="1" thickTop="1" x14ac:dyDescent="0.15">
      <c r="A615" s="75" t="s">
        <v>340</v>
      </c>
      <c r="B615" s="41">
        <v>23</v>
      </c>
      <c r="C615" s="41">
        <v>16</v>
      </c>
      <c r="D615" s="36" t="s">
        <v>432</v>
      </c>
      <c r="E615" s="41"/>
      <c r="F615" s="81">
        <f t="shared" ref="F615:L615" si="50">SUM(F612:F614)</f>
        <v>15297.59</v>
      </c>
      <c r="G615" s="81">
        <f t="shared" si="50"/>
        <v>4093.96</v>
      </c>
      <c r="H615" s="81">
        <f t="shared" si="50"/>
        <v>0</v>
      </c>
      <c r="I615" s="81">
        <f t="shared" si="50"/>
        <v>0</v>
      </c>
      <c r="J615" s="81">
        <f t="shared" si="50"/>
        <v>0</v>
      </c>
      <c r="K615" s="81">
        <f t="shared" si="50"/>
        <v>0</v>
      </c>
      <c r="L615" s="70">
        <f t="shared" si="50"/>
        <v>19391.55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1973750.0099999998</v>
      </c>
      <c r="H618" s="80">
        <f>SUM(F52)</f>
        <v>1973750.01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65184.81</v>
      </c>
      <c r="H619" s="80">
        <f>SUM(G52)</f>
        <v>65184.81</v>
      </c>
      <c r="I619" s="87" t="s">
        <v>875</v>
      </c>
      <c r="J619" s="80">
        <f>G619-H619</f>
        <v>0</v>
      </c>
      <c r="K619" s="80"/>
      <c r="L619" s="80"/>
      <c r="M619" s="8"/>
    </row>
    <row r="620" spans="1:14" s="3" customFormat="1" ht="12.2" customHeight="1" x14ac:dyDescent="0.15">
      <c r="A620" s="74"/>
      <c r="B620" s="22"/>
      <c r="C620" s="22"/>
      <c r="D620" s="22"/>
      <c r="E620" s="22"/>
      <c r="F620" s="87" t="s">
        <v>685</v>
      </c>
      <c r="G620" s="80">
        <f>SUM(H19)</f>
        <v>305330.39</v>
      </c>
      <c r="H620" s="80">
        <f>SUM(H52)</f>
        <v>305330.39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1236355.79</v>
      </c>
      <c r="H622" s="80">
        <f>SUM(J52)</f>
        <v>1236355.79</v>
      </c>
      <c r="I622" s="87" t="s">
        <v>878</v>
      </c>
      <c r="J622" s="80">
        <f>G622-H622</f>
        <v>0</v>
      </c>
      <c r="K622" s="80"/>
      <c r="L622" s="80"/>
      <c r="M622" s="8"/>
    </row>
    <row r="623" spans="1:14" s="3" customFormat="1" ht="12.2" customHeight="1" x14ac:dyDescent="0.15">
      <c r="A623" s="74"/>
      <c r="B623" s="22"/>
      <c r="C623" s="22"/>
      <c r="D623" s="22"/>
      <c r="E623" s="22"/>
      <c r="F623" s="87" t="s">
        <v>864</v>
      </c>
      <c r="G623" s="80">
        <f>F51</f>
        <v>1363298.09</v>
      </c>
      <c r="H623" s="80">
        <f>F477</f>
        <v>1363298.0900000036</v>
      </c>
      <c r="I623" s="87" t="s">
        <v>101</v>
      </c>
      <c r="J623" s="80">
        <f t="shared" ref="J623:J656" si="51">G623-H623</f>
        <v>-3.4924596548080444E-9</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866</v>
      </c>
      <c r="G625" s="80">
        <f>H51</f>
        <v>288651.99</v>
      </c>
      <c r="H625" s="80">
        <f>H477</f>
        <v>288651.99</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1034790.97</v>
      </c>
      <c r="H627" s="80">
        <f>J477</f>
        <v>1034790.97</v>
      </c>
      <c r="I627" s="87" t="s">
        <v>105</v>
      </c>
      <c r="J627" s="80">
        <f t="shared" si="51"/>
        <v>0</v>
      </c>
      <c r="K627" s="67"/>
      <c r="L627" s="69"/>
      <c r="M627" s="8"/>
    </row>
    <row r="628" spans="1:13" s="3" customFormat="1" ht="12.2" customHeight="1" x14ac:dyDescent="0.15">
      <c r="A628" s="21"/>
      <c r="B628" s="22"/>
      <c r="C628" s="22"/>
      <c r="D628" s="22"/>
      <c r="E628" s="22"/>
      <c r="F628" s="86" t="s">
        <v>658</v>
      </c>
      <c r="G628" s="80">
        <f>F194</f>
        <v>18461945.020000003</v>
      </c>
      <c r="H628" s="80">
        <f>SUM(F469)</f>
        <v>18461945.020000003</v>
      </c>
      <c r="I628" s="87" t="s">
        <v>106</v>
      </c>
      <c r="J628" s="80">
        <f>G628-H628</f>
        <v>0</v>
      </c>
      <c r="K628" s="67"/>
      <c r="L628" s="69"/>
      <c r="M628" s="8"/>
    </row>
    <row r="629" spans="1:13" s="3" customFormat="1" ht="12.2" customHeight="1" x14ac:dyDescent="0.15">
      <c r="A629" s="21"/>
      <c r="B629" s="22"/>
      <c r="C629" s="22"/>
      <c r="D629" s="22"/>
      <c r="E629" s="22"/>
      <c r="F629" s="86" t="s">
        <v>659</v>
      </c>
      <c r="G629" s="80">
        <f>G194</f>
        <v>438469.37000000005</v>
      </c>
      <c r="H629" s="80">
        <f>SUM(G469)</f>
        <v>438469.37000000005</v>
      </c>
      <c r="I629" s="87" t="s">
        <v>107</v>
      </c>
      <c r="J629" s="80">
        <f>G629-H629</f>
        <v>0</v>
      </c>
      <c r="K629" s="67"/>
      <c r="L629" s="69"/>
      <c r="M629" s="8"/>
    </row>
    <row r="630" spans="1:13" s="3" customFormat="1" ht="12.2" customHeight="1" x14ac:dyDescent="0.15">
      <c r="A630" s="21"/>
      <c r="B630" s="22"/>
      <c r="C630" s="22"/>
      <c r="D630" s="22"/>
      <c r="E630" s="22"/>
      <c r="F630" s="86" t="s">
        <v>660</v>
      </c>
      <c r="G630" s="80">
        <f>H194</f>
        <v>274756.52</v>
      </c>
      <c r="H630" s="80">
        <f>SUM(H469)</f>
        <v>274756.52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402926.37</v>
      </c>
      <c r="H632" s="80">
        <f>SUM(J469)</f>
        <v>402926.37</v>
      </c>
      <c r="I632" s="87" t="s">
        <v>110</v>
      </c>
      <c r="J632" s="80">
        <f>G632-H632</f>
        <v>0</v>
      </c>
      <c r="K632" s="67"/>
      <c r="L632" s="69"/>
      <c r="M632" s="8"/>
    </row>
    <row r="633" spans="1:13" s="3" customFormat="1" ht="12.2" customHeight="1" x14ac:dyDescent="0.15">
      <c r="A633" s="21"/>
      <c r="B633" s="22"/>
      <c r="C633" s="22"/>
      <c r="D633" s="22"/>
      <c r="E633" s="22"/>
      <c r="F633" s="86" t="s">
        <v>394</v>
      </c>
      <c r="G633" s="80">
        <f>SUM(L272)</f>
        <v>18524033.989999998</v>
      </c>
      <c r="H633" s="80">
        <f>SUM(F473)</f>
        <v>18524033.989999998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169821.96</v>
      </c>
      <c r="H634" s="80">
        <f>SUM(H473)</f>
        <v>169821.96</v>
      </c>
      <c r="I634" s="87" t="s">
        <v>112</v>
      </c>
      <c r="J634" s="80">
        <f>G634-H634</f>
        <v>0</v>
      </c>
      <c r="K634" s="67"/>
      <c r="L634" s="69"/>
      <c r="M634" s="8"/>
    </row>
    <row r="635" spans="1:13" s="124" customFormat="1" ht="12.2" customHeight="1" x14ac:dyDescent="0.15">
      <c r="A635" s="21"/>
      <c r="B635" s="22"/>
      <c r="C635" s="22"/>
      <c r="D635" s="22"/>
      <c r="E635" s="22"/>
      <c r="F635" s="99" t="s">
        <v>247</v>
      </c>
      <c r="G635" s="80">
        <f>I363</f>
        <v>182648.13</v>
      </c>
      <c r="H635" s="80">
        <f>I370</f>
        <v>182648.13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438469.37000000005</v>
      </c>
      <c r="H636" s="80">
        <f>SUM(G473)</f>
        <v>438469.37000000005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402926.37</v>
      </c>
      <c r="H638" s="108">
        <f>SUM(J469)</f>
        <v>402926.37</v>
      </c>
      <c r="I638" s="120" t="s">
        <v>110</v>
      </c>
      <c r="J638" s="108">
        <f t="shared" si="51"/>
        <v>0</v>
      </c>
      <c r="K638" s="121"/>
      <c r="L638" s="122"/>
      <c r="M638" s="8" t="s">
        <v>286</v>
      </c>
    </row>
    <row r="639" spans="1:13" s="3" customFormat="1" ht="12.2" customHeight="1" x14ac:dyDescent="0.15">
      <c r="A639" s="117"/>
      <c r="B639" s="118"/>
      <c r="C639" s="118"/>
      <c r="D639" s="118"/>
      <c r="E639" s="118"/>
      <c r="F639" s="119" t="s">
        <v>478</v>
      </c>
      <c r="G639" s="108">
        <f>SUM(L435)</f>
        <v>429489.93</v>
      </c>
      <c r="H639" s="108">
        <f>SUM(J473)</f>
        <v>429489.93</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991274.19</v>
      </c>
      <c r="H641" s="80">
        <f>SUM(G462)</f>
        <v>991274.19</v>
      </c>
      <c r="I641" s="87" t="s">
        <v>841</v>
      </c>
      <c r="J641" s="80">
        <f t="shared" si="51"/>
        <v>0</v>
      </c>
      <c r="K641" s="67"/>
      <c r="L641" s="69"/>
      <c r="M641" s="8"/>
    </row>
    <row r="642" spans="1:13" s="3" customFormat="1" ht="12.2" customHeight="1" x14ac:dyDescent="0.15">
      <c r="A642" s="21"/>
      <c r="B642" s="22"/>
      <c r="C642" s="22"/>
      <c r="D642" s="22"/>
      <c r="E642" s="22"/>
      <c r="F642" s="86" t="s">
        <v>120</v>
      </c>
      <c r="G642" s="80">
        <f>SUM(H447)</f>
        <v>245081.59999999998</v>
      </c>
      <c r="H642" s="80">
        <f>SUM(H462)</f>
        <v>245081.59999999998</v>
      </c>
      <c r="I642" s="87" t="s">
        <v>842</v>
      </c>
      <c r="J642" s="80">
        <f t="shared" si="51"/>
        <v>0</v>
      </c>
      <c r="K642" s="67"/>
      <c r="L642" s="69"/>
      <c r="M642" s="8"/>
    </row>
    <row r="643" spans="1:13" s="3" customFormat="1" ht="12.2" customHeight="1" x14ac:dyDescent="0.15">
      <c r="A643" s="21"/>
      <c r="B643" s="22"/>
      <c r="C643" s="22"/>
      <c r="D643" s="22"/>
      <c r="E643" s="22"/>
      <c r="F643" s="86" t="s">
        <v>121</v>
      </c>
      <c r="G643" s="80">
        <f>SUM(I447)</f>
        <v>1236355.79</v>
      </c>
      <c r="H643" s="80">
        <f>SUM(I462)</f>
        <v>1236355.79</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38875.96</v>
      </c>
      <c r="H645" s="80">
        <f>H409</f>
        <v>38875.959999999992</v>
      </c>
      <c r="I645" s="87" t="s">
        <v>480</v>
      </c>
      <c r="J645" s="80">
        <f t="shared" si="51"/>
        <v>0</v>
      </c>
      <c r="K645" s="67"/>
      <c r="L645" s="69"/>
      <c r="M645" s="8"/>
    </row>
    <row r="646" spans="1:13" s="3" customFormat="1" ht="12.2" customHeight="1" x14ac:dyDescent="0.15">
      <c r="A646" s="21"/>
      <c r="B646" s="22"/>
      <c r="C646" s="22"/>
      <c r="D646" s="22"/>
      <c r="E646" s="22"/>
      <c r="F646" s="86" t="s">
        <v>664</v>
      </c>
      <c r="G646" s="80">
        <f>J184</f>
        <v>56500</v>
      </c>
      <c r="H646" s="80">
        <f>G409</f>
        <v>56500</v>
      </c>
      <c r="I646" s="87" t="s">
        <v>481</v>
      </c>
      <c r="J646" s="80">
        <f t="shared" si="51"/>
        <v>0</v>
      </c>
      <c r="K646" s="67"/>
      <c r="L646" s="69"/>
      <c r="M646" s="8"/>
    </row>
    <row r="647" spans="1:13" s="3" customFormat="1" ht="12.2" customHeight="1" x14ac:dyDescent="0.15">
      <c r="A647" s="21"/>
      <c r="B647" s="22"/>
      <c r="C647" s="22"/>
      <c r="D647" s="22"/>
      <c r="E647" s="22"/>
      <c r="F647" s="86" t="s">
        <v>662</v>
      </c>
      <c r="G647" s="80">
        <f>J194</f>
        <v>402926.37</v>
      </c>
      <c r="H647" s="80">
        <f>L409</f>
        <v>402926.37</v>
      </c>
      <c r="I647" s="87" t="s">
        <v>477</v>
      </c>
      <c r="J647" s="80">
        <f t="shared" si="51"/>
        <v>0</v>
      </c>
      <c r="K647" s="67"/>
      <c r="L647" s="69"/>
      <c r="M647" s="8"/>
    </row>
    <row r="648" spans="1:13" s="3" customFormat="1" ht="12.2" customHeight="1" x14ac:dyDescent="0.15">
      <c r="A648" s="21"/>
      <c r="B648" s="22"/>
      <c r="C648" s="22"/>
      <c r="D648" s="22"/>
      <c r="E648" s="22"/>
      <c r="F648" s="86" t="s">
        <v>51</v>
      </c>
      <c r="G648" s="80">
        <f>K599</f>
        <v>667388.89</v>
      </c>
      <c r="H648" s="80">
        <f>L209+L227+L245</f>
        <v>667388.8899999999</v>
      </c>
      <c r="I648" s="87" t="s">
        <v>396</v>
      </c>
      <c r="J648" s="80">
        <f t="shared" si="51"/>
        <v>0</v>
      </c>
      <c r="K648" s="67"/>
      <c r="L648" s="69"/>
      <c r="M648" s="8"/>
    </row>
    <row r="649" spans="1:13" s="3" customFormat="1" ht="12.2" customHeight="1" x14ac:dyDescent="0.15">
      <c r="A649" s="21"/>
      <c r="B649" s="22"/>
      <c r="C649" s="22"/>
      <c r="D649" s="22"/>
      <c r="E649" s="22"/>
      <c r="F649" s="86" t="s">
        <v>52</v>
      </c>
      <c r="G649" s="80">
        <f>K606</f>
        <v>339223.68</v>
      </c>
      <c r="H649" s="80">
        <f>(J258+J339)-(J256+J337)</f>
        <v>339223.67999999993</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667388.8899999999</v>
      </c>
      <c r="H652" s="80">
        <f>J599</f>
        <v>667388.89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17971.150000000001</v>
      </c>
      <c r="H653" s="80">
        <f>K264+K346</f>
        <v>17971.150000000001</v>
      </c>
      <c r="I653" s="87" t="s">
        <v>397</v>
      </c>
      <c r="J653" s="80">
        <f t="shared" si="51"/>
        <v>0</v>
      </c>
      <c r="K653" s="67"/>
      <c r="L653" s="69"/>
      <c r="M653" s="8"/>
    </row>
    <row r="654" spans="1:13" s="3" customFormat="1" ht="12.2" customHeight="1" x14ac:dyDescent="0.15">
      <c r="A654" s="21"/>
      <c r="B654" s="22"/>
      <c r="C654" s="22"/>
      <c r="D654" s="22"/>
      <c r="E654" s="22"/>
      <c r="F654" s="86" t="s">
        <v>666</v>
      </c>
      <c r="G654" s="80">
        <f>H180</f>
        <v>85000</v>
      </c>
      <c r="H654" s="80">
        <f>K265</f>
        <v>85000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56500</v>
      </c>
      <c r="H656" s="80">
        <f>K267+K348</f>
        <v>56500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18967434.220000003</v>
      </c>
      <c r="I661" s="13">
        <f>SUM(F661:H661)</f>
        <v>18967434.220000003</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361660</v>
      </c>
      <c r="I662" s="13">
        <f>SUM(F662:H662)</f>
        <v>361660</v>
      </c>
      <c r="J662"/>
      <c r="K662" s="13"/>
      <c r="L662" s="13"/>
      <c r="M662" s="8"/>
    </row>
    <row r="663" spans="1:13" s="3" customFormat="1" ht="12.2" customHeight="1" x14ac:dyDescent="0.2">
      <c r="A663" s="1" t="s">
        <v>128</v>
      </c>
      <c r="F663" s="13">
        <f>(L209+L288)-(J209+J288)</f>
        <v>0</v>
      </c>
      <c r="G663" s="13">
        <f>(L227+L307)-(J227+J307)</f>
        <v>0</v>
      </c>
      <c r="H663" s="13">
        <f>(L245+L326)-(J245+J326)</f>
        <v>584938.8899999999</v>
      </c>
      <c r="I663" s="13">
        <f>SUM(F663:H663)</f>
        <v>584938.8899999999</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0</v>
      </c>
      <c r="H664" s="143">
        <f>SUM(H576:H588)+SUM(J603:J605)+L614</f>
        <v>1319684.42</v>
      </c>
      <c r="I664" s="13">
        <f>SUM(F664:H664)</f>
        <v>1319684.42</v>
      </c>
      <c r="J664" s="13"/>
      <c r="K664" s="13"/>
      <c r="L664" s="13"/>
      <c r="M664" s="9"/>
    </row>
    <row r="665" spans="1:13" s="3" customFormat="1" ht="12.2" customHeight="1" x14ac:dyDescent="0.15">
      <c r="A665" s="1" t="s">
        <v>130</v>
      </c>
      <c r="F665" s="13">
        <f>F661-SUM(F662:F664)</f>
        <v>0</v>
      </c>
      <c r="G665" s="13">
        <f>G661-SUM(G662:G664)</f>
        <v>0</v>
      </c>
      <c r="H665" s="13">
        <f>H661-SUM(H662:H664)</f>
        <v>16701150.910000004</v>
      </c>
      <c r="I665" s="13">
        <f>I661-SUM(I662:I664)</f>
        <v>16701150.910000004</v>
      </c>
      <c r="J665" s="13"/>
      <c r="K665" s="13"/>
      <c r="L665" s="13"/>
      <c r="M665" s="8"/>
    </row>
    <row r="666" spans="1:13" s="3" customFormat="1" ht="12.2" customHeight="1" x14ac:dyDescent="0.2">
      <c r="A666" s="1" t="s">
        <v>131</v>
      </c>
      <c r="F666" s="183"/>
      <c r="G666" s="184"/>
      <c r="H666" s="184">
        <v>694.3</v>
      </c>
      <c r="I666" s="13">
        <f>SUM(F666:H666)</f>
        <v>694.3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24054.66</v>
      </c>
      <c r="I668" s="13">
        <f>ROUND(I665/I666,2)</f>
        <v>24054.66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-5.99</v>
      </c>
      <c r="I671" s="13">
        <f>SUM(F671:H671)</f>
        <v>-5.99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24264</v>
      </c>
      <c r="I673" s="13">
        <f>ROUND((I665+I670)/(I666+I671),2)</f>
        <v>24264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8995.27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544.59+5971.7+2478.98</f>
        <v>8995.27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Souhegan Cooperative</v>
      </c>
      <c r="C5" s="317"/>
      <c r="D5" s="317"/>
      <c r="E5" s="317"/>
      <c r="F5" s="317"/>
    </row>
    <row r="8" spans="1:9" ht="18" x14ac:dyDescent="0.25">
      <c r="A8" s="240" t="s">
        <v>1560</v>
      </c>
      <c r="F8" s="247" t="s">
        <v>1578</v>
      </c>
    </row>
    <row r="9" spans="1:9" ht="15" x14ac:dyDescent="0.2">
      <c r="A9" s="238" t="s">
        <v>1561</v>
      </c>
      <c r="B9" s="241">
        <f>'DOE25'!G97</f>
        <v>361081.49</v>
      </c>
      <c r="F9" s="238" t="s">
        <v>1574</v>
      </c>
    </row>
    <row r="10" spans="1:9" ht="15" x14ac:dyDescent="0.2">
      <c r="A10" s="238" t="s">
        <v>1562</v>
      </c>
      <c r="B10" s="241">
        <f>'DOE25'!G112-'DOE25'!G97</f>
        <v>578.51000000000931</v>
      </c>
      <c r="F10" s="238" t="s">
        <v>1575</v>
      </c>
    </row>
    <row r="11" spans="1:9" ht="15" x14ac:dyDescent="0.2">
      <c r="A11" s="238" t="s">
        <v>1563</v>
      </c>
      <c r="B11" s="241">
        <f>'DOE25'!G140</f>
        <v>2299.71</v>
      </c>
      <c r="F11" s="238" t="s">
        <v>1576</v>
      </c>
    </row>
    <row r="12" spans="1:9" ht="15" x14ac:dyDescent="0.2">
      <c r="A12" s="238" t="s">
        <v>1564</v>
      </c>
      <c r="B12" s="241">
        <f>'DOE25'!G170</f>
        <v>56538.51</v>
      </c>
      <c r="F12" s="238" t="s">
        <v>1577</v>
      </c>
    </row>
    <row r="13" spans="1:9" ht="15" x14ac:dyDescent="0.2">
      <c r="A13" s="238" t="s">
        <v>1565</v>
      </c>
      <c r="B13" s="241">
        <f>'DOE25'!G193-'DOE25'!G180</f>
        <v>0</v>
      </c>
      <c r="F13" s="238" t="s">
        <v>1587</v>
      </c>
    </row>
    <row r="14" spans="1:9" ht="18" x14ac:dyDescent="0.25">
      <c r="A14" s="240" t="s">
        <v>732</v>
      </c>
      <c r="B14" s="242">
        <f>SUM(B9:B13)</f>
        <v>420498.22000000003</v>
      </c>
    </row>
    <row r="16" spans="1:9" ht="18" x14ac:dyDescent="0.25">
      <c r="A16" s="240" t="s">
        <v>786</v>
      </c>
      <c r="F16" s="247" t="s">
        <v>1579</v>
      </c>
    </row>
    <row r="17" spans="1:6" ht="15" x14ac:dyDescent="0.2">
      <c r="A17" s="238" t="s">
        <v>1566</v>
      </c>
      <c r="B17" s="241">
        <f>'DOE25'!L363-'DOE25'!L362</f>
        <v>438469.37000000005</v>
      </c>
      <c r="F17" s="238" t="s">
        <v>1580</v>
      </c>
    </row>
    <row r="18" spans="1:6" ht="15" x14ac:dyDescent="0.2">
      <c r="A18" s="238" t="s">
        <v>1567</v>
      </c>
      <c r="B18" s="251">
        <v>0</v>
      </c>
      <c r="F18" s="247" t="s">
        <v>1604</v>
      </c>
    </row>
    <row r="19" spans="1:6" ht="18" x14ac:dyDescent="0.25">
      <c r="A19" s="240" t="s">
        <v>725</v>
      </c>
      <c r="B19" s="242">
        <f>SUM(B17:B18)</f>
        <v>438469.37000000005</v>
      </c>
    </row>
    <row r="21" spans="1:6" ht="18.75" thickBot="1" x14ac:dyDescent="0.3">
      <c r="A21" s="240" t="s">
        <v>1568</v>
      </c>
    </row>
    <row r="22" spans="1:6" ht="18.75" thickTop="1" x14ac:dyDescent="0.25">
      <c r="A22" s="240" t="s">
        <v>1569</v>
      </c>
      <c r="B22" s="246">
        <f>B14-B19</f>
        <v>-17971.150000000023</v>
      </c>
      <c r="F22" s="238" t="s">
        <v>1581</v>
      </c>
    </row>
    <row r="26" spans="1:6" ht="18" x14ac:dyDescent="0.25">
      <c r="A26" s="240" t="s">
        <v>186</v>
      </c>
    </row>
    <row r="27" spans="1:6" ht="15" x14ac:dyDescent="0.2">
      <c r="A27" s="238" t="s">
        <v>1570</v>
      </c>
      <c r="B27" s="241">
        <f>'DOE25'!G180</f>
        <v>17971.150000000001</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6555.66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Souhegan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4859662.17</v>
      </c>
      <c r="C9" s="167">
        <f>'DOE25'!G198+'DOE25'!G216+'DOE25'!G234+'DOE25'!G277+'DOE25'!G296+'DOE25'!G315</f>
        <v>2286509.5999999996</v>
      </c>
    </row>
    <row r="10" spans="1:3" x14ac:dyDescent="0.2">
      <c r="A10" t="s">
        <v>775</v>
      </c>
      <c r="B10" s="177">
        <f>4689.48+4777415.87-1100-1100-150+300-29.3</f>
        <v>4780026.0500000007</v>
      </c>
      <c r="C10" s="177">
        <v>2249040.17</v>
      </c>
    </row>
    <row r="11" spans="1:3" x14ac:dyDescent="0.2">
      <c r="A11" t="s">
        <v>776</v>
      </c>
      <c r="B11" s="177">
        <f>87436.12-1000-1000-1000-1200-1200-1200-1200</f>
        <v>79636.12</v>
      </c>
      <c r="C11" s="177">
        <v>37469.43</v>
      </c>
    </row>
    <row r="12" spans="1:3" x14ac:dyDescent="0.2">
      <c r="A12" t="s">
        <v>777</v>
      </c>
      <c r="B12" s="177">
        <v>0</v>
      </c>
      <c r="C12" s="177"/>
    </row>
    <row r="13" spans="1:3" x14ac:dyDescent="0.2">
      <c r="A13" t="str">
        <f>IF(B9=B13,IF(C9=C13,"Check Total OK","Check Total Error"),"Check Total Error")</f>
        <v>Check Total OK</v>
      </c>
      <c r="B13" s="169">
        <f>SUM(B10:B12)</f>
        <v>4859662.1700000009</v>
      </c>
      <c r="C13" s="169">
        <f>SUM(C10:C12)</f>
        <v>2286509.6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1789916.6600000001</v>
      </c>
      <c r="C18" s="167">
        <f>'DOE25'!G199+'DOE25'!G217+'DOE25'!G235+'DOE25'!G278+'DOE25'!G297+'DOE25'!G316</f>
        <v>942099.55</v>
      </c>
    </row>
    <row r="19" spans="1:3" x14ac:dyDescent="0.2">
      <c r="A19" t="s">
        <v>775</v>
      </c>
      <c r="B19" s="177">
        <f>777838.69+2661.1</f>
        <v>780499.78999999992</v>
      </c>
      <c r="C19" s="177">
        <v>410806</v>
      </c>
    </row>
    <row r="20" spans="1:3" x14ac:dyDescent="0.2">
      <c r="A20" t="s">
        <v>776</v>
      </c>
      <c r="B20" s="177">
        <f>1004801.95+1200+1000+1000-2291.71-1877.76+31.02+5553.37</f>
        <v>1009416.87</v>
      </c>
      <c r="C20" s="177">
        <v>531293.55000000005</v>
      </c>
    </row>
    <row r="21" spans="1:3" x14ac:dyDescent="0.2">
      <c r="A21" t="s">
        <v>777</v>
      </c>
      <c r="B21" s="177"/>
      <c r="C21" s="177"/>
    </row>
    <row r="22" spans="1:3" x14ac:dyDescent="0.2">
      <c r="A22" t="str">
        <f>IF(B18=B22,IF(C18=C22,"Check Total OK","Check Total Error"),"Check Total Error")</f>
        <v>Check Total OK</v>
      </c>
      <c r="B22" s="169">
        <f>SUM(B19:B21)</f>
        <v>1789916.66</v>
      </c>
      <c r="C22" s="169">
        <f>SUM(C19:C21)</f>
        <v>942099.55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407764.33</v>
      </c>
      <c r="C36" s="173">
        <f>'DOE25'!G201+'DOE25'!G219+'DOE25'!G237+'DOE25'!G280+'DOE25'!G299+'DOE25'!G318</f>
        <v>112243.58</v>
      </c>
    </row>
    <row r="37" spans="1:3" x14ac:dyDescent="0.2">
      <c r="A37" t="s">
        <v>775</v>
      </c>
      <c r="B37" s="177">
        <f>65526.88+3950</f>
        <v>69476.88</v>
      </c>
      <c r="C37" s="177">
        <v>19124.61</v>
      </c>
    </row>
    <row r="38" spans="1:3" x14ac:dyDescent="0.2">
      <c r="A38" t="s">
        <v>776</v>
      </c>
      <c r="B38" s="177">
        <f>17806.16+528.12+4169.47</f>
        <v>22503.75</v>
      </c>
      <c r="C38" s="177">
        <v>6194.51</v>
      </c>
    </row>
    <row r="39" spans="1:3" x14ac:dyDescent="0.2">
      <c r="A39" t="s">
        <v>777</v>
      </c>
      <c r="B39" s="177">
        <f>309209.58+5074.12+1500</f>
        <v>315783.7</v>
      </c>
      <c r="C39" s="177">
        <v>86924.46</v>
      </c>
    </row>
    <row r="40" spans="1:3" x14ac:dyDescent="0.2">
      <c r="A40" t="str">
        <f>IF(B36=B40,IF(C36=C40,"Check Total OK","Check Total Error"),"Check Total Error")</f>
        <v>Check Total OK</v>
      </c>
      <c r="B40" s="169">
        <f>SUM(B37:B39)</f>
        <v>407764.33</v>
      </c>
      <c r="C40" s="169">
        <f>SUM(C37:C39)</f>
        <v>112243.58000000002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Souhegan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11802546.91</v>
      </c>
      <c r="D5" s="19">
        <f>SUM('DOE25'!L198:L201)+SUM('DOE25'!L216:L219)+SUM('DOE25'!L234:L237)-F5-G5-H5</f>
        <v>11537979.279999999</v>
      </c>
      <c r="E5" s="180"/>
      <c r="F5" s="181"/>
      <c r="G5" s="19">
        <f>SUM('DOE25'!J198:J201)+SUM('DOE25'!J216:J219)+SUM('DOE25'!J234:J237)</f>
        <v>225221.47999999998</v>
      </c>
      <c r="H5" s="19">
        <f>SUM('DOE25'!K198:K201)+SUM('DOE25'!K216:K219)+SUM('DOE25'!K234:K237)</f>
        <v>39346.15</v>
      </c>
      <c r="I5" s="192"/>
    </row>
    <row r="6" spans="1:9" x14ac:dyDescent="0.2">
      <c r="A6" s="31">
        <v>2100</v>
      </c>
      <c r="B6" t="s">
        <v>796</v>
      </c>
      <c r="C6" s="206">
        <f t="shared" si="0"/>
        <v>1800505.5000000002</v>
      </c>
      <c r="D6" s="19">
        <f>'DOE25'!L203+'DOE25'!L221+'DOE25'!L239-F6-G6-H6</f>
        <v>1799893.5000000002</v>
      </c>
      <c r="E6" s="180"/>
      <c r="F6" s="181"/>
      <c r="G6" s="19">
        <f>'DOE25'!J203+'DOE25'!J221+'DOE25'!J239</f>
        <v>0</v>
      </c>
      <c r="H6" s="19">
        <f>'DOE25'!K203+'DOE25'!K221+'DOE25'!K239</f>
        <v>612</v>
      </c>
      <c r="I6" s="192"/>
    </row>
    <row r="7" spans="1:9" x14ac:dyDescent="0.2">
      <c r="A7" s="31">
        <v>2200</v>
      </c>
      <c r="B7" t="s">
        <v>820</v>
      </c>
      <c r="C7" s="206">
        <f t="shared" si="0"/>
        <v>550922.93000000005</v>
      </c>
      <c r="D7" s="19">
        <f>'DOE25'!L204+'DOE25'!L222+'DOE25'!L240-F7-G7-H7</f>
        <v>550600.93000000005</v>
      </c>
      <c r="E7" s="180"/>
      <c r="F7" s="181"/>
      <c r="G7" s="19">
        <f>'DOE25'!J204+'DOE25'!J222+'DOE25'!J240</f>
        <v>0</v>
      </c>
      <c r="H7" s="19">
        <f>'DOE25'!K204+'DOE25'!K222+'DOE25'!K240</f>
        <v>322</v>
      </c>
      <c r="I7" s="192"/>
    </row>
    <row r="8" spans="1:9" x14ac:dyDescent="0.2">
      <c r="A8" s="31">
        <v>2300</v>
      </c>
      <c r="B8" t="s">
        <v>797</v>
      </c>
      <c r="C8" s="206">
        <f t="shared" si="0"/>
        <v>1158677.4300000002</v>
      </c>
      <c r="D8" s="180"/>
      <c r="E8" s="19">
        <f>'DOE25'!L205+'DOE25'!L223+'DOE25'!L241-F8-G8-H8-D9-D11</f>
        <v>1151861.1700000002</v>
      </c>
      <c r="F8" s="181"/>
      <c r="G8" s="19">
        <f>'DOE25'!J205+'DOE25'!J223+'DOE25'!J241</f>
        <v>0</v>
      </c>
      <c r="H8" s="19">
        <f>'DOE25'!K205+'DOE25'!K223+'DOE25'!K241</f>
        <v>6816.26</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729614.14</v>
      </c>
      <c r="D12" s="19">
        <f>'DOE25'!L206+'DOE25'!L224+'DOE25'!L242-F12-G12-H12</f>
        <v>724674.14</v>
      </c>
      <c r="E12" s="180"/>
      <c r="F12" s="181"/>
      <c r="G12" s="19">
        <f>'DOE25'!J206+'DOE25'!J224+'DOE25'!J242</f>
        <v>0</v>
      </c>
      <c r="H12" s="19">
        <f>'DOE25'!K206+'DOE25'!K224+'DOE25'!K242</f>
        <v>4940</v>
      </c>
      <c r="I12" s="192"/>
    </row>
    <row r="13" spans="1:9" x14ac:dyDescent="0.2">
      <c r="A13" s="31">
        <v>2500</v>
      </c>
      <c r="B13" t="s">
        <v>798</v>
      </c>
      <c r="C13" s="206">
        <f t="shared" si="0"/>
        <v>15505.54</v>
      </c>
      <c r="D13" s="180"/>
      <c r="E13" s="19">
        <f>'DOE25'!L207+'DOE25'!L225+'DOE25'!L243-F13-G13-H13</f>
        <v>15505.54</v>
      </c>
      <c r="F13" s="181"/>
      <c r="G13" s="19">
        <f>'DOE25'!J207+'DOE25'!J225+'DOE25'!J243</f>
        <v>0</v>
      </c>
      <c r="H13" s="19">
        <f>'DOE25'!K207+'DOE25'!K225+'DOE25'!K243</f>
        <v>0</v>
      </c>
      <c r="I13" s="192"/>
    </row>
    <row r="14" spans="1:9" x14ac:dyDescent="0.2">
      <c r="A14" s="31">
        <v>2600</v>
      </c>
      <c r="B14" t="s">
        <v>818</v>
      </c>
      <c r="C14" s="206">
        <f t="shared" si="0"/>
        <v>1404608.3900000001</v>
      </c>
      <c r="D14" s="19">
        <f>'DOE25'!L208+'DOE25'!L226+'DOE25'!L244-F14-G14-H14</f>
        <v>1394776.56</v>
      </c>
      <c r="E14" s="180"/>
      <c r="F14" s="181"/>
      <c r="G14" s="19">
        <f>'DOE25'!J208+'DOE25'!J226+'DOE25'!J244</f>
        <v>9831.83</v>
      </c>
      <c r="H14" s="19">
        <f>'DOE25'!K208+'DOE25'!K226+'DOE25'!K244</f>
        <v>0</v>
      </c>
      <c r="I14" s="192"/>
    </row>
    <row r="15" spans="1:9" x14ac:dyDescent="0.2">
      <c r="A15" s="31">
        <v>2700</v>
      </c>
      <c r="B15" t="s">
        <v>799</v>
      </c>
      <c r="C15" s="206">
        <f t="shared" si="0"/>
        <v>667388.8899999999</v>
      </c>
      <c r="D15" s="19">
        <f>'DOE25'!L209+'DOE25'!L227+'DOE25'!L245-F15-G15-H15</f>
        <v>584938.8899999999</v>
      </c>
      <c r="E15" s="180"/>
      <c r="F15" s="181"/>
      <c r="G15" s="19">
        <f>'DOE25'!J209+'DOE25'!J227+'DOE25'!J245</f>
        <v>82450</v>
      </c>
      <c r="H15" s="19">
        <f>'DOE25'!K209+'DOE25'!K227+'DOE25'!K245</f>
        <v>0</v>
      </c>
      <c r="I15" s="192"/>
    </row>
    <row r="16" spans="1:9" x14ac:dyDescent="0.2">
      <c r="A16" s="31">
        <v>2800</v>
      </c>
      <c r="B16" t="s">
        <v>800</v>
      </c>
      <c r="C16" s="206">
        <f t="shared" si="0"/>
        <v>229373.15999999997</v>
      </c>
      <c r="D16" s="180"/>
      <c r="E16" s="19">
        <f>'DOE25'!L210+'DOE25'!L228+'DOE25'!L246-F16-G16-H16</f>
        <v>210131.76999999996</v>
      </c>
      <c r="F16" s="181"/>
      <c r="G16" s="19">
        <f>'DOE25'!J210+'DOE25'!J228+'DOE25'!J246</f>
        <v>19241.39</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5419.95</v>
      </c>
      <c r="D22" s="180"/>
      <c r="E22" s="180"/>
      <c r="F22" s="180"/>
      <c r="G22" s="19">
        <f>'DOE25'!L256+'DOE25'!L337</f>
        <v>5419.95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271947.62000000005</v>
      </c>
      <c r="D29" s="212">
        <f>'DOE25'!L359+'DOE25'!L360+'DOE25'!L361-'DOE25'!I368-F29-G29-H29-F39</f>
        <v>271714.29000000004</v>
      </c>
      <c r="E29" s="180"/>
      <c r="F29" s="180"/>
      <c r="G29" s="19">
        <f>'DOE25'!J359+'DOE25'!J360+'DOE25'!J361</f>
        <v>0</v>
      </c>
      <c r="H29" s="19">
        <f>'DOE25'!K359+'DOE25'!K360+'DOE25'!K361</f>
        <v>233.33</v>
      </c>
      <c r="I29" s="192"/>
    </row>
    <row r="30" spans="1:9" x14ac:dyDescent="0.2">
      <c r="A30" s="31"/>
      <c r="C30" s="207"/>
      <c r="D30" s="19"/>
      <c r="F30" s="201"/>
      <c r="G30" s="19"/>
      <c r="H30" s="19"/>
      <c r="I30" s="192"/>
    </row>
    <row r="31" spans="1:9" x14ac:dyDescent="0.2">
      <c r="A31" s="31" t="s">
        <v>817</v>
      </c>
      <c r="B31" t="s">
        <v>816</v>
      </c>
      <c r="C31" s="206">
        <f>SUM(D31:I31)</f>
        <v>169821.96</v>
      </c>
      <c r="D31" s="19">
        <f>'DOE25'!L291+'DOE25'!L310+'DOE25'!L329+'DOE25'!L334+'DOE25'!L335+'DOE25'!L336-F31-G31-H31</f>
        <v>167342.97999999998</v>
      </c>
      <c r="E31" s="180"/>
      <c r="F31" s="181"/>
      <c r="G31" s="19">
        <f>'DOE25'!J291+'DOE25'!J310+'DOE25'!J329+'DOE25'!J334+'DOE25'!J335+'DOE25'!J336</f>
        <v>2478.98</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17031920.57</v>
      </c>
      <c r="E33" s="182">
        <f t="shared" si="1"/>
        <v>1377498.4800000002</v>
      </c>
      <c r="F33" s="182">
        <f t="shared" si="1"/>
        <v>0</v>
      </c>
      <c r="G33" s="182">
        <f t="shared" si="1"/>
        <v>344643.62999999995</v>
      </c>
      <c r="H33" s="182">
        <f t="shared" si="1"/>
        <v>52269.740000000005</v>
      </c>
      <c r="I33" s="182">
        <f t="shared" si="1"/>
        <v>0</v>
      </c>
    </row>
    <row r="34" spans="1:9" ht="12" thickBot="1" x14ac:dyDescent="0.25"/>
    <row r="35" spans="1:9" ht="12" thickBot="1" x14ac:dyDescent="0.25">
      <c r="B35" s="188" t="s">
        <v>830</v>
      </c>
      <c r="D35" s="189">
        <f>E33</f>
        <v>1377498.4800000002</v>
      </c>
      <c r="E35" s="185"/>
      <c r="F35" s="295" t="s">
        <v>1608</v>
      </c>
      <c r="G35" s="296"/>
      <c r="H35" s="296"/>
      <c r="I35" s="297"/>
    </row>
    <row r="36" spans="1:9" ht="12" thickTop="1" x14ac:dyDescent="0.2">
      <c r="B36" t="s">
        <v>810</v>
      </c>
      <c r="D36" s="19">
        <f>D33</f>
        <v>17031920.57</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20000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0" zoomScale="80" zoomScaleNormal="80" workbookViewId="0">
      <selection activeCell="D44" sqref="D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Souhegan Cooperative</v>
      </c>
      <c r="B2">
        <f>'DOE25'!B2</f>
        <v>493</v>
      </c>
      <c r="J2" s="224" t="s">
        <v>1808</v>
      </c>
      <c r="K2" s="309">
        <f>SUM('DOE25'!L198:L201)+SUM('DOE25'!L216:L219)+SUM('DOE25'!L234:L237)+SUM('DOE25'!L277:L280)+SUM('DOE25'!L296:L299)+SUM('DOE25'!L315:L318)</f>
        <v>11940073.609999999</v>
      </c>
      <c r="L2" s="309">
        <f>'DOE25'!L203+'DOE25'!L221+'DOE25'!L239+'DOE25'!L282+'DOE25'!L301+'DOE25'!L320</f>
        <v>1813876.6100000003</v>
      </c>
      <c r="M2" s="309">
        <f>'DOE25'!L204+'DOE25'!L222+'DOE25'!L240+'DOE25'!L283+'DOE25'!L302+'DOE25'!L321</f>
        <v>560186.9800000001</v>
      </c>
      <c r="N2" s="309">
        <f>'DOE25'!L206+'DOE25'!L224+'DOE25'!L242+'DOE25'!L285+'DOE25'!L304+'DOE25'!L323</f>
        <v>733154.14</v>
      </c>
      <c r="O2" s="309">
        <f>'Salaries-Benefits'!B10+'Salaries-Benefits'!B12+'Salaries-Benefits'!B19+'Salaries-Benefits'!B21+'Salaries-Benefits'!B28+'Salaries-Benefits'!B30+'Salaries-Benefits'!B37+'Salaries-Benefits'!B39</f>
        <v>5945786.4200000009</v>
      </c>
      <c r="P2" s="309">
        <f>'Salaries-Benefits'!B11+'Salaries-Benefits'!B20+'Salaries-Benefits'!B29+'Salaries-Benefits'!B38</f>
        <v>1111556.74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-11940073.609999999</v>
      </c>
      <c r="L3" s="311">
        <f t="shared" ref="L3:P3" si="0">L21+L33+L43-L2</f>
        <v>-1813876.6100000003</v>
      </c>
      <c r="M3" s="311">
        <f t="shared" si="0"/>
        <v>-560186.9800000001</v>
      </c>
      <c r="N3" s="311">
        <f t="shared" si="0"/>
        <v>-733154.14</v>
      </c>
      <c r="O3" s="311">
        <f t="shared" si="0"/>
        <v>-5945786.4200000009</v>
      </c>
      <c r="P3" s="311">
        <f t="shared" si="0"/>
        <v>-1111556.74</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18528964.850000001</v>
      </c>
      <c r="G36" s="229">
        <f>'DOE25'!L248+'DOE25'!L329</f>
        <v>18528964.850000001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Souhegan Coop High School</v>
      </c>
      <c r="B38" s="230">
        <f>IFERROR(VLOOKUP(A38,'School Tables'!$Y$4:$Z$100,2,FALSE),"")</f>
        <v>26860</v>
      </c>
      <c r="C38" s="223" t="str">
        <f>IFERROR(INDEX('School Tables'!$X$4:$X$100,MATCH('School Level Expenditures'!A38,'School Tables'!$Y$4:$Y$100,0)),"")</f>
        <v>Souhegan Cooperative</v>
      </c>
      <c r="D38" s="220">
        <f>'DOE25'!L248+'DOE25'!L329-'School Level Expenditures'!E38</f>
        <v>18263688.150000002</v>
      </c>
      <c r="E38" s="220">
        <f>101514.92+163761.78</f>
        <v>265276.7</v>
      </c>
      <c r="F38" s="232">
        <f t="shared" si="7"/>
        <v>18528964.850000001</v>
      </c>
      <c r="G38" s="223"/>
      <c r="H38" s="223"/>
      <c r="J38" t="str">
        <f t="shared" ref="J38:J42" si="8">A38</f>
        <v>Souhegan Coop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18263688.150000002</v>
      </c>
      <c r="E43" s="263">
        <f>SUM(E37:E42)</f>
        <v>265276.7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Souhegan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1389601.45</v>
      </c>
      <c r="D8" s="73">
        <f>'DOE25'!G9</f>
        <v>0</v>
      </c>
      <c r="E8" s="73">
        <f>'DOE25'!H9</f>
        <v>278181.99</v>
      </c>
      <c r="F8" s="73">
        <f>'DOE25'!I9</f>
        <v>0</v>
      </c>
      <c r="G8" s="73">
        <f>'DOE25'!J9</f>
        <v>244564.99</v>
      </c>
      <c r="H8" s="13">
        <f>SUM(C8:G8)</f>
        <v>1912348.43</v>
      </c>
      <c r="I8" s="90"/>
    </row>
    <row r="9" spans="1:9" x14ac:dyDescent="0.2">
      <c r="A9" s="1" t="s">
        <v>140</v>
      </c>
      <c r="B9" s="6">
        <v>110</v>
      </c>
      <c r="C9" s="73">
        <f>'DOE25'!F10</f>
        <v>331217.69</v>
      </c>
      <c r="D9" s="73">
        <f>'DOE25'!G10</f>
        <v>0</v>
      </c>
      <c r="E9" s="73">
        <f>'DOE25'!H10</f>
        <v>0</v>
      </c>
      <c r="F9" s="73">
        <f>'DOE25'!I10</f>
        <v>0</v>
      </c>
      <c r="G9" s="73">
        <f>'DOE25'!J10</f>
        <v>0</v>
      </c>
      <c r="H9" s="13">
        <f t="shared" ref="H9:H18" si="0">SUM(C9:G9)</f>
        <v>331217.69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170483.7</v>
      </c>
      <c r="D11" s="73">
        <f>'DOE25'!G12</f>
        <v>0</v>
      </c>
      <c r="E11" s="73">
        <f>'DOE25'!H12</f>
        <v>0</v>
      </c>
      <c r="F11" s="73">
        <f>'DOE25'!I12</f>
        <v>0</v>
      </c>
      <c r="G11" s="73">
        <f>'DOE25'!J12</f>
        <v>0</v>
      </c>
      <c r="H11" s="13">
        <f t="shared" si="0"/>
        <v>170483.7</v>
      </c>
      <c r="I11" s="90"/>
    </row>
    <row r="12" spans="1:9" x14ac:dyDescent="0.2">
      <c r="A12" s="1" t="s">
        <v>143</v>
      </c>
      <c r="B12" s="6">
        <v>140</v>
      </c>
      <c r="C12" s="73">
        <f>'DOE25'!F13</f>
        <v>82439.42</v>
      </c>
      <c r="D12" s="73">
        <f>'DOE25'!G13</f>
        <v>65184.81</v>
      </c>
      <c r="E12" s="73">
        <f>'DOE25'!H13</f>
        <v>27148.400000000001</v>
      </c>
      <c r="F12" s="73">
        <f>'DOE25'!I13</f>
        <v>0</v>
      </c>
      <c r="G12" s="73">
        <f>'DOE25'!J13</f>
        <v>991790.79999999993</v>
      </c>
      <c r="H12" s="13">
        <f t="shared" si="0"/>
        <v>1166563.43</v>
      </c>
      <c r="I12" s="90"/>
    </row>
    <row r="13" spans="1:9" x14ac:dyDescent="0.2">
      <c r="A13" s="1" t="s">
        <v>144</v>
      </c>
      <c r="B13" s="6">
        <v>150</v>
      </c>
      <c r="C13" s="73">
        <f>'DOE25'!F14</f>
        <v>7.75</v>
      </c>
      <c r="D13" s="73">
        <f>'DOE25'!G14</f>
        <v>0</v>
      </c>
      <c r="E13" s="73">
        <f>'DOE25'!H14</f>
        <v>0</v>
      </c>
      <c r="F13" s="73">
        <f>'DOE25'!I14</f>
        <v>0</v>
      </c>
      <c r="G13" s="73">
        <f>'DOE25'!J14</f>
        <v>0</v>
      </c>
      <c r="H13" s="13">
        <f t="shared" si="0"/>
        <v>7.75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1973750.0099999998</v>
      </c>
      <c r="D18" s="38">
        <f>SUM(D8:D17)</f>
        <v>65184.81</v>
      </c>
      <c r="E18" s="38">
        <f>SUM(E8:E17)</f>
        <v>305330.39</v>
      </c>
      <c r="F18" s="38">
        <f>SUM(F8:F17)</f>
        <v>0</v>
      </c>
      <c r="G18" s="38">
        <f>SUM(G8:G17)</f>
        <v>1236355.79</v>
      </c>
      <c r="H18" s="38">
        <f t="shared" si="0"/>
        <v>3580621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39229.769999999997</v>
      </c>
      <c r="E21" s="73">
        <f>'DOE25'!H22</f>
        <v>10073.42</v>
      </c>
      <c r="F21" s="73">
        <f>'DOE25'!I22</f>
        <v>0</v>
      </c>
      <c r="G21" s="73">
        <f>'DOE25'!J22</f>
        <v>121180.51</v>
      </c>
      <c r="H21" s="13">
        <f t="shared" ref="H21:H31" si="1">SUM(C21:G21)</f>
        <v>170483.69999999998</v>
      </c>
      <c r="I21" s="90"/>
    </row>
    <row r="22" spans="1:9" x14ac:dyDescent="0.2">
      <c r="A22" s="1" t="s">
        <v>151</v>
      </c>
      <c r="B22" s="6">
        <v>410</v>
      </c>
      <c r="C22" s="73">
        <f>'DOE25'!F23</f>
        <v>224289.66</v>
      </c>
      <c r="D22" s="73">
        <f>'DOE25'!G23</f>
        <v>0</v>
      </c>
      <c r="E22" s="73">
        <f>'DOE25'!H23</f>
        <v>0</v>
      </c>
      <c r="F22" s="73">
        <f>'DOE25'!I23</f>
        <v>0</v>
      </c>
      <c r="G22" s="73">
        <f>'DOE25'!J23</f>
        <v>80384.31</v>
      </c>
      <c r="H22" s="13">
        <f t="shared" si="1"/>
        <v>304673.96999999997</v>
      </c>
      <c r="I22" s="90"/>
    </row>
    <row r="23" spans="1:9" x14ac:dyDescent="0.2">
      <c r="A23" s="1" t="s">
        <v>152</v>
      </c>
      <c r="B23" s="6">
        <v>420</v>
      </c>
      <c r="C23" s="73">
        <f>'DOE25'!F24</f>
        <v>176243.17</v>
      </c>
      <c r="D23" s="73">
        <f>'DOE25'!G24</f>
        <v>2020.41</v>
      </c>
      <c r="E23" s="73">
        <f>'DOE25'!H24</f>
        <v>0</v>
      </c>
      <c r="F23" s="73">
        <f>'DOE25'!I24</f>
        <v>0</v>
      </c>
      <c r="G23" s="73">
        <f>'DOE25'!J24</f>
        <v>0</v>
      </c>
      <c r="H23" s="13">
        <f t="shared" si="1"/>
        <v>178263.58000000002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187022.06</v>
      </c>
      <c r="D27" s="73">
        <f>'DOE25'!G28</f>
        <v>0</v>
      </c>
      <c r="E27" s="73">
        <f>'DOE25'!H28</f>
        <v>0</v>
      </c>
      <c r="F27" s="73">
        <f>'DOE25'!I28</f>
        <v>0</v>
      </c>
      <c r="G27" s="23" t="s">
        <v>288</v>
      </c>
      <c r="H27" s="13">
        <f t="shared" si="1"/>
        <v>187022.06</v>
      </c>
      <c r="I27" s="90"/>
    </row>
    <row r="28" spans="1:9" x14ac:dyDescent="0.2">
      <c r="A28" s="1" t="s">
        <v>157</v>
      </c>
      <c r="B28" s="6">
        <v>470</v>
      </c>
      <c r="C28" s="73">
        <f>'DOE25'!F29</f>
        <v>19705.330000000002</v>
      </c>
      <c r="D28" s="73">
        <f>'DOE25'!G29</f>
        <v>0</v>
      </c>
      <c r="E28" s="73">
        <f>'DOE25'!H29</f>
        <v>0</v>
      </c>
      <c r="F28" s="73">
        <f>'DOE25'!I29</f>
        <v>0</v>
      </c>
      <c r="G28" s="23" t="s">
        <v>288</v>
      </c>
      <c r="H28" s="13">
        <f t="shared" si="1"/>
        <v>19705.330000000002</v>
      </c>
      <c r="I28" s="90"/>
    </row>
    <row r="29" spans="1:9" x14ac:dyDescent="0.2">
      <c r="A29" s="1" t="s">
        <v>158</v>
      </c>
      <c r="B29" s="6">
        <v>480</v>
      </c>
      <c r="C29" s="73">
        <f>'DOE25'!F30</f>
        <v>3191.7</v>
      </c>
      <c r="D29" s="73">
        <f>'DOE25'!G30</f>
        <v>23934.63</v>
      </c>
      <c r="E29" s="73">
        <f>'DOE25'!H30</f>
        <v>6604.98</v>
      </c>
      <c r="F29" s="73">
        <f>'DOE25'!I30</f>
        <v>0</v>
      </c>
      <c r="G29" s="23" t="s">
        <v>288</v>
      </c>
      <c r="H29" s="13">
        <f t="shared" si="1"/>
        <v>33731.31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610451.91999999993</v>
      </c>
      <c r="D31" s="38">
        <f>SUM(D21:D30)</f>
        <v>65184.81</v>
      </c>
      <c r="E31" s="38">
        <f>SUM(E21:E30)</f>
        <v>16678.400000000001</v>
      </c>
      <c r="F31" s="38">
        <f>SUM(F21:F30)</f>
        <v>0</v>
      </c>
      <c r="G31" s="38">
        <f>SUM(G21:G30)</f>
        <v>201564.82</v>
      </c>
      <c r="H31" s="38">
        <f t="shared" si="1"/>
        <v>893879.95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315000</v>
      </c>
      <c r="D43" s="73">
        <f>'DOE25'!G44</f>
        <v>0</v>
      </c>
      <c r="E43" s="73">
        <f>'DOE25'!H44</f>
        <v>0</v>
      </c>
      <c r="F43" s="73">
        <f>'DOE25'!I44</f>
        <v>0</v>
      </c>
      <c r="G43" s="23" t="s">
        <v>288</v>
      </c>
      <c r="H43" s="13">
        <f t="shared" si="2"/>
        <v>315000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288651.99</v>
      </c>
      <c r="F47" s="73">
        <f>'DOE25'!I48</f>
        <v>0</v>
      </c>
      <c r="G47" s="73">
        <f>'DOE25'!J48</f>
        <v>1034790.97</v>
      </c>
      <c r="H47" s="13">
        <f t="shared" si="2"/>
        <v>1323442.96</v>
      </c>
      <c r="I47" s="90"/>
    </row>
    <row r="48" spans="1:9" x14ac:dyDescent="0.2">
      <c r="A48" s="1" t="s">
        <v>881</v>
      </c>
      <c r="B48" s="6">
        <v>753</v>
      </c>
      <c r="C48" s="73">
        <f>'DOE25'!F49</f>
        <v>106799.89</v>
      </c>
      <c r="D48" s="73">
        <f>'DOE25'!G49</f>
        <v>0</v>
      </c>
      <c r="E48" s="73">
        <f>'DOE25'!H49</f>
        <v>0</v>
      </c>
      <c r="F48" s="73">
        <f>'DOE25'!I49</f>
        <v>0</v>
      </c>
      <c r="G48" s="73">
        <f>'DOE25'!J49</f>
        <v>0</v>
      </c>
      <c r="H48" s="13">
        <f t="shared" si="2"/>
        <v>106799.89</v>
      </c>
      <c r="I48" s="90"/>
    </row>
    <row r="49" spans="1:9" ht="12" thickBot="1" x14ac:dyDescent="0.25">
      <c r="A49" s="28" t="s">
        <v>882</v>
      </c>
      <c r="B49" s="56">
        <v>770</v>
      </c>
      <c r="C49" s="73">
        <f>'DOE25'!F50</f>
        <v>941498.20000000007</v>
      </c>
      <c r="D49" s="23" t="s">
        <v>288</v>
      </c>
      <c r="E49" s="23" t="s">
        <v>288</v>
      </c>
      <c r="F49" s="23" t="s">
        <v>288</v>
      </c>
      <c r="G49" s="23" t="s">
        <v>288</v>
      </c>
      <c r="H49" s="13">
        <f t="shared" si="2"/>
        <v>941498.20000000007</v>
      </c>
      <c r="I49" s="90"/>
    </row>
    <row r="50" spans="1:9" ht="12.75" thickTop="1" thickBot="1" x14ac:dyDescent="0.25">
      <c r="A50" s="35" t="s">
        <v>883</v>
      </c>
      <c r="B50" s="44"/>
      <c r="C50" s="38">
        <f>SUM(C34:C49)</f>
        <v>1363298.09</v>
      </c>
      <c r="D50" s="38">
        <f>SUM(D34:D49)</f>
        <v>0</v>
      </c>
      <c r="E50" s="38">
        <f>SUM(E34:E49)</f>
        <v>288651.99</v>
      </c>
      <c r="F50" s="38">
        <f>SUM(F34:F49)</f>
        <v>0</v>
      </c>
      <c r="G50" s="38">
        <f>SUM(G34:G49)</f>
        <v>1034790.97</v>
      </c>
      <c r="H50" s="38">
        <f t="shared" si="2"/>
        <v>2686741.05</v>
      </c>
      <c r="I50" s="90"/>
    </row>
    <row r="51" spans="1:9" ht="12" thickTop="1" x14ac:dyDescent="0.2">
      <c r="A51" s="35" t="s">
        <v>884</v>
      </c>
      <c r="B51" s="2"/>
      <c r="C51" s="38">
        <f>C50+C31</f>
        <v>1973750.01</v>
      </c>
      <c r="D51" s="38">
        <f>D50+D31</f>
        <v>65184.81</v>
      </c>
      <c r="E51" s="38">
        <f>E50+E31</f>
        <v>305330.39</v>
      </c>
      <c r="F51" s="38">
        <f>F50+F31</f>
        <v>0</v>
      </c>
      <c r="G51" s="38">
        <f>G50+G31</f>
        <v>1236355.79</v>
      </c>
      <c r="H51" s="38">
        <f t="shared" si="2"/>
        <v>3580621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14621617</v>
      </c>
      <c r="D56" s="73">
        <f>'DOE25'!G60</f>
        <v>0</v>
      </c>
      <c r="E56" s="73">
        <f>'DOE25'!H60</f>
        <v>0</v>
      </c>
      <c r="F56" s="73">
        <f>'DOE25'!I60</f>
        <v>0</v>
      </c>
      <c r="G56" s="73">
        <f>'DOE25'!J60</f>
        <v>0</v>
      </c>
      <c r="H56" s="13">
        <f t="shared" ref="H56:H63" si="3">SUM(C56:G56)</f>
        <v>14621617</v>
      </c>
      <c r="I56"/>
    </row>
    <row r="57" spans="1:9" x14ac:dyDescent="0.2">
      <c r="A57" s="1" t="s">
        <v>164</v>
      </c>
      <c r="B57" s="6" t="s">
        <v>165</v>
      </c>
      <c r="C57" s="73">
        <f>'DOE25'!F79</f>
        <v>57409.07</v>
      </c>
      <c r="D57" s="23" t="s">
        <v>288</v>
      </c>
      <c r="E57" s="73">
        <f>'DOE25'!H79</f>
        <v>0</v>
      </c>
      <c r="F57" s="23" t="s">
        <v>288</v>
      </c>
      <c r="G57" s="23" t="s">
        <v>288</v>
      </c>
      <c r="H57" s="13">
        <f t="shared" si="3"/>
        <v>57409.07</v>
      </c>
      <c r="I57"/>
    </row>
    <row r="58" spans="1:9" x14ac:dyDescent="0.2">
      <c r="A58" s="1" t="s">
        <v>166</v>
      </c>
      <c r="B58" s="6" t="s">
        <v>167</v>
      </c>
      <c r="C58" s="73">
        <f>'DOE25'!F94</f>
        <v>97.81</v>
      </c>
      <c r="D58" s="23" t="s">
        <v>288</v>
      </c>
      <c r="E58" s="73">
        <f>'DOE25'!H94</f>
        <v>0</v>
      </c>
      <c r="F58" s="23" t="s">
        <v>288</v>
      </c>
      <c r="G58" s="23" t="s">
        <v>288</v>
      </c>
      <c r="H58" s="13">
        <f t="shared" si="3"/>
        <v>97.81</v>
      </c>
      <c r="I58"/>
    </row>
    <row r="59" spans="1:9" x14ac:dyDescent="0.2">
      <c r="A59" s="1" t="s">
        <v>168</v>
      </c>
      <c r="B59" s="6" t="s">
        <v>169</v>
      </c>
      <c r="C59" s="73">
        <f>'DOE25'!F96</f>
        <v>42592.14</v>
      </c>
      <c r="D59" s="73">
        <f>'DOE25'!G96</f>
        <v>0</v>
      </c>
      <c r="E59" s="73">
        <f>'DOE25'!H96</f>
        <v>3342.56</v>
      </c>
      <c r="F59" s="73">
        <f>'DOE25'!I96</f>
        <v>0</v>
      </c>
      <c r="G59" s="73">
        <f>'DOE25'!J96</f>
        <v>38875.96</v>
      </c>
      <c r="H59" s="13">
        <f t="shared" si="3"/>
        <v>84810.66</v>
      </c>
      <c r="I59"/>
    </row>
    <row r="60" spans="1:9" x14ac:dyDescent="0.2">
      <c r="A60" s="1" t="s">
        <v>170</v>
      </c>
      <c r="B60" s="22" t="s">
        <v>171</v>
      </c>
      <c r="C60" s="23" t="s">
        <v>288</v>
      </c>
      <c r="D60" s="73">
        <f>'DOE25'!G97</f>
        <v>361081.49</v>
      </c>
      <c r="E60" s="23" t="s">
        <v>288</v>
      </c>
      <c r="F60" s="23" t="s">
        <v>288</v>
      </c>
      <c r="G60" s="23" t="s">
        <v>288</v>
      </c>
      <c r="H60" s="13">
        <f t="shared" si="3"/>
        <v>361081.49</v>
      </c>
      <c r="I60"/>
    </row>
    <row r="61" spans="1:9" ht="12" thickBot="1" x14ac:dyDescent="0.25">
      <c r="A61" s="1" t="s">
        <v>172</v>
      </c>
      <c r="B61" s="22" t="s">
        <v>173</v>
      </c>
      <c r="C61" s="73">
        <f>SUM('DOE25'!F98:F110)</f>
        <v>109242.19</v>
      </c>
      <c r="D61" s="73">
        <f>SUM('DOE25'!G98:G110)</f>
        <v>578.51</v>
      </c>
      <c r="E61" s="73">
        <f>SUM('DOE25'!H98:H110)</f>
        <v>22652.18</v>
      </c>
      <c r="F61" s="73">
        <f>SUM('DOE25'!I98:I110)</f>
        <v>0</v>
      </c>
      <c r="G61" s="73">
        <f>SUM('DOE25'!J98:J110)</f>
        <v>307550.40999999997</v>
      </c>
      <c r="H61" s="13">
        <f t="shared" si="3"/>
        <v>440023.29</v>
      </c>
      <c r="I61"/>
    </row>
    <row r="62" spans="1:9" ht="12.75" thickTop="1" thickBot="1" x14ac:dyDescent="0.25">
      <c r="A62" s="28" t="s">
        <v>174</v>
      </c>
      <c r="B62" s="6"/>
      <c r="C62" s="93">
        <f>SUM(C57:C61)</f>
        <v>209341.21</v>
      </c>
      <c r="D62" s="93">
        <f>SUM(D57:D61)</f>
        <v>361660</v>
      </c>
      <c r="E62" s="93">
        <f>SUM(E57:E61)</f>
        <v>25994.74</v>
      </c>
      <c r="F62" s="93">
        <f>SUM(F57:F61)</f>
        <v>0</v>
      </c>
      <c r="G62" s="93">
        <f>SUM(G57:G61)</f>
        <v>346426.37</v>
      </c>
      <c r="H62" s="13">
        <f t="shared" si="3"/>
        <v>943422.32</v>
      </c>
      <c r="I62"/>
    </row>
    <row r="63" spans="1:9" ht="12" thickTop="1" x14ac:dyDescent="0.2">
      <c r="A63" s="28" t="s">
        <v>175</v>
      </c>
      <c r="B63" s="6"/>
      <c r="C63" s="21">
        <f>C56+C62</f>
        <v>14830958.210000001</v>
      </c>
      <c r="D63" s="21">
        <f>D56+D62</f>
        <v>361660</v>
      </c>
      <c r="E63" s="21">
        <f>E56+E62</f>
        <v>25994.74</v>
      </c>
      <c r="F63" s="21">
        <f>F56+F62</f>
        <v>0</v>
      </c>
      <c r="G63" s="21">
        <f>G56+G62</f>
        <v>346426.37</v>
      </c>
      <c r="H63" s="13">
        <f t="shared" si="3"/>
        <v>15565039.32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1978939.49</v>
      </c>
      <c r="D66" s="23" t="s">
        <v>288</v>
      </c>
      <c r="E66" s="23" t="s">
        <v>288</v>
      </c>
      <c r="F66" s="23" t="s">
        <v>288</v>
      </c>
      <c r="G66" s="23" t="s">
        <v>288</v>
      </c>
      <c r="H66" s="13">
        <f t="shared" ref="H66:H81" si="4">SUM(C66:G66)</f>
        <v>1978939.49</v>
      </c>
      <c r="I66"/>
    </row>
    <row r="67" spans="1:9" x14ac:dyDescent="0.2">
      <c r="A67" s="1" t="s">
        <v>770</v>
      </c>
      <c r="B67" s="6">
        <v>3112</v>
      </c>
      <c r="C67" s="73">
        <f>'DOE25'!F118</f>
        <v>969743</v>
      </c>
      <c r="D67" s="23"/>
      <c r="E67" s="23"/>
      <c r="F67" s="23"/>
      <c r="G67" s="23"/>
      <c r="H67" s="13">
        <f t="shared" si="4"/>
        <v>969743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104715.71</v>
      </c>
      <c r="D69" s="73">
        <f>'DOE25'!G120</f>
        <v>0</v>
      </c>
      <c r="E69" s="73">
        <f>'DOE25'!H120</f>
        <v>0</v>
      </c>
      <c r="F69" s="73">
        <f>'DOE25'!I120</f>
        <v>0</v>
      </c>
      <c r="G69" s="73">
        <f>'DOE25'!J120</f>
        <v>0</v>
      </c>
      <c r="H69" s="13">
        <f t="shared" si="4"/>
        <v>104715.71</v>
      </c>
      <c r="I69"/>
    </row>
    <row r="70" spans="1:9" ht="12" thickTop="1" x14ac:dyDescent="0.2">
      <c r="A70" s="28" t="s">
        <v>252</v>
      </c>
      <c r="B70" s="2"/>
      <c r="C70" s="97">
        <f>SUM(C66:C69)</f>
        <v>3053398.2</v>
      </c>
      <c r="D70" s="97">
        <f>D69</f>
        <v>0</v>
      </c>
      <c r="E70" s="97">
        <f>E69</f>
        <v>0</v>
      </c>
      <c r="F70" s="97">
        <f>F69</f>
        <v>0</v>
      </c>
      <c r="G70" s="97">
        <f>G69</f>
        <v>0</v>
      </c>
      <c r="H70" s="13">
        <f t="shared" si="4"/>
        <v>3053398.2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471062.99</v>
      </c>
      <c r="D75" s="23" t="s">
        <v>288</v>
      </c>
      <c r="E75" s="23" t="s">
        <v>288</v>
      </c>
      <c r="F75" s="23" t="s">
        <v>288</v>
      </c>
      <c r="G75" s="23" t="s">
        <v>288</v>
      </c>
      <c r="H75" s="13">
        <f t="shared" si="4"/>
        <v>471062.99</v>
      </c>
      <c r="I75"/>
    </row>
    <row r="76" spans="1:9" x14ac:dyDescent="0.2">
      <c r="A76" s="1" t="s">
        <v>257</v>
      </c>
      <c r="B76" s="6" t="s">
        <v>179</v>
      </c>
      <c r="C76" s="73">
        <f>SUM('DOE25'!F127:F130)</f>
        <v>5010.7</v>
      </c>
      <c r="D76" s="23" t="s">
        <v>288</v>
      </c>
      <c r="E76" s="73">
        <f>SUM('DOE25'!H127:H130)</f>
        <v>0</v>
      </c>
      <c r="F76" s="73">
        <f>SUM('DOE25'!I127:I130)</f>
        <v>0</v>
      </c>
      <c r="G76" s="23" t="s">
        <v>288</v>
      </c>
      <c r="H76" s="13">
        <f t="shared" si="4"/>
        <v>5010.7</v>
      </c>
      <c r="I76"/>
    </row>
    <row r="77" spans="1:9" ht="12" thickBot="1" x14ac:dyDescent="0.25">
      <c r="A77" s="1" t="s">
        <v>258</v>
      </c>
      <c r="B77" s="6" t="s">
        <v>180</v>
      </c>
      <c r="C77" s="73">
        <f>SUM('DOE25'!F131:F135)</f>
        <v>0</v>
      </c>
      <c r="D77" s="73">
        <f>SUM('DOE25'!G131:G135)</f>
        <v>2299.71</v>
      </c>
      <c r="E77" s="73">
        <f>SUM('DOE25'!H131:H135)</f>
        <v>0</v>
      </c>
      <c r="F77" s="73">
        <f>SUM('DOE25'!I131:I135)</f>
        <v>0</v>
      </c>
      <c r="G77" s="73">
        <f>SUM('DOE25'!J131:J135)</f>
        <v>0</v>
      </c>
      <c r="H77" s="13">
        <f t="shared" si="4"/>
        <v>2299.71</v>
      </c>
      <c r="I77"/>
    </row>
    <row r="78" spans="1:9" ht="12.75" thickTop="1" thickBot="1" x14ac:dyDescent="0.25">
      <c r="A78" s="28" t="s">
        <v>259</v>
      </c>
      <c r="B78" s="6"/>
      <c r="C78" s="93">
        <f>SUM(C72:C77)</f>
        <v>476073.69</v>
      </c>
      <c r="D78" s="93">
        <f>SUM(D72:D77)</f>
        <v>2299.71</v>
      </c>
      <c r="E78" s="93">
        <f>SUM(E72:E77)</f>
        <v>0</v>
      </c>
      <c r="F78" s="93">
        <f>SUM(F72:F77)</f>
        <v>0</v>
      </c>
      <c r="G78" s="93">
        <f>SUM(G72:G77)</f>
        <v>0</v>
      </c>
      <c r="H78" s="13">
        <f t="shared" si="4"/>
        <v>478373.4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3529471.89</v>
      </c>
      <c r="D81" s="93">
        <f>SUM(D79:D80)+D78+D70</f>
        <v>2299.71</v>
      </c>
      <c r="E81" s="93">
        <f>SUM(E79:E80)+E78+E70</f>
        <v>0</v>
      </c>
      <c r="F81" s="93">
        <f>SUM(F79:F80)+F78+F70</f>
        <v>0</v>
      </c>
      <c r="G81" s="93">
        <f>SUM(G79:G80)+G78+G70</f>
        <v>0</v>
      </c>
      <c r="H81" s="93">
        <f t="shared" si="4"/>
        <v>3531771.6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101514.92</v>
      </c>
      <c r="D88" s="253">
        <f>SUM('DOE25'!G153:G162)</f>
        <v>56538.51</v>
      </c>
      <c r="E88" s="253">
        <f>SUM('DOE25'!H153:H162)</f>
        <v>163761.78</v>
      </c>
      <c r="F88" s="253">
        <f>SUM('DOE25'!I153:I162)</f>
        <v>0</v>
      </c>
      <c r="G88" s="23" t="s">
        <v>288</v>
      </c>
      <c r="H88" s="13">
        <f t="shared" si="5"/>
        <v>321815.20999999996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101514.92</v>
      </c>
      <c r="D91" s="94">
        <f>SUM(D85:D90)</f>
        <v>56538.51</v>
      </c>
      <c r="E91" s="94">
        <f>SUM(E85:E90)</f>
        <v>163761.78</v>
      </c>
      <c r="F91" s="94">
        <f>SUM(F85:F90)</f>
        <v>0</v>
      </c>
      <c r="G91" s="23" t="s">
        <v>288</v>
      </c>
      <c r="H91" s="13">
        <f t="shared" si="5"/>
        <v>321815.20999999996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17971.150000000001</v>
      </c>
      <c r="E96" s="73">
        <f>'DOE25'!H180</f>
        <v>85000</v>
      </c>
      <c r="F96" s="73">
        <f>'DOE25'!I180</f>
        <v>0</v>
      </c>
      <c r="G96" s="73">
        <f>'DOE25'!J180</f>
        <v>56500</v>
      </c>
      <c r="H96" s="13">
        <f t="shared" si="5"/>
        <v>159471.15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17971.150000000001</v>
      </c>
      <c r="E103" s="68">
        <f>SUM(E93:E102)</f>
        <v>85000</v>
      </c>
      <c r="F103" s="68">
        <f>SUM(F93:F102)</f>
        <v>0</v>
      </c>
      <c r="G103" s="68">
        <f>SUM(G93:G102)</f>
        <v>56500</v>
      </c>
      <c r="H103" s="68">
        <f t="shared" si="5"/>
        <v>159471.15</v>
      </c>
    </row>
    <row r="104" spans="1:8" ht="12.75" thickTop="1" thickBot="1" x14ac:dyDescent="0.25">
      <c r="A104" s="32" t="s">
        <v>761</v>
      </c>
      <c r="C104" s="68">
        <f>C63+C81+C91+C103</f>
        <v>18461945.020000003</v>
      </c>
      <c r="D104" s="68">
        <f>D63+D81+D91+D103</f>
        <v>438469.37000000005</v>
      </c>
      <c r="E104" s="68">
        <f>E63+E81+E91+E103</f>
        <v>274756.52</v>
      </c>
      <c r="F104" s="68">
        <f>F63+F81+F91+F103</f>
        <v>0</v>
      </c>
      <c r="G104" s="68">
        <f>G63+G81+G103</f>
        <v>402926.37</v>
      </c>
      <c r="H104" s="68">
        <f t="shared" si="5"/>
        <v>19578097.280000005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7439802.0900000008</v>
      </c>
      <c r="D109" s="23" t="s">
        <v>288</v>
      </c>
      <c r="E109" s="73">
        <f>('DOE25'!L277)+('DOE25'!L296)+('DOE25'!L315)</f>
        <v>40280.49</v>
      </c>
      <c r="F109" s="23" t="s">
        <v>288</v>
      </c>
      <c r="G109" s="23" t="s">
        <v>288</v>
      </c>
      <c r="H109" s="13">
        <f t="shared" ref="H109:H115" si="6">SUM(C109:G109)</f>
        <v>7480082.580000001</v>
      </c>
    </row>
    <row r="110" spans="1:8" x14ac:dyDescent="0.2">
      <c r="A110" t="s">
        <v>198</v>
      </c>
      <c r="B110" s="31" t="s">
        <v>199</v>
      </c>
      <c r="C110" s="73">
        <f>('DOE25'!L199)+('DOE25'!L217)+('DOE25'!L235)</f>
        <v>3634441.6599999997</v>
      </c>
      <c r="D110" s="23" t="s">
        <v>288</v>
      </c>
      <c r="E110" s="73">
        <f>('DOE25'!L278)+('DOE25'!L297)+('DOE25'!L316)</f>
        <v>97246.21</v>
      </c>
      <c r="F110" s="23" t="s">
        <v>288</v>
      </c>
      <c r="G110" s="23" t="s">
        <v>288</v>
      </c>
      <c r="H110" s="13">
        <f t="shared" si="6"/>
        <v>3731687.8699999996</v>
      </c>
    </row>
    <row r="111" spans="1:8" x14ac:dyDescent="0.2">
      <c r="A111" t="s">
        <v>200</v>
      </c>
      <c r="B111" s="31" t="s">
        <v>165</v>
      </c>
      <c r="C111" s="73">
        <f>('DOE25'!L200)+('DOE25'!L218)+('DOE25'!L236)</f>
        <v>29923.200000000001</v>
      </c>
      <c r="D111" s="23" t="s">
        <v>288</v>
      </c>
      <c r="E111" s="73">
        <f>('DOE25'!L279)+('DOE25'!L298)+('DOE25'!L317)</f>
        <v>0</v>
      </c>
      <c r="F111" s="23" t="s">
        <v>288</v>
      </c>
      <c r="G111" s="23" t="s">
        <v>288</v>
      </c>
      <c r="H111" s="13">
        <f t="shared" si="6"/>
        <v>29923.200000000001</v>
      </c>
    </row>
    <row r="112" spans="1:8" x14ac:dyDescent="0.2">
      <c r="A112" t="s">
        <v>201</v>
      </c>
      <c r="B112" s="31" t="s">
        <v>167</v>
      </c>
      <c r="C112" s="73">
        <f>('DOE25'!L201)+('DOE25'!L219)+('DOE25'!L237)</f>
        <v>698379.96000000008</v>
      </c>
      <c r="D112" s="23" t="s">
        <v>288</v>
      </c>
      <c r="E112" s="73">
        <f>+('DOE25'!L280)+('DOE25'!L299)+('DOE25'!L318)</f>
        <v>0</v>
      </c>
      <c r="F112" s="23" t="s">
        <v>288</v>
      </c>
      <c r="G112" s="23" t="s">
        <v>288</v>
      </c>
      <c r="H112" s="13">
        <f t="shared" si="6"/>
        <v>698379.96000000008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11802546.91</v>
      </c>
      <c r="D115" s="68">
        <f>SUM(D109:D114)</f>
        <v>0</v>
      </c>
      <c r="E115" s="68">
        <f>SUM(E109:E114)</f>
        <v>137526.70000000001</v>
      </c>
      <c r="F115" s="68">
        <f>SUM(F109:F114)</f>
        <v>0</v>
      </c>
      <c r="G115" s="68">
        <f>SUM(G109:G114)</f>
        <v>0</v>
      </c>
      <c r="H115" s="68">
        <f t="shared" si="6"/>
        <v>11940073.609999999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1800505.5000000002</v>
      </c>
      <c r="D118" s="23" t="s">
        <v>288</v>
      </c>
      <c r="E118" s="73">
        <f>+('DOE25'!L282)+('DOE25'!L301)+('DOE25'!L320)</f>
        <v>13371.11</v>
      </c>
      <c r="F118" s="23" t="s">
        <v>288</v>
      </c>
      <c r="G118" s="23" t="s">
        <v>288</v>
      </c>
      <c r="H118" s="13">
        <f t="shared" ref="H118:H145" si="7">SUM(C118:G118)</f>
        <v>1813876.6100000003</v>
      </c>
    </row>
    <row r="119" spans="1:8" x14ac:dyDescent="0.2">
      <c r="A119" t="s">
        <v>208</v>
      </c>
      <c r="B119" s="31" t="s">
        <v>209</v>
      </c>
      <c r="C119" s="73">
        <f>('DOE25'!L204)+('DOE25'!L222)+('DOE25'!L240)</f>
        <v>550922.93000000005</v>
      </c>
      <c r="D119" s="23" t="s">
        <v>288</v>
      </c>
      <c r="E119" s="73">
        <f>+('DOE25'!L283)+('DOE25'!L302)+('DOE25'!L321)</f>
        <v>9264.0499999999993</v>
      </c>
      <c r="F119" s="23" t="s">
        <v>288</v>
      </c>
      <c r="G119" s="23" t="s">
        <v>288</v>
      </c>
      <c r="H119" s="13">
        <f t="shared" si="7"/>
        <v>560186.9800000001</v>
      </c>
    </row>
    <row r="120" spans="1:8" x14ac:dyDescent="0.2">
      <c r="A120" t="s">
        <v>210</v>
      </c>
      <c r="B120" s="31" t="s">
        <v>211</v>
      </c>
      <c r="C120" s="73">
        <f>('DOE25'!L205)+('DOE25'!L223)+('DOE25'!L241)</f>
        <v>1158677.4300000002</v>
      </c>
      <c r="D120" s="23" t="s">
        <v>288</v>
      </c>
      <c r="E120" s="73">
        <f>+('DOE25'!L284)+('DOE25'!L303)+('DOE25'!L322)</f>
        <v>0</v>
      </c>
      <c r="F120" s="23" t="s">
        <v>288</v>
      </c>
      <c r="G120" s="23" t="s">
        <v>288</v>
      </c>
      <c r="H120" s="13">
        <f t="shared" si="7"/>
        <v>1158677.4300000002</v>
      </c>
    </row>
    <row r="121" spans="1:8" x14ac:dyDescent="0.2">
      <c r="A121" t="s">
        <v>212</v>
      </c>
      <c r="B121" s="31" t="s">
        <v>213</v>
      </c>
      <c r="C121" s="73">
        <f>('DOE25'!L206)+('DOE25'!L224)+('DOE25'!L242)</f>
        <v>729614.14</v>
      </c>
      <c r="D121" s="23" t="s">
        <v>288</v>
      </c>
      <c r="E121" s="73">
        <f>+('DOE25'!L285)+('DOE25'!L304)+('DOE25'!L323)</f>
        <v>3540</v>
      </c>
      <c r="F121" s="23" t="s">
        <v>288</v>
      </c>
      <c r="G121" s="23" t="s">
        <v>288</v>
      </c>
      <c r="H121" s="13">
        <f t="shared" si="7"/>
        <v>733154.14</v>
      </c>
    </row>
    <row r="122" spans="1:8" x14ac:dyDescent="0.2">
      <c r="A122" t="s">
        <v>214</v>
      </c>
      <c r="B122" s="31" t="s">
        <v>215</v>
      </c>
      <c r="C122" s="73">
        <f>('DOE25'!L207)+('DOE25'!L225)+('DOE25'!L243)</f>
        <v>15505.54</v>
      </c>
      <c r="D122" s="23" t="s">
        <v>288</v>
      </c>
      <c r="E122" s="73">
        <f>+('DOE25'!L286)+('DOE25'!L305)+('DOE25'!L324)</f>
        <v>0</v>
      </c>
      <c r="F122" s="23" t="s">
        <v>288</v>
      </c>
      <c r="G122" s="23" t="s">
        <v>288</v>
      </c>
      <c r="H122" s="13">
        <f t="shared" si="7"/>
        <v>15505.54</v>
      </c>
    </row>
    <row r="123" spans="1:8" x14ac:dyDescent="0.2">
      <c r="A123" t="s">
        <v>216</v>
      </c>
      <c r="B123" s="31" t="s">
        <v>217</v>
      </c>
      <c r="C123" s="73">
        <f>('DOE25'!L208)+('DOE25'!L226)+('DOE25'!L244)</f>
        <v>1404608.3900000001</v>
      </c>
      <c r="D123" s="23" t="s">
        <v>288</v>
      </c>
      <c r="E123" s="73">
        <f>+('DOE25'!L287)+('DOE25'!L306)+('DOE25'!L325)</f>
        <v>2880</v>
      </c>
      <c r="F123" s="23" t="s">
        <v>288</v>
      </c>
      <c r="G123" s="23" t="s">
        <v>288</v>
      </c>
      <c r="H123" s="13">
        <f t="shared" si="7"/>
        <v>1407488.3900000001</v>
      </c>
    </row>
    <row r="124" spans="1:8" x14ac:dyDescent="0.2">
      <c r="A124" t="s">
        <v>218</v>
      </c>
      <c r="B124" s="31" t="s">
        <v>219</v>
      </c>
      <c r="C124" s="73">
        <f>('DOE25'!L209)+('DOE25'!L227)+('DOE25'!L245+'DOE25'!L255)</f>
        <v>667388.8899999999</v>
      </c>
      <c r="D124" s="23" t="s">
        <v>288</v>
      </c>
      <c r="E124" s="73">
        <f>+('DOE25'!L288)+('DOE25'!L307)+('DOE25'!L326)</f>
        <v>0</v>
      </c>
      <c r="F124" s="23" t="s">
        <v>288</v>
      </c>
      <c r="G124" s="23" t="s">
        <v>288</v>
      </c>
      <c r="H124" s="13">
        <f t="shared" si="7"/>
        <v>667388.8899999999</v>
      </c>
    </row>
    <row r="125" spans="1:8" x14ac:dyDescent="0.2">
      <c r="A125" t="s">
        <v>220</v>
      </c>
      <c r="B125" s="31" t="s">
        <v>221</v>
      </c>
      <c r="C125" s="73">
        <f>('DOE25'!L210)+('DOE25'!L228)+('DOE25'!L246)</f>
        <v>229373.15999999997</v>
      </c>
      <c r="D125" s="23" t="s">
        <v>288</v>
      </c>
      <c r="E125" s="73">
        <f>+('DOE25'!L289)+('DOE25'!L308)+('DOE25'!L327)</f>
        <v>3240.1</v>
      </c>
      <c r="F125" s="23" t="s">
        <v>288</v>
      </c>
      <c r="G125" s="23" t="s">
        <v>288</v>
      </c>
      <c r="H125" s="13">
        <f t="shared" si="7"/>
        <v>232613.25999999998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438469.37000000005</v>
      </c>
      <c r="E127" s="23" t="s">
        <v>288</v>
      </c>
      <c r="F127" s="23" t="s">
        <v>288</v>
      </c>
      <c r="G127" s="23" t="s">
        <v>288</v>
      </c>
      <c r="H127" s="13">
        <f t="shared" si="7"/>
        <v>438469.37000000005</v>
      </c>
    </row>
    <row r="128" spans="1:8" ht="12.75" thickTop="1" thickBot="1" x14ac:dyDescent="0.25">
      <c r="A128" s="32" t="s">
        <v>226</v>
      </c>
      <c r="C128" s="68">
        <f>SUM(C118:C127)</f>
        <v>6556595.9799999995</v>
      </c>
      <c r="D128" s="68">
        <f>SUM(D118:D127)</f>
        <v>438469.37000000005</v>
      </c>
      <c r="E128" s="68">
        <f>SUM(E118:E127)</f>
        <v>32295.26</v>
      </c>
      <c r="F128" s="68">
        <f>SUM(F118:F127)</f>
        <v>0</v>
      </c>
      <c r="G128" s="68">
        <f>SUM(G118:G127)</f>
        <v>0</v>
      </c>
      <c r="H128" s="68">
        <f t="shared" si="7"/>
        <v>7027360.6099999994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5419.95</v>
      </c>
      <c r="D130" s="23" t="s">
        <v>288</v>
      </c>
      <c r="E130" s="92">
        <f>'DOE25'!L337</f>
        <v>0</v>
      </c>
      <c r="F130" s="92">
        <f>SUM('DOE25'!L375:'DOE25'!L381)</f>
        <v>0</v>
      </c>
      <c r="G130" s="23" t="s">
        <v>288</v>
      </c>
      <c r="H130" s="13">
        <f t="shared" si="7"/>
        <v>5419.95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317936.34999999998</v>
      </c>
      <c r="H134" s="13">
        <f t="shared" si="7"/>
        <v>317936.34999999998</v>
      </c>
    </row>
    <row r="135" spans="1:8" x14ac:dyDescent="0.2">
      <c r="A135" t="s">
        <v>233</v>
      </c>
      <c r="B135" s="31" t="s">
        <v>234</v>
      </c>
      <c r="C135" s="73">
        <f>'DOE25'!L264</f>
        <v>17971.150000000001</v>
      </c>
      <c r="D135" s="23" t="s">
        <v>288</v>
      </c>
      <c r="E135" s="92">
        <f>'DOE25'!L346</f>
        <v>0</v>
      </c>
      <c r="F135" s="23" t="s">
        <v>288</v>
      </c>
      <c r="G135" s="23" t="s">
        <v>288</v>
      </c>
      <c r="H135" s="13">
        <f t="shared" si="7"/>
        <v>17971.150000000001</v>
      </c>
    </row>
    <row r="136" spans="1:8" x14ac:dyDescent="0.2">
      <c r="A136" t="s">
        <v>235</v>
      </c>
      <c r="B136" s="31" t="s">
        <v>236</v>
      </c>
      <c r="C136" s="73">
        <f>'DOE25'!L265</f>
        <v>85000</v>
      </c>
      <c r="D136" s="23" t="s">
        <v>288</v>
      </c>
      <c r="E136" s="23" t="s">
        <v>288</v>
      </c>
      <c r="F136" s="23" t="s">
        <v>288</v>
      </c>
      <c r="G136" s="23" t="s">
        <v>288</v>
      </c>
      <c r="H136" s="13">
        <f t="shared" si="7"/>
        <v>85000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38875.959999999992</v>
      </c>
      <c r="D139" s="23" t="s">
        <v>288</v>
      </c>
      <c r="E139" s="23" t="s">
        <v>288</v>
      </c>
      <c r="F139" s="23" t="s">
        <v>288</v>
      </c>
      <c r="G139" s="23" t="s">
        <v>288</v>
      </c>
      <c r="H139" s="13">
        <f t="shared" si="7"/>
        <v>38875.959999999992</v>
      </c>
    </row>
    <row r="140" spans="1:8" x14ac:dyDescent="0.2">
      <c r="A140" t="s">
        <v>240</v>
      </c>
      <c r="B140" s="31">
        <v>5253</v>
      </c>
      <c r="C140" s="73">
        <f>'DOE25'!L408</f>
        <v>364050.41</v>
      </c>
      <c r="D140" s="23" t="s">
        <v>288</v>
      </c>
      <c r="E140" s="23" t="s">
        <v>288</v>
      </c>
      <c r="F140" s="23" t="s">
        <v>288</v>
      </c>
      <c r="G140" s="23" t="s">
        <v>288</v>
      </c>
      <c r="H140" s="13">
        <f t="shared" si="7"/>
        <v>364050.41</v>
      </c>
    </row>
    <row r="141" spans="1:8" x14ac:dyDescent="0.2">
      <c r="A141" t="s">
        <v>762</v>
      </c>
      <c r="B141" s="31">
        <v>5254</v>
      </c>
      <c r="C141" s="73">
        <f>('DOE25'!L267+'DOE25'!K348) - (C138+C139+C140)</f>
        <v>-346426.37</v>
      </c>
      <c r="D141" s="23" t="s">
        <v>288</v>
      </c>
      <c r="E141" s="23" t="s">
        <v>288</v>
      </c>
      <c r="F141" s="23" t="s">
        <v>288</v>
      </c>
      <c r="G141" s="23" t="s">
        <v>288</v>
      </c>
      <c r="H141" s="13">
        <f t="shared" si="7"/>
        <v>-346426.37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164891.09999999998</v>
      </c>
      <c r="D144" s="98">
        <f>SUM(D130:D143)</f>
        <v>0</v>
      </c>
      <c r="E144" s="98">
        <f>SUM(E130:E143)</f>
        <v>0</v>
      </c>
      <c r="F144" s="98">
        <f>SUM(F130:F143)</f>
        <v>0</v>
      </c>
      <c r="G144" s="98">
        <f>SUM(G130:G143)</f>
        <v>317936.34999999998</v>
      </c>
      <c r="H144" s="98">
        <f t="shared" si="7"/>
        <v>482827.44999999995</v>
      </c>
    </row>
    <row r="145" spans="1:9" ht="12.75" thickTop="1" thickBot="1" x14ac:dyDescent="0.25">
      <c r="A145" s="32" t="s">
        <v>244</v>
      </c>
      <c r="C145" s="68">
        <f>(C115+C128+C144)</f>
        <v>18524033.990000002</v>
      </c>
      <c r="D145" s="68">
        <f>(D115+D128+D144)</f>
        <v>438469.37000000005</v>
      </c>
      <c r="E145" s="68">
        <f>(E115+E128+E144)</f>
        <v>169821.96000000002</v>
      </c>
      <c r="F145" s="68">
        <f>(F115+F128+F144)</f>
        <v>0</v>
      </c>
      <c r="G145" s="68">
        <f>(G115+G128+G144)</f>
        <v>317936.34999999998</v>
      </c>
      <c r="H145" s="68">
        <f t="shared" si="7"/>
        <v>19450261.670000006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Souhegan Cooperative</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24264</v>
      </c>
    </row>
    <row r="7" spans="1:4" x14ac:dyDescent="0.2">
      <c r="B7" t="s">
        <v>701</v>
      </c>
      <c r="C7" s="129">
        <f>IF('DOE25'!I666+'DOE25'!I671=0,0,ROUND('DOE25'!I673,0))</f>
        <v>24264</v>
      </c>
    </row>
    <row r="9" spans="1:4" x14ac:dyDescent="0.2">
      <c r="A9" s="136" t="s">
        <v>94</v>
      </c>
      <c r="B9" s="137" t="s">
        <v>1800</v>
      </c>
      <c r="C9" s="131" t="s">
        <v>720</v>
      </c>
      <c r="D9" s="131" t="s">
        <v>721</v>
      </c>
    </row>
    <row r="10" spans="1:4" x14ac:dyDescent="0.2">
      <c r="A10">
        <v>1100</v>
      </c>
      <c r="B10" t="s">
        <v>702</v>
      </c>
      <c r="C10" s="129">
        <f>ROUND('DOE25'!L198+'DOE25'!L216+'DOE25'!L234+'DOE25'!L277+'DOE25'!L296+'DOE25'!L315,0)</f>
        <v>7480083</v>
      </c>
      <c r="D10" s="132">
        <f>ROUND((C10/$C$28)*100,1)</f>
        <v>40.200000000000003</v>
      </c>
    </row>
    <row r="11" spans="1:4" x14ac:dyDescent="0.2">
      <c r="A11">
        <v>1200</v>
      </c>
      <c r="B11" t="s">
        <v>703</v>
      </c>
      <c r="C11" s="129">
        <f>ROUND('DOE25'!L199+'DOE25'!L217+'DOE25'!L235+'DOE25'!L278+'DOE25'!L297+'DOE25'!L316,0)</f>
        <v>3731688</v>
      </c>
      <c r="D11" s="132">
        <f>ROUND((C11/$C$28)*100,1)</f>
        <v>20.100000000000001</v>
      </c>
    </row>
    <row r="12" spans="1:4" x14ac:dyDescent="0.2">
      <c r="A12">
        <v>1300</v>
      </c>
      <c r="B12" t="s">
        <v>704</v>
      </c>
      <c r="C12" s="129">
        <f>ROUND('DOE25'!L200+'DOE25'!L218+'DOE25'!L236+'DOE25'!L279+'DOE25'!L298+'DOE25'!L317,0)</f>
        <v>29923</v>
      </c>
      <c r="D12" s="132">
        <f>ROUND((C12/$C$28)*100,1)</f>
        <v>0.2</v>
      </c>
    </row>
    <row r="13" spans="1:4" x14ac:dyDescent="0.2">
      <c r="A13">
        <v>1400</v>
      </c>
      <c r="B13" t="s">
        <v>705</v>
      </c>
      <c r="C13" s="129">
        <f>ROUND('DOE25'!L201+'DOE25'!L219+'DOE25'!L237+'DOE25'!L280+'DOE25'!L299+'DOE25'!L318,0)</f>
        <v>698380</v>
      </c>
      <c r="D13" s="132">
        <f>ROUND((C13/$C$28)*100,1)</f>
        <v>3.8</v>
      </c>
    </row>
    <row r="14" spans="1:4" x14ac:dyDescent="0.2">
      <c r="D14" s="132"/>
    </row>
    <row r="15" spans="1:4" x14ac:dyDescent="0.2">
      <c r="A15">
        <v>2100</v>
      </c>
      <c r="B15" t="s">
        <v>706</v>
      </c>
      <c r="C15" s="129">
        <f>ROUND('DOE25'!L203+'DOE25'!L221+'DOE25'!L239+'DOE25'!L282+'DOE25'!L301+'DOE25'!L320,0)</f>
        <v>1813877</v>
      </c>
      <c r="D15" s="132">
        <f t="shared" ref="D15:D27" si="0">ROUND((C15/$C$28)*100,1)</f>
        <v>9.6999999999999993</v>
      </c>
    </row>
    <row r="16" spans="1:4" x14ac:dyDescent="0.2">
      <c r="A16">
        <v>2200</v>
      </c>
      <c r="B16" t="s">
        <v>707</v>
      </c>
      <c r="C16" s="129">
        <f>ROUND('DOE25'!L204+'DOE25'!L222+'DOE25'!L240+'DOE25'!L283+'DOE25'!L302+'DOE25'!L321,0)</f>
        <v>560187</v>
      </c>
      <c r="D16" s="132">
        <f t="shared" si="0"/>
        <v>3</v>
      </c>
    </row>
    <row r="17" spans="1:4" x14ac:dyDescent="0.2">
      <c r="A17" s="133" t="s">
        <v>723</v>
      </c>
      <c r="B17" t="s">
        <v>738</v>
      </c>
      <c r="C17" s="129">
        <f>ROUND('DOE25'!L205+'DOE25'!L210+'DOE25'!L223+'DOE25'!L228+'DOE25'!L241+'DOE25'!L246+'DOE25'!L284+'DOE25'!L289+'DOE25'!L303+'DOE25'!L308+'DOE25'!L322+'DOE25'!L327,0)</f>
        <v>1391291</v>
      </c>
      <c r="D17" s="132">
        <f t="shared" si="0"/>
        <v>7.5</v>
      </c>
    </row>
    <row r="18" spans="1:4" x14ac:dyDescent="0.2">
      <c r="A18">
        <v>2400</v>
      </c>
      <c r="B18" t="s">
        <v>711</v>
      </c>
      <c r="C18" s="129">
        <f>ROUND('DOE25'!L206+'DOE25'!L224+'DOE25'!L242+'DOE25'!L285+'DOE25'!L304+'DOE25'!L323,0)</f>
        <v>733154</v>
      </c>
      <c r="D18" s="132">
        <f t="shared" si="0"/>
        <v>3.9</v>
      </c>
    </row>
    <row r="19" spans="1:4" x14ac:dyDescent="0.2">
      <c r="A19">
        <v>2500</v>
      </c>
      <c r="B19" t="s">
        <v>708</v>
      </c>
      <c r="C19" s="129">
        <f>ROUND('DOE25'!L207+'DOE25'!L225+'DOE25'!L243+'DOE25'!L286+'DOE25'!L305+'DOE25'!L324,0)</f>
        <v>15506</v>
      </c>
      <c r="D19" s="132">
        <f t="shared" si="0"/>
        <v>0.1</v>
      </c>
    </row>
    <row r="20" spans="1:4" x14ac:dyDescent="0.2">
      <c r="A20">
        <v>2600</v>
      </c>
      <c r="B20" t="s">
        <v>709</v>
      </c>
      <c r="C20" s="129">
        <f>ROUND('DOE25'!L208+'DOE25'!L226+'DOE25'!L244+'DOE25'!L287+'DOE25'!L306+'DOE25'!L325,0)</f>
        <v>1407488</v>
      </c>
      <c r="D20" s="132">
        <f t="shared" si="0"/>
        <v>7.6</v>
      </c>
    </row>
    <row r="21" spans="1:4" x14ac:dyDescent="0.2">
      <c r="A21">
        <v>2700</v>
      </c>
      <c r="B21" t="s">
        <v>710</v>
      </c>
      <c r="C21" s="129">
        <f>ROUND('DOE25'!L209+'DOE25'!L227+'DOE25'!L245+'DOE25'!L288+'DOE25'!L307+'DOE25'!L326,0)</f>
        <v>667389</v>
      </c>
      <c r="D21" s="132">
        <f t="shared" si="0"/>
        <v>3.6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76809</v>
      </c>
      <c r="D27" s="132">
        <f t="shared" si="0"/>
        <v>0.4</v>
      </c>
    </row>
    <row r="28" spans="1:4" x14ac:dyDescent="0.2">
      <c r="B28" s="136" t="s">
        <v>719</v>
      </c>
      <c r="C28" s="130">
        <f>SUM(C10:C27)</f>
        <v>18605775</v>
      </c>
      <c r="D28" s="134">
        <f>ROUND(SUM(D10:D27),0)</f>
        <v>100</v>
      </c>
    </row>
    <row r="29" spans="1:4" x14ac:dyDescent="0.2">
      <c r="A29">
        <v>4000</v>
      </c>
      <c r="B29" t="s">
        <v>724</v>
      </c>
      <c r="C29" s="129">
        <f>ROUND('DOE25'!L256+'DOE25'!L337+'DOE25'!L375+'DOE25'!L376+'DOE25'!L377+'DOE25'!L378+'DOE25'!L379+'DOE25'!L380+'DOE25'!L381,0)</f>
        <v>5420</v>
      </c>
    </row>
    <row r="30" spans="1:4" x14ac:dyDescent="0.2">
      <c r="B30" s="136" t="s">
        <v>725</v>
      </c>
      <c r="C30" s="130">
        <f>SUM(C28:C29)</f>
        <v>18611195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14621617</v>
      </c>
      <c r="D35" s="132">
        <f t="shared" ref="D35:D40" si="1">ROUND((C35/$C$41)*100,1)</f>
        <v>76.7</v>
      </c>
    </row>
    <row r="36" spans="1:4" x14ac:dyDescent="0.2">
      <c r="B36" s="71" t="s">
        <v>739</v>
      </c>
      <c r="C36" s="129">
        <f>SUM('DOE25'!F112:J112)-SUM('DOE25'!G97:G110)+('DOE25'!F175+'DOE25'!F176+'DOE25'!I175+'DOE25'!I176)-C35</f>
        <v>581762.3200000003</v>
      </c>
      <c r="D36" s="132">
        <f t="shared" si="1"/>
        <v>3.1</v>
      </c>
    </row>
    <row r="37" spans="1:4" x14ac:dyDescent="0.2">
      <c r="A37" s="133" t="s">
        <v>834</v>
      </c>
      <c r="B37" s="71" t="s">
        <v>728</v>
      </c>
      <c r="C37" s="129">
        <f>ROUND('DOE25'!F117+'DOE25'!F118,0)</f>
        <v>2948682</v>
      </c>
      <c r="D37" s="132">
        <f t="shared" si="1"/>
        <v>15.5</v>
      </c>
    </row>
    <row r="38" spans="1:4" x14ac:dyDescent="0.2">
      <c r="A38" s="133" t="s">
        <v>734</v>
      </c>
      <c r="B38" s="71" t="s">
        <v>729</v>
      </c>
      <c r="C38" s="129">
        <f>ROUND(SUM('DOE25'!F140:J140)-SUM('DOE25'!F117:F119),0)</f>
        <v>583089</v>
      </c>
      <c r="D38" s="132">
        <f t="shared" si="1"/>
        <v>3.1</v>
      </c>
    </row>
    <row r="39" spans="1:4" x14ac:dyDescent="0.2">
      <c r="A39">
        <v>4000</v>
      </c>
      <c r="B39" s="71" t="s">
        <v>730</v>
      </c>
      <c r="C39" s="129">
        <f>ROUND('DOE25'!F170+'DOE25'!G170+'DOE25'!H170+'DOE25'!I170,0)</f>
        <v>321815</v>
      </c>
      <c r="D39" s="132">
        <f t="shared" si="1"/>
        <v>1.7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19056965.32</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sqref="A1:I1"/>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Souhegan Cooperative</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84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f>IF('School Level Expenditures'!$B$2='School Tables'!W87,'School Tables'!AD87,"")</f>
        <v>84</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2023-12-29T14:33:51Z</dcterms:modified>
</cp:coreProperties>
</file>