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8_{A4315075-FB70-42A4-BA6E-9FDE9EF1CCED}"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32" i="1" l="1"/>
  <c r="F532" i="1"/>
  <c r="D6" i="14" l="1"/>
  <c r="H162" i="1"/>
  <c r="G158" i="1"/>
  <c r="H24" i="1"/>
  <c r="F50" i="1"/>
  <c r="F6" i="13"/>
  <c r="F15" i="13"/>
  <c r="F9" i="1" l="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E132" i="2" s="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C58" i="2" s="1"/>
  <c r="F111" i="1"/>
  <c r="G111" i="1"/>
  <c r="H79" i="1"/>
  <c r="H94" i="1"/>
  <c r="E58" i="2" s="1"/>
  <c r="H111" i="1"/>
  <c r="I111" i="1"/>
  <c r="I112" i="1" s="1"/>
  <c r="J111" i="1"/>
  <c r="F121" i="1"/>
  <c r="F136" i="1"/>
  <c r="G121" i="1"/>
  <c r="G136" i="1"/>
  <c r="H121" i="1"/>
  <c r="H136" i="1"/>
  <c r="I121" i="1"/>
  <c r="I136" i="1"/>
  <c r="J121" i="1"/>
  <c r="J136" i="1"/>
  <c r="F147" i="1"/>
  <c r="F170" i="1" s="1"/>
  <c r="G147" i="1"/>
  <c r="D85" i="2" s="1"/>
  <c r="H147" i="1"/>
  <c r="H170" i="1" s="1"/>
  <c r="I147" i="1"/>
  <c r="F85" i="2" s="1"/>
  <c r="L251" i="1"/>
  <c r="C113" i="2" s="1"/>
  <c r="H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F128" i="2"/>
  <c r="G128" i="2"/>
  <c r="D134" i="2"/>
  <c r="D144" i="2" s="1"/>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41" i="1"/>
  <c r="G644" i="1"/>
  <c r="G645" i="1"/>
  <c r="H653" i="1"/>
  <c r="G654" i="1"/>
  <c r="H654" i="1"/>
  <c r="H655" i="1"/>
  <c r="H656" i="1"/>
  <c r="H135" i="2" l="1"/>
  <c r="E125" i="2"/>
  <c r="E112" i="2"/>
  <c r="E120" i="2"/>
  <c r="E111" i="2"/>
  <c r="G663" i="1"/>
  <c r="J140" i="1"/>
  <c r="H94" i="2"/>
  <c r="C110" i="2"/>
  <c r="G651" i="1"/>
  <c r="J651" i="1" s="1"/>
  <c r="F409" i="1"/>
  <c r="H644" i="1" s="1"/>
  <c r="C85" i="2"/>
  <c r="C91" i="2" s="1"/>
  <c r="C112" i="2"/>
  <c r="C119" i="2"/>
  <c r="H48" i="2"/>
  <c r="C13" i="10"/>
  <c r="H143" i="2"/>
  <c r="E124" i="2"/>
  <c r="I409" i="1"/>
  <c r="D18" i="13"/>
  <c r="C18" i="13" s="1"/>
  <c r="C121" i="2"/>
  <c r="E121" i="2"/>
  <c r="G662" i="1"/>
  <c r="G409" i="1"/>
  <c r="H646" i="1" s="1"/>
  <c r="D29" i="13"/>
  <c r="C29" i="13" s="1"/>
  <c r="H132" i="2"/>
  <c r="J652" i="1"/>
  <c r="D15" i="13"/>
  <c r="C15" i="13" s="1"/>
  <c r="C125" i="2"/>
  <c r="H125" i="2" s="1"/>
  <c r="N2" i="14"/>
  <c r="N3" i="14" s="1"/>
  <c r="M2" i="14"/>
  <c r="M3" i="14" s="1"/>
  <c r="C12" i="10"/>
  <c r="E13" i="13"/>
  <c r="C13" i="13" s="1"/>
  <c r="C120" i="2"/>
  <c r="D6" i="13"/>
  <c r="C6" i="13" s="1"/>
  <c r="L2" i="14"/>
  <c r="L3" i="14" s="1"/>
  <c r="A40" i="12"/>
  <c r="K2" i="14"/>
  <c r="K3" i="14" s="1"/>
  <c r="H76" i="2"/>
  <c r="H98" i="2"/>
  <c r="H26" i="2"/>
  <c r="H25" i="2"/>
  <c r="H12" i="2"/>
  <c r="G646" i="1"/>
  <c r="H96" i="2"/>
  <c r="G62" i="2"/>
  <c r="G63" i="2" s="1"/>
  <c r="J112" i="1"/>
  <c r="H101" i="2"/>
  <c r="H93" i="2"/>
  <c r="H87" i="2"/>
  <c r="I170" i="1"/>
  <c r="H73" i="2"/>
  <c r="H72" i="2"/>
  <c r="H99" i="2"/>
  <c r="H80" i="2"/>
  <c r="H77" i="2"/>
  <c r="H140" i="1"/>
  <c r="H58" i="2"/>
  <c r="H102" i="2"/>
  <c r="H100" i="2"/>
  <c r="H97" i="2"/>
  <c r="H89" i="2"/>
  <c r="H79" i="2"/>
  <c r="H69" i="2"/>
  <c r="H61" i="2"/>
  <c r="H59" i="2"/>
  <c r="H35" i="2"/>
  <c r="H30" i="2"/>
  <c r="H24" i="2"/>
  <c r="H22" i="2"/>
  <c r="H17" i="2"/>
  <c r="H13" i="2"/>
  <c r="H8" i="2"/>
  <c r="H47" i="2"/>
  <c r="H44" i="2"/>
  <c r="H43" i="2"/>
  <c r="H38" i="2"/>
  <c r="H36" i="2"/>
  <c r="H34" i="2"/>
  <c r="H29" i="2"/>
  <c r="H28" i="2"/>
  <c r="H27" i="2"/>
  <c r="H23" i="2"/>
  <c r="H15" i="2"/>
  <c r="H11" i="2"/>
  <c r="H9" i="2"/>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258" i="1"/>
  <c r="G272" i="1" s="1"/>
  <c r="C142" i="2"/>
  <c r="H142" i="2" s="1"/>
  <c r="C111" i="2"/>
  <c r="H662" i="1"/>
  <c r="C15" i="10"/>
  <c r="A13" i="12"/>
  <c r="D12" i="13"/>
  <c r="C12" i="13" s="1"/>
  <c r="D5" i="13"/>
  <c r="C5" i="13" s="1"/>
  <c r="E8" i="13"/>
  <c r="C8" i="13" s="1"/>
  <c r="C35" i="10"/>
  <c r="C29" i="10"/>
  <c r="G650" i="1"/>
  <c r="J650" i="1" s="1"/>
  <c r="L545" i="1"/>
  <c r="L525" i="1"/>
  <c r="J339" i="1"/>
  <c r="J353" i="1" s="1"/>
  <c r="D127" i="2"/>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L408" i="1"/>
  <c r="C140" i="2" s="1"/>
  <c r="H140" i="2" s="1"/>
  <c r="I193" i="1"/>
  <c r="J655" i="1"/>
  <c r="J654" i="1"/>
  <c r="G21" i="2"/>
  <c r="G31" i="2" s="1"/>
  <c r="J32" i="1"/>
  <c r="J435" i="1"/>
  <c r="F435" i="1"/>
  <c r="K435" i="1"/>
  <c r="G134" i="2" s="1"/>
  <c r="G31" i="13"/>
  <c r="G140" i="1"/>
  <c r="B11" i="16" s="1"/>
  <c r="F140" i="1"/>
  <c r="J619" i="1"/>
  <c r="G42" i="2"/>
  <c r="G50" i="2" s="1"/>
  <c r="J51" i="1"/>
  <c r="G16" i="2"/>
  <c r="G18" i="2" s="1"/>
  <c r="J19" i="1"/>
  <c r="G622" i="1" s="1"/>
  <c r="F546" i="1"/>
  <c r="H435" i="1"/>
  <c r="D103" i="2"/>
  <c r="I140" i="1"/>
  <c r="A22" i="12"/>
  <c r="J653" i="1"/>
  <c r="G572" i="1"/>
  <c r="I435" i="1"/>
  <c r="G435" i="1"/>
  <c r="I664" i="1"/>
  <c r="J194" i="1" l="1"/>
  <c r="H112" i="2"/>
  <c r="H120" i="2"/>
  <c r="H111" i="2"/>
  <c r="H119" i="2"/>
  <c r="E144" i="2"/>
  <c r="H124" i="2"/>
  <c r="L572" i="1"/>
  <c r="H110" i="2"/>
  <c r="J646" i="1"/>
  <c r="G637" i="1"/>
  <c r="I473" i="1"/>
  <c r="B17" i="16"/>
  <c r="B19" i="16" s="1"/>
  <c r="G473" i="1"/>
  <c r="H121" i="2"/>
  <c r="H123" i="2"/>
  <c r="G647" i="1"/>
  <c r="G24" i="14"/>
  <c r="H24" i="14" s="1"/>
  <c r="I24" i="14" s="1"/>
  <c r="H114" i="2"/>
  <c r="H16" i="2"/>
  <c r="H21" i="2"/>
  <c r="H42" i="2"/>
  <c r="G144" i="2"/>
  <c r="G145" i="2" s="1"/>
  <c r="H134" i="2"/>
  <c r="D128" i="2"/>
  <c r="D145" i="2" s="1"/>
  <c r="H127" i="2"/>
  <c r="H122" i="2"/>
  <c r="E128" i="2"/>
  <c r="H118" i="2"/>
  <c r="I663" i="1"/>
  <c r="H85" i="2"/>
  <c r="H78" i="2"/>
  <c r="H57" i="2"/>
  <c r="H103" i="2"/>
  <c r="H91" i="2"/>
  <c r="H62" i="2"/>
  <c r="I662" i="1"/>
  <c r="C81" i="2"/>
  <c r="H81" i="2" s="1"/>
  <c r="F194" i="1"/>
  <c r="E51" i="2"/>
  <c r="H50" i="2"/>
  <c r="D51" i="2"/>
  <c r="H31" i="2"/>
  <c r="H18" i="2"/>
  <c r="F661" i="1"/>
  <c r="F665" i="1" s="1"/>
  <c r="F670" i="1" s="1"/>
  <c r="E115" i="2"/>
  <c r="H109" i="2"/>
  <c r="F144" i="2"/>
  <c r="H130" i="2"/>
  <c r="H661" i="1"/>
  <c r="H665" i="1" s="1"/>
  <c r="H194" i="1"/>
  <c r="H649" i="1"/>
  <c r="J649" i="1" s="1"/>
  <c r="C141" i="2"/>
  <c r="F51" i="2"/>
  <c r="G36" i="14"/>
  <c r="H36" i="14" s="1"/>
  <c r="E104" i="2"/>
  <c r="C36" i="10"/>
  <c r="L435" i="1"/>
  <c r="G104" i="2"/>
  <c r="L339" i="1"/>
  <c r="L353" i="1" s="1"/>
  <c r="I194" i="1"/>
  <c r="G636" i="1"/>
  <c r="G51" i="2"/>
  <c r="D104" i="2"/>
  <c r="L409" i="1"/>
  <c r="J469" i="1" s="1"/>
  <c r="C27" i="10"/>
  <c r="C28" i="10" s="1"/>
  <c r="D23" i="10" s="1"/>
  <c r="G4" i="14"/>
  <c r="H4" i="14" s="1"/>
  <c r="I4" i="14" s="1"/>
  <c r="L546" i="1"/>
  <c r="F104" i="2"/>
  <c r="B14" i="16"/>
  <c r="E33" i="13"/>
  <c r="D35" i="13" s="1"/>
  <c r="J648" i="1"/>
  <c r="L258" i="1"/>
  <c r="L272" i="1" s="1"/>
  <c r="C115" i="2"/>
  <c r="C63" i="2"/>
  <c r="C39" i="10"/>
  <c r="G33" i="13"/>
  <c r="C128" i="2"/>
  <c r="D31" i="13"/>
  <c r="C31" i="13" s="1"/>
  <c r="I462" i="1"/>
  <c r="H643" i="1" s="1"/>
  <c r="J643" i="1" s="1"/>
  <c r="G661" i="1"/>
  <c r="G665" i="1" s="1"/>
  <c r="C25" i="13"/>
  <c r="I33" i="13"/>
  <c r="K553" i="1"/>
  <c r="C51" i="2"/>
  <c r="G632" i="1"/>
  <c r="G194" i="1"/>
  <c r="G627" i="1"/>
  <c r="J52" i="1"/>
  <c r="H622" i="1" s="1"/>
  <c r="J622" i="1" s="1"/>
  <c r="C38" i="10"/>
  <c r="B22" i="16" l="1"/>
  <c r="G475" i="1"/>
  <c r="H636" i="1"/>
  <c r="J636" i="1" s="1"/>
  <c r="G634" i="1"/>
  <c r="H473" i="1"/>
  <c r="H637" i="1"/>
  <c r="J637" i="1" s="1"/>
  <c r="I475" i="1"/>
  <c r="G639" i="1"/>
  <c r="J473" i="1"/>
  <c r="J471" i="1"/>
  <c r="H632" i="1"/>
  <c r="J632" i="1" s="1"/>
  <c r="H638" i="1"/>
  <c r="G631" i="1"/>
  <c r="I469" i="1"/>
  <c r="G630" i="1"/>
  <c r="H469" i="1"/>
  <c r="G629" i="1"/>
  <c r="G469" i="1"/>
  <c r="G628" i="1"/>
  <c r="F469" i="1"/>
  <c r="M24" i="14"/>
  <c r="G633" i="1"/>
  <c r="F473" i="1"/>
  <c r="H128" i="2"/>
  <c r="C144" i="2"/>
  <c r="H144" i="2" s="1"/>
  <c r="H141" i="2"/>
  <c r="C104" i="2"/>
  <c r="H104" i="2" s="1"/>
  <c r="H63" i="2"/>
  <c r="H51" i="2"/>
  <c r="M36" i="14"/>
  <c r="I36" i="14"/>
  <c r="H115" i="2"/>
  <c r="E145" i="2"/>
  <c r="H668" i="1"/>
  <c r="H670" i="1"/>
  <c r="H673" i="1" s="1"/>
  <c r="C6" i="10" s="1"/>
  <c r="G670" i="1"/>
  <c r="G673" i="1" s="1"/>
  <c r="C5" i="10" s="1"/>
  <c r="F668" i="1"/>
  <c r="F145" i="2"/>
  <c r="I661" i="1"/>
  <c r="I665" i="1" s="1"/>
  <c r="G668" i="1"/>
  <c r="C145" i="2"/>
  <c r="D25" i="10"/>
  <c r="G638" i="1"/>
  <c r="H647" i="1"/>
  <c r="J647" i="1" s="1"/>
  <c r="D22" i="10"/>
  <c r="D18" i="10"/>
  <c r="D27" i="10"/>
  <c r="D15" i="10"/>
  <c r="D21" i="10"/>
  <c r="D24" i="10"/>
  <c r="D20" i="10"/>
  <c r="D11" i="10"/>
  <c r="D12" i="10"/>
  <c r="D13" i="10"/>
  <c r="D17" i="10"/>
  <c r="D19" i="10"/>
  <c r="D10" i="10"/>
  <c r="D26" i="10"/>
  <c r="C30" i="10"/>
  <c r="D16" i="10"/>
  <c r="D33" i="13"/>
  <c r="D36" i="13" s="1"/>
  <c r="C41" i="10"/>
  <c r="D38" i="10" s="1"/>
  <c r="H475" i="1" l="1"/>
  <c r="H634" i="1"/>
  <c r="J634" i="1" s="1"/>
  <c r="H639" i="1"/>
  <c r="J639" i="1" s="1"/>
  <c r="J475" i="1"/>
  <c r="J477" i="1" s="1"/>
  <c r="H627" i="1" s="1"/>
  <c r="J627" i="1" s="1"/>
  <c r="J638" i="1"/>
  <c r="H631" i="1"/>
  <c r="J631" i="1" s="1"/>
  <c r="I471" i="1"/>
  <c r="I477" i="1" s="1"/>
  <c r="H626" i="1" s="1"/>
  <c r="J626" i="1" s="1"/>
  <c r="H630" i="1"/>
  <c r="J630" i="1" s="1"/>
  <c r="H471" i="1"/>
  <c r="G471" i="1"/>
  <c r="G477" i="1" s="1"/>
  <c r="H629" i="1"/>
  <c r="J629" i="1" s="1"/>
  <c r="F471" i="1"/>
  <c r="H628" i="1"/>
  <c r="J628" i="1" s="1"/>
  <c r="H633" i="1"/>
  <c r="J633" i="1" s="1"/>
  <c r="F475" i="1"/>
  <c r="H145" i="2"/>
  <c r="I670" i="1"/>
  <c r="I673" i="1" s="1"/>
  <c r="C7" i="10" s="1"/>
  <c r="F673" i="1"/>
  <c r="C4" i="10" s="1"/>
  <c r="I668" i="1"/>
  <c r="D28" i="10"/>
  <c r="D37" i="10"/>
  <c r="D36" i="10"/>
  <c r="D35" i="10"/>
  <c r="D40" i="10"/>
  <c r="D39" i="10"/>
  <c r="H477" i="1" l="1"/>
  <c r="H625" i="1" s="1"/>
  <c r="J625" i="1" s="1"/>
  <c r="B33" i="16"/>
  <c r="H624" i="1"/>
  <c r="J624" i="1" s="1"/>
  <c r="F477" i="1"/>
  <c r="H623" i="1" s="1"/>
  <c r="J623" i="1" s="1"/>
  <c r="D41" i="10"/>
  <c r="H657"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<sst xmlns="http://schemas.openxmlformats.org/spreadsheetml/2006/main" count="6559" uniqueCount="1814">
  <si>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</si>
  <si>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</si>
  <si>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</si>
  <si>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</si>
  <si>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</si>
  <si>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</si>
  <si>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</si>
  <si>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</si>
  <si>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</si>
  <si>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</si>
  <si>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</si>
  <si>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</si>
  <si>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</si>
  <si>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</si>
  <si>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</si>
  <si>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</si>
  <si>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</si>
  <si>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</si>
  <si>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</si>
  <si>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</si>
  <si>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</si>
  <si>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</si>
  <si>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</si>
  <si>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</si>
  <si>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</si>
  <si>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</si>
  <si>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</si>
  <si>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</si>
  <si>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</si>
  <si>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</si>
  <si>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</si>
  <si>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</si>
  <si>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</si>
  <si>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</si>
  <si>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</si>
  <si>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</si>
  <si>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</si>
  <si>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</si>
  <si>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</si>
  <si>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</si>
  <si>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</si>
  <si>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</si>
  <si>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</si>
  <si>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</si>
  <si>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</si>
  <si>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</si>
  <si>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</si>
  <si>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</si>
  <si>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</si>
  <si>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</si>
  <si>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</si>
  <si>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</si>
  <si>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</si>
  <si>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</si>
  <si>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</si>
  <si>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</si>
  <si>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</si>
  <si>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</si>
  <si>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</si>
  <si>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</si>
  <si>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</si>
  <si>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</si>
  <si>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</si>
  <si>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</si>
  <si>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</si>
  <si>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</si>
  <si>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</si>
  <si>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</si>
  <si>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</si>
  <si>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</si>
  <si>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</si>
  <si>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</si>
  <si>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</si>
  <si>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</si>
  <si>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</si>
  <si>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</si>
  <si>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</si>
  <si>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</si>
  <si>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</si>
  <si>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</si>
  <si>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</si>
  <si>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</si>
  <si>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</si>
  <si>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</si>
  <si>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</si>
  <si>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</si>
  <si>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</si>
  <si>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</si>
  <si>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</si>
  <si>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</si>
  <si>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</si>
  <si>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</si>
  <si>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</si>
  <si>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</si>
  <si>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</si>
  <si>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</si>
  <si>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</si>
  <si>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</si>
  <si>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</si>
  <si>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</si>
  <si>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</si>
  <si>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</si>
  <si>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</si>
  <si>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</si>
  <si>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</si>
  <si>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</si>
  <si>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</si>
  <si>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</si>
  <si>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</si>
  <si>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</si>
  <si>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</si>
  <si>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</si>
  <si>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</si>
  <si>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</si>
  <si>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</si>
  <si>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</si>
  <si>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</si>
  <si>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</si>
  <si>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</si>
  <si>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</si>
  <si>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</si>
  <si>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</si>
  <si>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</si>
  <si>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</si>
  <si>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</si>
  <si>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</si>
  <si>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</si>
  <si>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</si>
  <si>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</si>
  <si>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</si>
  <si>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</si>
  <si>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</si>
  <si>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</si>
  <si>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</si>
  <si>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</si>
  <si>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</si>
  <si>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</si>
  <si>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</si>
  <si>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</si>
  <si>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</si>
  <si>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</si>
  <si>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</si>
  <si>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</si>
  <si>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</si>
  <si>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</si>
  <si>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</si>
  <si>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</si>
  <si>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</si>
  <si>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</si>
  <si>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</si>
  <si>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</si>
  <si>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</si>
  <si>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</si>
  <si>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</si>
  <si>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</si>
  <si>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</si>
  <si>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</si>
  <si>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</si>
  <si>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</si>
  <si>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</si>
  <si>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</si>
  <si>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</si>
  <si>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</si>
  <si>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</si>
  <si>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</si>
  <si>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</si>
  <si>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</si>
  <si>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</si>
  <si>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</si>
  <si>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</si>
  <si>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</si>
  <si>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</si>
  <si>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</si>
  <si>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</si>
  <si>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</si>
  <si>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</si>
  <si>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</si>
  <si>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</si>
  <si>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</si>
  <si>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</si>
  <si>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</si>
  <si>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</si>
  <si>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</si>
  <si>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</si>
  <si>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</si>
  <si>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</si>
  <si>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</si>
  <si>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</si>
  <si>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</si>
  <si>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</si>
  <si>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</si>
  <si>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</si>
  <si>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</si>
  <si>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</si>
  <si>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</si>
  <si>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</si>
  <si>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</si>
  <si>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</si>
  <si>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</si>
  <si>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</si>
  <si>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</si>
  <si>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</si>
  <si>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</si>
  <si>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</si>
  <si>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</si>
  <si>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</si>
  <si>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</si>
  <si>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</si>
  <si>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</si>
  <si>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</si>
  <si>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</si>
  <si>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</si>
  <si>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</si>
  <si>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</si>
  <si>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</si>
  <si>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</si>
  <si>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</si>
  <si>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</si>
  <si>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</si>
  <si>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</si>
  <si>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</si>
  <si>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</si>
  <si>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</si>
  <si>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</si>
  <si>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</si>
  <si>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</si>
  <si>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</si>
  <si>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</si>
  <si>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</si>
  <si>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</si>
  <si>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</si>
  <si>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</si>
  <si>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</si>
  <si>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</si>
  <si>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</si>
  <si>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</si>
  <si>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</si>
  <si>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</si>
  <si>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</si>
  <si>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</si>
  <si>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</si>
  <si>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</si>
  <si>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</si>
  <si>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</si>
  <si>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</si>
  <si>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</si>
  <si>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</si>
  <si>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</si>
  <si>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</si>
  <si>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</si>
  <si>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</si>
  <si>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</si>
  <si>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</si>
  <si>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</si>
  <si>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</si>
  <si>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</si>
  <si>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</si>
  <si>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</si>
  <si>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</si>
  <si>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</si>
  <si>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</si>
  <si>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</si>
  <si>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</si>
  <si>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</si>
  <si>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</si>
  <si>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</si>
  <si>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</si>
  <si>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</si>
  <si>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</si>
  <si>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</si>
  <si>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</si>
  <si>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</si>
  <si>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</si>
  <si>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</si>
  <si>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</si>
  <si>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</si>
  <si>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</si>
  <si>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</si>
  <si>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</si>
  <si>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</si>
  <si>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</si>
  <si>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</si>
  <si>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</si>
  <si>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</si>
  <si>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</si>
  <si>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</si>
  <si>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</si>
  <si>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</si>
  <si>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</si>
  <si>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</si>
  <si>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</si>
  <si>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</si>
  <si>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</si>
  <si>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</si>
  <si>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</si>
  <si>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</si>
  <si>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</si>
  <si>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</si>
  <si>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</si>
  <si>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</si>
  <si>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</si>
  <si>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</si>
  <si>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</si>
  <si>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</si>
  <si>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</si>
  <si>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</si>
  <si>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</si>
  <si>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</si>
  <si>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</si>
  <si>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</si>
  <si>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</si>
  <si>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</si>
  <si>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</si>
  <si>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</si>
  <si>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</si>
  <si>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</si>
  <si>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</si>
  <si>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</si>
  <si>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</si>
  <si>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</si>
  <si>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</si>
  <si>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</si>
  <si>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</si>
  <si>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</si>
  <si>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</si>
  <si>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</si>
  <si>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</si>
  <si>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</si>
  <si>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</si>
  <si>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</si>
  <si>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</si>
  <si>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</si>
  <si>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</si>
  <si>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</si>
  <si>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</si>
  <si>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</si>
  <si>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</si>
  <si>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</si>
  <si>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</si>
  <si>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</si>
  <si>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</si>
  <si>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</si>
  <si>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</si>
  <si>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</si>
  <si>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</si>
  <si>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</si>
  <si>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</si>
  <si>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</si>
  <si>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</si>
  <si>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</si>
  <si>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</si>
  <si>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</si>
  <si>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</si>
  <si>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</si>
  <si>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</si>
  <si>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</si>
  <si>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</si>
  <si>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</si>
  <si>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</si>
  <si>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</si>
  <si>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</si>
  <si>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</si>
  <si>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</si>
  <si>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</si>
  <si>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</si>
  <si>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</si>
  <si>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</si>
  <si>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</si>
  <si>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</si>
  <si>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</si>
  <si>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</si>
  <si>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</si>
  <si>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</si>
  <si>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</si>
  <si>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</si>
  <si>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</si>
  <si>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</si>
  <si>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</si>
  <si>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</si>
  <si>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</si>
  <si>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</si>
  <si>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</si>
  <si>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</si>
  <si>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</si>
  <si>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</si>
  <si>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</si>
  <si>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</si>
  <si>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</si>
  <si>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</si>
  <si>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</si>
  <si>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</si>
  <si>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</si>
  <si>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</si>
  <si>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</si>
  <si>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</si>
  <si>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</si>
  <si>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</si>
  <si>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</si>
  <si>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</si>
  <si>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</si>
  <si>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</si>
  <si>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</si>
  <si>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</si>
  <si>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</si>
  <si>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</si>
  <si>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</si>
  <si>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</si>
  <si>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</si>
  <si>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</si>
  <si>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</si>
  <si>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</si>
  <si>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</si>
  <si>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</si>
  <si>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</si>
  <si>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</si>
  <si>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</si>
  <si>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</si>
  <si>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</si>
  <si>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</si>
  <si>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</si>
  <si>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</si>
  <si>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</si>
  <si>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</si>
  <si>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</si>
  <si>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</si>
  <si>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</si>
  <si>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</si>
  <si>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</si>
  <si>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</si>
  <si>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</si>
  <si>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</si>
  <si>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</si>
  <si>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</si>
  <si>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</si>
  <si>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</si>
  <si>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</si>
  <si>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</si>
  <si>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</si>
  <si>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</si>
  <si>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</si>
  <si>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</si>
  <si>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</si>
  <si>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</si>
  <si>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</si>
  <si>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</si>
  <si>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</si>
  <si>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</si>
  <si>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</si>
  <si>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</si>
  <si>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</si>
  <si>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</si>
  <si>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</si>
  <si>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</si>
  <si>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</si>
  <si>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</si>
  <si>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</si>
  <si>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</si>
  <si>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</si>
  <si>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</si>
  <si>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</si>
  <si>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</si>
  <si>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</si>
  <si>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</si>
  <si>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</si>
  <si>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</si>
  <si>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</si>
  <si>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</si>
  <si>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</si>
  <si>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</si>
  <si>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</si>
  <si>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</si>
  <si>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</si>
  <si>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</si>
  <si>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</si>
  <si>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</si>
  <si>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</si>
  <si>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</si>
  <si>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</si>
  <si>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</si>
  <si>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</si>
  <si>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</si>
  <si>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</si>
  <si>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</si>
  <si>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</si>
  <si>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</si>
  <si>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</si>
  <si>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</si>
  <si>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</si>
  <si>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</si>
  <si>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</si>
  <si>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</si>
  <si>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</si>
  <si>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</si>
  <si>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</si>
  <si>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</si>
  <si>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</si>
  <si>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</si>
  <si>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</si>
  <si>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</si>
  <si>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</si>
  <si>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</si>
  <si>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</si>
  <si>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</si>
  <si>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</si>
  <si>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</si>
  <si>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</si>
  <si>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</si>
  <si>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</si>
  <si>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</si>
  <si>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</si>
  <si>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</si>
  <si>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</si>
  <si>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</si>
  <si>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</si>
  <si>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</si>
  <si>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</si>
  <si>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</si>
  <si>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</si>
  <si>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</si>
  <si>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</si>
  <si>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</si>
  <si>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</si>
  <si>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</si>
  <si>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</si>
  <si>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</si>
  <si>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</si>
  <si>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</si>
  <si>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</si>
  <si>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</si>
  <si>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</si>
  <si>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</si>
  <si>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</si>
  <si>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</si>
  <si>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</si>
  <si>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</si>
  <si>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</si>
  <si>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</si>
  <si>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</si>
  <si>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</si>
  <si>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</si>
  <si>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</si>
  <si>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</si>
  <si>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</si>
  <si>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</si>
  <si>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</si>
  <si>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</si>
  <si>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</si>
  <si>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</si>
  <si>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</si>
  <si>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</si>
  <si>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</si>
  <si>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</si>
  <si>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</si>
  <si>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</si>
  <si>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</si>
  <si>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</si>
  <si>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</si>
  <si>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</si>
  <si>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</si>
  <si>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</si>
  <si>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</si>
  <si>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</si>
  <si>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</si>
  <si>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</si>
  <si>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</si>
  <si>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</si>
  <si>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</si>
  <si>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</si>
  <si>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</si>
  <si>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</si>
  <si>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</si>
  <si>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</si>
  <si>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</si>
  <si>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</si>
  <si>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</si>
  <si>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</si>
  <si>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</si>
  <si>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</si>
  <si>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</si>
  <si>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</si>
  <si>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</si>
  <si>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</si>
  <si>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</si>
  <si>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</si>
  <si>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</si>
  <si>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</si>
  <si>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</si>
  <si>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</si>
  <si>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</si>
  <si>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</si>
  <si>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</si>
  <si>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</si>
  <si>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</si>
  <si>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</si>
  <si>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</si>
  <si>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</si>
  <si>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</si>
  <si>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</si>
  <si>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</si>
  <si>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</si>
  <si>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</si>
  <si>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</si>
  <si>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</si>
  <si>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</si>
  <si>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</si>
  <si>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</si>
  <si>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</si>
  <si>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</si>
  <si>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</si>
  <si>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</si>
  <si>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</si>
  <si>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</si>
  <si>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</si>
  <si>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</si>
  <si>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</si>
  <si>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</si>
  <si>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</si>
  <si>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</si>
  <si>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</si>
  <si>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</si>
  <si>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</si>
  <si>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</si>
  <si>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</si>
  <si>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</si>
  <si>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</si>
  <si>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</si>
  <si>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</si>
  <si>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</si>
  <si>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</si>
  <si>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</si>
  <si>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</si>
  <si>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</si>
  <si>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</si>
  <si>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</si>
  <si>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</si>
  <si>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</si>
  <si>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</si>
  <si>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</si>
  <si>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</si>
  <si>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</si>
  <si>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</si>
  <si>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</si>
  <si>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</si>
  <si>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</si>
  <si>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</si>
  <si>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</si>
  <si>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</si>
  <si>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</si>
  <si>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</si>
  <si>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</si>
  <si>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</si>
  <si>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</si>
  <si>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</si>
  <si>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</si>
  <si>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</si>
  <si>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</si>
  <si>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</si>
  <si>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</si>
  <si>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</si>
  <si>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</si>
  <si>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</si>
  <si>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</si>
  <si>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</si>
  <si>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</si>
  <si>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</si>
  <si>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</si>
  <si>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</si>
  <si>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</si>
  <si>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</si>
  <si>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</si>
  <si>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</si>
  <si>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</si>
  <si>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</si>
  <si>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</si>
  <si>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</si>
  <si>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</si>
  <si>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</si>
  <si>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</si>
  <si>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</si>
  <si>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</si>
  <si>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</si>
  <si>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</si>
  <si>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</si>
  <si>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</si>
  <si>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</si>
  <si>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</si>
  <si>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</si>
  <si>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</si>
  <si>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</si>
  <si>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</si>
  <si>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</si>
  <si>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</si>
  <si>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</si>
  <si>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</si>
  <si>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</si>
  <si>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</si>
  <si>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</si>
  <si>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</si>
  <si>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</si>
  <si>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</si>
  <si>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</si>
  <si>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</si>
  <si>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</si>
  <si>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</si>
  <si>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</si>
  <si>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</si>
  <si>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</si>
  <si>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</si>
  <si>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</si>
  <si>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</si>
  <si>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</si>
  <si>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</si>
  <si>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</si>
  <si>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</si>
  <si>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</si>
  <si>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</si>
  <si>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</si>
  <si>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</si>
  <si>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</si>
  <si>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</si>
  <si>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</si>
  <si>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</si>
  <si>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</si>
  <si>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</si>
  <si>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</si>
  <si>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</si>
  <si>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</si>
  <si>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</si>
  <si>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</si>
  <si>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</si>
  <si>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</si>
  <si>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</si>
  <si>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</si>
  <si>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</si>
  <si>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</si>
  <si>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</si>
  <si>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</si>
  <si>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</si>
  <si>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</si>
  <si>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</si>
  <si>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</si>
  <si>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</si>
  <si>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</si>
  <si>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</si>
  <si>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</si>
  <si>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</si>
  <si>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</si>
  <si>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</si>
  <si>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</si>
  <si>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</si>
  <si>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</si>
  <si>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</si>
  <si>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</si>
  <si>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</si>
  <si>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</si>
  <si>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</si>
  <si>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</si>
  <si>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</si>
  <si>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</si>
  <si>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</si>
  <si>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</si>
  <si>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</si>
  <si>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</si>
  <si>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</si>
  <si>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</si>
  <si>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</si>
  <si>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</si>
  <si>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</si>
  <si>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</si>
  <si>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</si>
  <si>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</si>
  <si>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</si>
  <si>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</si>
  <si>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</si>
  <si>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</si>
  <si>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</si>
  <si>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</si>
  <si>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</si>
  <si>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</si>
  <si>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</si>
  <si>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</si>
  <si>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</si>
  <si>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</si>
  <si>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</si>
  <si>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</si>
  <si>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</si>
  <si>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</si>
  <si>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</si>
  <si>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</si>
  <si>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</si>
  <si>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</si>
  <si>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</si>
  <si>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</si>
  <si>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</si>
  <si>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</si>
  <si>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</si>
  <si>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</si>
  <si>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</si>
  <si>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</si>
  <si>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</si>
  <si>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</si>
  <si>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</si>
  <si>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</si>
  <si>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</si>
  <si>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</si>
  <si>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</si>
  <si>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</si>
  <si>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</si>
  <si>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</si>
  <si>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</si>
  <si>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</si>
  <si>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</si>
  <si>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</si>
  <si>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</si>
  <si>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</si>
  <si>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</si>
  <si>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</si>
  <si>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</si>
  <si>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</si>
  <si>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</si>
  <si>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</si>
  <si>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</si>
  <si>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</si>
  <si>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</si>
  <si>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</si>
  <si>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</si>
  <si>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</si>
  <si>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</si>
  <si>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</si>
  <si>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</si>
  <si>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</si>
  <si>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</si>
  <si>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</si>
  <si>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</si>
  <si>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</si>
  <si>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</si>
  <si>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</si>
  <si>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</si>
  <si>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</si>
  <si>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</si>
  <si>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</si>
  <si>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</si>
  <si>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</si>
  <si>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</si>
  <si>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</si>
  <si>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</si>
  <si>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</si>
  <si>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</si>
  <si>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</si>
  <si>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</si>
  <si>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</si>
  <si>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</si>
  <si>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</si>
  <si>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</si>
  <si>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</si>
  <si>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</si>
  <si>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</si>
  <si>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</si>
  <si>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</si>
  <si>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</si>
  <si>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</si>
  <si>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</si>
  <si>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</si>
  <si>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</si>
  <si>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</si>
  <si>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</si>
  <si>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</si>
  <si>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</si>
  <si>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</si>
  <si>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</si>
  <si>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</si>
  <si>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</si>
  <si>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</si>
  <si>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</si>
  <si>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</si>
  <si>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</si>
  <si>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</si>
  <si>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</si>
  <si>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</si>
  <si>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</si>
  <si>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</si>
  <si>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</si>
  <si>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</si>
  <si>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</si>
  <si>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</si>
  <si>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</si>
  <si>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</si>
  <si>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</si>
  <si>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</si>
  <si>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</si>
  <si>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</si>
  <si>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</si>
  <si>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</si>
  <si>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</si>
  <si>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</si>
  <si>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</si>
  <si>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</si>
  <si>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</si>
  <si>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</si>
  <si>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</si>
  <si>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</si>
  <si>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</si>
  <si>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</si>
  <si>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</si>
  <si>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</si>
  <si>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</si>
  <si>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</si>
  <si>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</si>
  <si>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</si>
  <si>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</si>
  <si>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</si>
  <si>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</si>
  <si>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</si>
  <si>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</si>
  <si>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</si>
  <si>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</si>
  <si>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</si>
  <si>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</si>
  <si>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</si>
  <si>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</si>
  <si>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</si>
  <si>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</si>
  <si>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</si>
  <si>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</si>
  <si>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</si>
  <si>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</si>
  <si>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</si>
  <si>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</si>
  <si>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</si>
  <si>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</si>
  <si>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</si>
  <si>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</si>
  <si>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</si>
  <si>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</si>
  <si>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</si>
  <si>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</si>
  <si>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</si>
  <si>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</si>
  <si>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</si>
  <si>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</si>
  <si>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</si>
  <si>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</si>
  <si>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</si>
  <si>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</si>
  <si>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</si>
  <si>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</si>
  <si>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</si>
  <si>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</si>
  <si>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</si>
  <si>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</si>
  <si>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</si>
  <si>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</si>
  <si>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</si>
  <si>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</si>
  <si>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</si>
  <si>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</si>
  <si>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</si>
  <si>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</si>
  <si>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</si>
  <si>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</si>
  <si>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</si>
  <si>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</si>
  <si>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</si>
  <si>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</si>
  <si>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</si>
  <si>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</si>
  <si>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</si>
  <si>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</si>
  <si>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</si>
  <si>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</si>
  <si>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</si>
  <si>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</si>
  <si>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</si>
  <si>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</si>
  <si>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</si>
  <si>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</si>
  <si>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</si>
  <si>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</si>
  <si>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</si>
  <si>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</si>
  <si>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</si>
  <si>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</si>
  <si>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</si>
  <si>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</si>
  <si>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</si>
  <si>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</si>
  <si>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</si>
  <si>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</si>
  <si>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</si>
  <si>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</si>
  <si>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</si>
  <si>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</si>
  <si>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</si>
  <si>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</si>
  <si>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</si>
  <si>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</si>
  <si>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</si>
  <si>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</si>
  <si>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</si>
  <si>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</si>
  <si>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</si>
  <si>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</si>
  <si>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</si>
  <si>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</si>
  <si>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</si>
  <si>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</si>
  <si>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</si>
  <si>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</si>
  <si>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</si>
  <si>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</si>
  <si>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</si>
  <si>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</si>
  <si>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</si>
  <si>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</si>
  <si>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</si>
  <si>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</si>
  <si>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</si>
  <si>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</si>
  <si>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</si>
  <si>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</si>
  <si>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</si>
  <si>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</si>
  <si>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</si>
  <si>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</si>
  <si>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</si>
  <si>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</si>
  <si>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</si>
  <si>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</si>
  <si>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</si>
  <si>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</si>
  <si>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</si>
  <si>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</si>
  <si>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</si>
  <si>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</si>
  <si>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</si>
  <si>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</si>
  <si>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</si>
  <si>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</si>
  <si>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</si>
  <si>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</si>
  <si>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</si>
  <si>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</si>
  <si>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</si>
  <si>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</si>
  <si>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</si>
  <si>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</si>
  <si>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</si>
  <si>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</si>
  <si>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</si>
  <si>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</si>
  <si>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</si>
  <si>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</si>
  <si>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</si>
  <si>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</si>
  <si>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</si>
  <si>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</si>
  <si>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</si>
  <si>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</si>
  <si>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</si>
  <si>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</si>
  <si>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</si>
  <si>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</si>
  <si>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</si>
  <si>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</si>
  <si>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</si>
  <si>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</si>
  <si>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</si>
  <si>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</si>
  <si>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</si>
  <si>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</si>
  <si>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</si>
  <si>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</si>
  <si>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</si>
  <si>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</si>
  <si>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</si>
  <si>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</si>
  <si>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</si>
  <si>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</si>
  <si>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</si>
  <si>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</si>
  <si>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</si>
  <si>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</si>
  <si>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</si>
  <si>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</si>
  <si>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</si>
  <si>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</si>
  <si>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</si>
  <si>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</si>
  <si>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</si>
  <si>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</si>
  <si>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</si>
  <si>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</si>
  <si>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</si>
  <si>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</si>
  <si>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</si>
  <si>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</si>
  <si>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</si>
  <si>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</si>
  <si>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</si>
  <si>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</si>
  <si>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</si>
  <si>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</si>
  <si>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</si>
  <si>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</si>
  <si>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</si>
  <si>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</si>
  <si>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</si>
  <si>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</si>
  <si>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</si>
  <si>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</si>
  <si>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</si>
  <si>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</si>
  <si>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</si>
  <si>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</si>
  <si>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</si>
  <si>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</si>
  <si>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</si>
  <si>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</si>
  <si>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</si>
  <si>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</si>
  <si>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</si>
  <si>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</si>
  <si>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</si>
  <si>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</si>
  <si>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</si>
  <si>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</si>
  <si>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</si>
  <si>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</si>
  <si>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</si>
  <si>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</si>
  <si>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</si>
  <si>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</si>
  <si>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</si>
  <si>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</si>
  <si>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</si>
  <si>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</si>
  <si>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</si>
  <si>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</si>
  <si>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</si>
  <si>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</si>
  <si>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</si>
  <si>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</si>
  <si>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</si>
  <si>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</si>
  <si>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</si>
  <si>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</si>
  <si>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</si>
  <si>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</si>
  <si>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</si>
  <si>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</si>
  <si>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</si>
  <si>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</si>
  <si>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</si>
  <si>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</si>
  <si>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</si>
  <si>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</si>
  <si>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</si>
  <si>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</si>
  <si>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</si>
  <si>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</si>
  <si>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</si>
  <si>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</si>
  <si>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</si>
  <si>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</si>
  <si>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</si>
  <si>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</si>
  <si>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</si>
  <si>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</si>
  <si>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</si>
  <si>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</si>
  <si>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</si>
  <si>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</si>
  <si>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</si>
  <si>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</si>
  <si>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</si>
  <si>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</si>
  <si>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</si>
  <si>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</si>
  <si>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</si>
  <si>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</si>
  <si>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</si>
  <si>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</si>
  <si>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</si>
  <si>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</si>
  <si>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</si>
  <si>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</si>
  <si>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</si>
  <si>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</si>
  <si>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</si>
  <si>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</si>
  <si>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</si>
  <si>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</si>
  <si>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</si>
  <si>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</si>
  <si>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</si>
  <si>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</si>
  <si>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</si>
  <si>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</si>
  <si>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</si>
  <si>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</si>
  <si>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</si>
  <si>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</si>
  <si>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</si>
  <si>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</si>
  <si>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</si>
  <si>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</si>
  <si>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</si>
  <si>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</si>
  <si>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</si>
  <si>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</si>
  <si>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</si>
  <si>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</si>
  <si>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</si>
  <si>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</si>
  <si>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</si>
  <si>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</si>
  <si>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</si>
  <si>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</si>
  <si>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</si>
  <si>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</si>
  <si>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</si>
  <si>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</si>
  <si>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</si>
  <si>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</si>
  <si>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</si>
  <si>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</si>
  <si>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</si>
  <si>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</si>
  <si>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</si>
  <si>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</si>
  <si>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</si>
  <si>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</si>
  <si>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</si>
  <si>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</si>
  <si>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</si>
  <si>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</si>
  <si>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</si>
  <si>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</si>
  <si>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</si>
  <si>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</si>
  <si>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</si>
  <si>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</si>
  <si>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</si>
  <si>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</si>
  <si>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</si>
  <si>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</si>
  <si>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</si>
  <si>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</si>
  <si>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</si>
  <si>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</si>
  <si>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</si>
  <si>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</si>
  <si>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</si>
  <si>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</si>
  <si>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</si>
  <si>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</si>
  <si>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</si>
  <si>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</si>
  <si>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</si>
  <si>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</si>
  <si>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</si>
  <si>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</si>
  <si>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</si>
  <si>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</si>
  <si>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</si>
  <si>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</si>
  <si>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</si>
  <si>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</si>
  <si>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</si>
  <si>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</si>
  <si>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</si>
  <si>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</si>
  <si>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</si>
  <si>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</si>
  <si>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</si>
  <si>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</si>
  <si>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</si>
  <si>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</si>
  <si>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</si>
  <si>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</si>
  <si>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</si>
  <si>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</si>
  <si>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</si>
  <si>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</si>
  <si>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</si>
  <si>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</si>
  <si>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</si>
  <si>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</si>
  <si>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</si>
  <si>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</si>
  <si>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</si>
  <si>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</si>
  <si>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</si>
  <si>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</si>
  <si>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</si>
  <si>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</si>
  <si>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</si>
  <si>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</si>
  <si>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</si>
  <si>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</si>
  <si>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</si>
  <si>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</si>
  <si>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</si>
  <si>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</si>
  <si>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</si>
  <si>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</si>
  <si>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</si>
  <si>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</si>
  <si>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</si>
  <si>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</si>
  <si>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</si>
  <si>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</si>
  <si>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</si>
  <si>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</si>
  <si>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</si>
  <si>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</si>
  <si>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</si>
  <si>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</si>
  <si>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</si>
  <si>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</si>
  <si>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</si>
  <si>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</si>
  <si>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</si>
  <si>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</si>
  <si>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</si>
  <si>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</si>
  <si>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</si>
  <si>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</si>
  <si>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</si>
  <si>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</si>
  <si>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</si>
  <si>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</si>
  <si>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</si>
  <si>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</si>
  <si>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</si>
  <si>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</si>
  <si>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</si>
  <si>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</si>
  <si>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</si>
  <si>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</si>
  <si>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</si>
  <si>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</si>
  <si>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</si>
  <si>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</si>
  <si>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</si>
  <si>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</si>
  <si>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</si>
  <si>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</si>
  <si>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</si>
  <si>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</si>
  <si>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</si>
  <si>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</si>
  <si>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</si>
  <si>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</si>
  <si>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</si>
  <si>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</si>
  <si>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</si>
  <si>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</si>
  <si>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</si>
  <si>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</si>
  <si>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</si>
  <si>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</si>
  <si>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</si>
  <si>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</si>
  <si>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</si>
  <si>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</si>
  <si>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</si>
  <si>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</si>
  <si>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</si>
  <si>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</si>
  <si>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</si>
  <si>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</si>
  <si>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</si>
  <si>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</si>
  <si>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</si>
  <si>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</si>
  <si>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</si>
  <si>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</si>
  <si>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</si>
  <si>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</si>
  <si>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</si>
  <si>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</si>
  <si>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</si>
  <si>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</si>
  <si>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</si>
  <si>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</si>
  <si>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</si>
  <si>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</si>
  <si>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</si>
  <si>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</si>
  <si>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</si>
  <si>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</si>
  <si>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</si>
  <si>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</si>
  <si>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</si>
  <si>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</si>
  <si>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</si>
  <si>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</si>
  <si>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</si>
  <si>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</si>
  <si>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</si>
  <si>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</si>
  <si>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</si>
  <si>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</si>
  <si>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</si>
  <si>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</si>
  <si>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</si>
  <si>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</si>
  <si>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</si>
  <si>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</si>
  <si>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</si>
  <si>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</si>
  <si>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</si>
  <si>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</si>
  <si>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</si>
  <si>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</si>
  <si>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</si>
  <si>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</si>
  <si>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</si>
  <si>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</si>
  <si>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</si>
  <si>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</si>
  <si>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</si>
  <si>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</si>
  <si>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</si>
  <si>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</si>
  <si>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</si>
  <si>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</si>
  <si>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</si>
  <si>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</si>
  <si>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</si>
  <si>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</si>
  <si>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</si>
  <si>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</si>
  <si>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</si>
  <si>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</si>
  <si>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</si>
  <si>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</si>
  <si>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</si>
  <si>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</si>
  <si>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</si>
  <si>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</si>
  <si>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</si>
  <si>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</si>
  <si>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</si>
  <si>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</si>
  <si>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</si>
  <si>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</si>
  <si>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</si>
  <si>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</si>
  <si>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</si>
  <si>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</si>
  <si>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</si>
  <si>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</si>
  <si>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</si>
  <si>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</si>
  <si>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</si>
  <si>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</si>
  <si>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</si>
  <si>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</si>
  <si>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</si>
  <si>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</si>
  <si>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</si>
  <si>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</si>
  <si>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</si>
  <si>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</si>
  <si>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</si>
  <si>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</si>
  <si>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</si>
  <si>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</si>
  <si>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</si>
  <si>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</si>
  <si>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</si>
  <si>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</si>
  <si>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</si>
  <si>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</si>
  <si>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</si>
  <si>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</si>
  <si>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</si>
  <si>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</si>
  <si>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</si>
  <si>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</si>
  <si>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</si>
  <si>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</si>
  <si>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</si>
  <si>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</si>
  <si>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</si>
  <si>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</si>
  <si>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</si>
  <si>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</si>
  <si>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</si>
  <si>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</si>
  <si>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</si>
  <si>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</si>
  <si>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</si>
  <si>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</si>
  <si>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</si>
  <si>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</si>
  <si>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</si>
  <si>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</si>
  <si>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</si>
  <si>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</si>
  <si>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</si>
  <si>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</si>
  <si>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</si>
  <si>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</si>
  <si>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</si>
  <si>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</si>
  <si>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</si>
  <si>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</si>
  <si>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</si>
  <si>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</si>
  <si>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</si>
  <si>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</si>
  <si>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</si>
  <si>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</si>
  <si>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</si>
  <si>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</si>
  <si>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</si>
  <si>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</si>
  <si>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</si>
  <si>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</si>
  <si>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</si>
  <si>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</si>
  <si>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</si>
  <si>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</si>
  <si>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</si>
  <si>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</si>
  <si>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</si>
  <si>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</si>
  <si>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</si>
  <si>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</si>
  <si>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</si>
  <si>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</si>
  <si>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</si>
  <si>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</si>
  <si>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</si>
  <si>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</si>
  <si>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</si>
  <si>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</si>
  <si>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</si>
  <si>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</si>
  <si>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</si>
  <si>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</si>
  <si>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</si>
  <si>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</si>
  <si>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</si>
  <si>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</si>
  <si>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</si>
  <si>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</si>
  <si>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</si>
  <si>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</si>
  <si>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</si>
  <si>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</si>
  <si>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</si>
  <si>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</si>
  <si>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</si>
  <si>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</si>
  <si>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</si>
  <si>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</si>
  <si>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</si>
  <si>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</si>
  <si>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</si>
  <si>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</si>
  <si>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</si>
  <si>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</si>
  <si>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</si>
  <si>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</si>
  <si>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</si>
  <si>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</si>
  <si>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</si>
  <si>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</si>
  <si>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</si>
  <si>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</si>
  <si>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</si>
  <si>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</si>
  <si>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</si>
  <si>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</si>
  <si>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</si>
  <si>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</si>
  <si>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</si>
  <si>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</si>
  <si>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</si>
  <si>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</si>
  <si>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</si>
  <si>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</si>
  <si>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</si>
  <si>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</si>
  <si>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</si>
  <si>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</si>
  <si>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</si>
  <si>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</si>
  <si>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</si>
  <si>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</si>
  <si>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</si>
  <si>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</si>
  <si>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</si>
  <si>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</si>
  <si>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</si>
  <si>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</si>
  <si>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</si>
  <si>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</si>
  <si>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</si>
  <si>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</si>
  <si>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</si>
  <si>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</si>
  <si>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</si>
  <si>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</si>
  <si>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</si>
  <si>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</si>
  <si>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</si>
  <si>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</si>
  <si>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</si>
  <si>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</si>
  <si>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</si>
  <si>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</si>
  <si>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</si>
  <si>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</si>
  <si>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</si>
  <si>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</si>
  <si>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</si>
  <si>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</si>
  <si>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</si>
  <si>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</si>
  <si>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</si>
  <si>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</si>
  <si>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</si>
  <si>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</si>
  <si>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</si>
  <si>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</si>
  <si>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</si>
  <si>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</si>
  <si>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</si>
  <si>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</si>
  <si>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</si>
  <si>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</si>
  <si>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</si>
  <si>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</si>
  <si>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</si>
  <si>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</si>
  <si>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</si>
  <si>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</si>
  <si>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</si>
  <si>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</si>
  <si>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</si>
  <si>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</si>
  <si>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</si>
  <si>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</si>
  <si>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</si>
  <si>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</si>
  <si>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</si>
  <si>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</si>
  <si>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</si>
  <si>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</si>
  <si>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</si>
  <si>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</si>
  <si>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</si>
  <si>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</si>
  <si>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</si>
  <si>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</si>
  <si>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</si>
  <si>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</si>
  <si>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</si>
  <si>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</si>
  <si>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</si>
  <si>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</si>
  <si>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</si>
  <si>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</si>
  <si>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</si>
  <si>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</si>
  <si>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</si>
  <si>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</si>
  <si>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</si>
  <si>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</si>
  <si>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</si>
  <si>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</si>
  <si>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</si>
  <si>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</si>
  <si>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</si>
  <si>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</si>
  <si>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</si>
  <si>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</si>
  <si>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</si>
  <si>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</si>
  <si>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</si>
  <si>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</si>
  <si>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</si>
  <si>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</si>
  <si>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</si>
  <si>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</si>
  <si>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</si>
  <si>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</si>
  <si>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</si>
  <si>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</si>
  <si>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</si>
  <si>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</si>
  <si>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</si>
  <si>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</si>
  <si>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</si>
  <si>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</si>
  <si>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</si>
  <si>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</si>
  <si>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</si>
  <si>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</si>
  <si>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</si>
  <si>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</si>
  <si>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</si>
  <si>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</si>
  <si>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</si>
  <si>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</si>
  <si>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</si>
  <si>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</si>
  <si>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</si>
  <si>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</si>
  <si>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</si>
  <si>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</si>
  <si>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</si>
  <si>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</si>
  <si>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</si>
  <si>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</si>
  <si>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</si>
  <si>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</si>
  <si>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</si>
  <si>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</si>
  <si>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</si>
  <si>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</si>
  <si>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</si>
  <si>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</si>
  <si>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</si>
  <si>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</si>
  <si>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</si>
  <si>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</si>
  <si>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</si>
  <si>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</si>
  <si>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</si>
  <si>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</si>
  <si>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</si>
  <si>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</si>
  <si>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</si>
  <si>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</si>
  <si>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</si>
  <si>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</si>
  <si>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</si>
  <si>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</si>
  <si>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</si>
  <si>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</si>
  <si>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</si>
  <si>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</si>
  <si>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</si>
  <si>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</si>
  <si>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</si>
  <si>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</si>
  <si>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</si>
  <si>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</si>
  <si>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</si>
  <si>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</si>
  <si>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</si>
  <si>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</si>
  <si>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</si>
  <si>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</si>
  <si>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</si>
  <si>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</si>
  <si>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</si>
  <si>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</si>
  <si>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</si>
  <si>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</si>
  <si>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</si>
  <si>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</si>
  <si>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</si>
  <si>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</si>
  <si>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</si>
  <si>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</si>
  <si>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</si>
  <si>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</si>
  <si>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</si>
  <si>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</si>
  <si>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</si>
  <si>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</si>
  <si>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</si>
  <si>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</si>
  <si>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</si>
  <si>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</si>
  <si>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</si>
  <si>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</si>
  <si>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</si>
  <si>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</si>
  <si>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</si>
  <si>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</si>
  <si>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</si>
  <si>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</si>
  <si>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</si>
  <si>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</si>
  <si>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</si>
  <si>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</si>
  <si>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</si>
  <si>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</si>
  <si>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</si>
  <si>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</si>
  <si>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</si>
  <si>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</si>
  <si>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</si>
  <si>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</si>
  <si>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</si>
  <si>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</si>
  <si>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</si>
  <si>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</si>
  <si>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</si>
  <si>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</si>
  <si>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</si>
  <si>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</si>
  <si>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</si>
  <si>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</si>
  <si>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 xml:space="preserve">Last year I did costs that exist in the SAU budget, not the Stoddard budget. I had decided that wasn't what was supposed to </t>
  </si>
  <si>
    <t xml:space="preserve">be in this field. If you disagree let me know and I'll add it back 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</si>
</sst>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pageSetUpPr fitToPage="1"/>
  </sheetPr>
  <dimension ref="A1:CH677"/>
  <sheetViews>
    <sheetView tabSelected="1" zoomScaleNormal="10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1420</v>
      </c>
      <c r="B2">
        <f>INDEX('School Tables'!$AH$3:$AH$209,MATCH('DOE25'!A2,'School Tables'!$AJ$3:$AJ$209,0))</f>
        <v>503</v>
      </c>
      <c r="C2">
        <f>INDEX('School Tables'!$AI$3:$AI$209,MATCH('DOE25'!A2,'School Tables'!$AJ$3:$AJ$209,0))</f>
        <v>503</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320886.45</f>
        <v>320886.45</v>
      </c>
      <c r="G9" s="18">
        <v>0</v>
      </c>
      <c r="H9" s="18">
        <v>0</v>
      </c>
      <c r="I9" s="18">
        <v>0</v>
      </c>
      <c r="J9" s="13">
        <f>SUM(I440)</f>
        <v>239044.58</v>
      </c>
      <c r="K9" s="23" t="s">
        <v>288</v>
      </c>
      <c r="L9" s="23" t="s">
        <v>288</v>
      </c>
      <c r="M9" s="8"/>
      <c r="N9" s="165"/>
    </row>
    <row r="10" spans="1:14" s="3" customFormat="1" ht="12.2" customHeight="1" x14ac:dyDescent="0.15">
      <c r="A10" s="1" t="s">
        <v>562</v>
      </c>
      <c r="B10" s="2" t="s">
        <v>289</v>
      </c>
      <c r="C10" s="6">
        <v>2</v>
      </c>
      <c r="D10" s="2" t="s">
        <v>428</v>
      </c>
      <c r="E10" s="6">
        <v>110</v>
      </c>
      <c r="F10" s="18">
        <v>0</v>
      </c>
      <c r="G10" s="18">
        <v>0</v>
      </c>
      <c r="H10" s="18">
        <v>0</v>
      </c>
      <c r="I10" s="18">
        <v>0</v>
      </c>
      <c r="J10" s="13">
        <f>SUM(I441)</f>
        <v>0</v>
      </c>
      <c r="K10" s="23" t="s">
        <v>288</v>
      </c>
      <c r="L10" s="23" t="s">
        <v>288</v>
      </c>
      <c r="M10" s="8"/>
      <c r="N10" s="165"/>
    </row>
    <row r="11" spans="1:14" s="3" customFormat="1" ht="12.2" customHeight="1" x14ac:dyDescent="0.15">
      <c r="A11" s="1" t="s">
        <v>563</v>
      </c>
      <c r="B11" s="2" t="s">
        <v>289</v>
      </c>
      <c r="C11" s="6">
        <v>3</v>
      </c>
      <c r="D11" s="2" t="s">
        <v>428</v>
      </c>
      <c r="E11" s="6">
        <v>120</v>
      </c>
      <c r="F11" s="18">
        <v>0</v>
      </c>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0</v>
      </c>
      <c r="G12" s="18">
        <v>0</v>
      </c>
      <c r="H12" s="18">
        <v>0</v>
      </c>
      <c r="I12" s="18">
        <v>0</v>
      </c>
      <c r="J12" s="13">
        <f>SUM(I442)</f>
        <v>0</v>
      </c>
      <c r="K12" s="23" t="s">
        <v>288</v>
      </c>
      <c r="L12" s="23" t="s">
        <v>288</v>
      </c>
      <c r="M12" s="8"/>
      <c r="N12" s="165"/>
    </row>
    <row r="13" spans="1:14" s="3" customFormat="1" ht="12.2" customHeight="1" x14ac:dyDescent="0.15">
      <c r="A13" s="1" t="s">
        <v>604</v>
      </c>
      <c r="B13" s="2" t="s">
        <v>289</v>
      </c>
      <c r="C13" s="6">
        <v>5</v>
      </c>
      <c r="D13" s="2" t="s">
        <v>428</v>
      </c>
      <c r="E13" s="6">
        <v>140</v>
      </c>
      <c r="F13" s="18">
        <v>20441.82</v>
      </c>
      <c r="G13" s="18">
        <v>25989.54</v>
      </c>
      <c r="H13" s="18">
        <v>105987.2</v>
      </c>
      <c r="I13" s="18">
        <v>0</v>
      </c>
      <c r="J13" s="13">
        <f>SUM(I443)</f>
        <v>0</v>
      </c>
      <c r="K13" s="23" t="s">
        <v>288</v>
      </c>
      <c r="L13" s="23" t="s">
        <v>288</v>
      </c>
      <c r="M13" s="8"/>
      <c r="N13" s="165"/>
    </row>
    <row r="14" spans="1:14" s="3" customFormat="1" ht="12.2" customHeight="1" x14ac:dyDescent="0.15">
      <c r="A14" s="1" t="s">
        <v>565</v>
      </c>
      <c r="B14" s="2" t="s">
        <v>289</v>
      </c>
      <c r="C14" s="6">
        <v>6</v>
      </c>
      <c r="D14" s="2" t="s">
        <v>428</v>
      </c>
      <c r="E14" s="6">
        <v>150</v>
      </c>
      <c r="F14" s="18">
        <v>1173.67</v>
      </c>
      <c r="G14" s="18">
        <v>0</v>
      </c>
      <c r="H14" s="18">
        <v>0</v>
      </c>
      <c r="I14" s="18">
        <v>0</v>
      </c>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v>0</v>
      </c>
      <c r="G16" s="18">
        <v>0</v>
      </c>
      <c r="H16" s="18">
        <v>0</v>
      </c>
      <c r="I16" s="18">
        <v>0</v>
      </c>
      <c r="J16" s="23" t="s">
        <v>288</v>
      </c>
      <c r="K16" s="23" t="s">
        <v>288</v>
      </c>
      <c r="L16" s="23" t="s">
        <v>288</v>
      </c>
      <c r="M16" s="8"/>
      <c r="N16" s="165"/>
    </row>
    <row r="17" spans="1:14" s="3" customFormat="1" ht="12.2" customHeight="1" x14ac:dyDescent="0.15">
      <c r="A17" s="1" t="s">
        <v>567</v>
      </c>
      <c r="B17" s="2" t="s">
        <v>289</v>
      </c>
      <c r="C17" s="6">
        <v>9</v>
      </c>
      <c r="D17" s="2" t="s">
        <v>428</v>
      </c>
      <c r="E17" s="6">
        <v>180</v>
      </c>
      <c r="F17" s="18">
        <v>9493.64</v>
      </c>
      <c r="G17" s="18">
        <v>0</v>
      </c>
      <c r="H17" s="18">
        <v>0</v>
      </c>
      <c r="I17" s="18">
        <v>0</v>
      </c>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v>0</v>
      </c>
      <c r="G18" s="18">
        <v>0</v>
      </c>
      <c r="H18" s="102">
        <v>0</v>
      </c>
      <c r="I18" s="18">
        <v>0</v>
      </c>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351995.58</v>
      </c>
      <c r="G19" s="38">
        <f>SUM(G9:G18)</f>
        <v>25989.54</v>
      </c>
      <c r="H19" s="38">
        <f>SUM(H9:H18)</f>
        <v>105987.2</v>
      </c>
      <c r="I19" s="38">
        <f>SUM(I9:I18)</f>
        <v>0</v>
      </c>
      <c r="J19" s="38">
        <f>SUM(J9:J18)</f>
        <v>239044.58</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-95603.67</v>
      </c>
      <c r="G22" s="18">
        <v>25989.54</v>
      </c>
      <c r="H22" s="18">
        <v>69614.13</v>
      </c>
      <c r="I22" s="18">
        <v>0</v>
      </c>
      <c r="J22" s="13">
        <f>SUM(I449)</f>
        <v>0</v>
      </c>
      <c r="K22" s="23" t="s">
        <v>288</v>
      </c>
      <c r="L22" s="23" t="s">
        <v>288</v>
      </c>
      <c r="M22" s="8"/>
      <c r="N22" s="165"/>
    </row>
    <row r="23" spans="1:14" s="3" customFormat="1" ht="12.2" customHeight="1" x14ac:dyDescent="0.15">
      <c r="A23" s="1" t="s">
        <v>607</v>
      </c>
      <c r="B23" s="2" t="s">
        <v>289</v>
      </c>
      <c r="C23" s="6">
        <v>13</v>
      </c>
      <c r="D23" s="2" t="s">
        <v>429</v>
      </c>
      <c r="E23" s="6">
        <v>410</v>
      </c>
      <c r="F23" s="18">
        <v>0</v>
      </c>
      <c r="G23" s="18">
        <v>0</v>
      </c>
      <c r="H23" s="18">
        <v>0</v>
      </c>
      <c r="I23" s="18">
        <v>0</v>
      </c>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50925.62</v>
      </c>
      <c r="G24" s="18">
        <v>0</v>
      </c>
      <c r="H24" s="18">
        <f>732.8+2693.11+10959.64+21543.72</f>
        <v>35929.270000000004</v>
      </c>
      <c r="I24" s="18">
        <v>0</v>
      </c>
      <c r="J24" s="13">
        <f>SUM(I451)</f>
        <v>0</v>
      </c>
      <c r="K24" s="23" t="s">
        <v>288</v>
      </c>
      <c r="L24" s="23" t="s">
        <v>288</v>
      </c>
      <c r="M24" s="8"/>
      <c r="N24" s="165"/>
    </row>
    <row r="25" spans="1:14" s="3" customFormat="1" ht="12.2" customHeight="1" x14ac:dyDescent="0.15">
      <c r="A25" s="1" t="s">
        <v>574</v>
      </c>
      <c r="B25" s="2" t="s">
        <v>289</v>
      </c>
      <c r="C25" s="6">
        <v>15</v>
      </c>
      <c r="D25" s="2" t="s">
        <v>429</v>
      </c>
      <c r="E25" s="6">
        <v>430</v>
      </c>
      <c r="F25" s="18">
        <v>0</v>
      </c>
      <c r="G25" s="102">
        <v>0</v>
      </c>
      <c r="H25" s="18">
        <v>0</v>
      </c>
      <c r="I25" s="18">
        <v>0</v>
      </c>
      <c r="J25" s="23" t="s">
        <v>288</v>
      </c>
      <c r="K25" s="23" t="s">
        <v>288</v>
      </c>
      <c r="L25" s="23" t="s">
        <v>288</v>
      </c>
      <c r="M25" s="8"/>
      <c r="N25" s="165"/>
    </row>
    <row r="26" spans="1:14" s="3" customFormat="1" ht="12.2" customHeight="1" x14ac:dyDescent="0.15">
      <c r="A26" s="1" t="s">
        <v>571</v>
      </c>
      <c r="B26" s="2" t="s">
        <v>289</v>
      </c>
      <c r="C26" s="6">
        <v>16</v>
      </c>
      <c r="D26" s="2" t="s">
        <v>429</v>
      </c>
      <c r="E26" s="6">
        <v>440</v>
      </c>
      <c r="F26" s="18">
        <v>0</v>
      </c>
      <c r="G26" s="23" t="s">
        <v>288</v>
      </c>
      <c r="H26" s="23" t="s">
        <v>288</v>
      </c>
      <c r="I26" s="18">
        <v>0</v>
      </c>
      <c r="J26" s="23" t="s">
        <v>288</v>
      </c>
      <c r="K26" s="23" t="s">
        <v>288</v>
      </c>
      <c r="L26" s="23" t="s">
        <v>288</v>
      </c>
      <c r="M26" s="8"/>
      <c r="N26" s="165"/>
    </row>
    <row r="27" spans="1:14" s="3" customFormat="1" ht="12.2" customHeight="1" x14ac:dyDescent="0.15">
      <c r="A27" s="1" t="s">
        <v>572</v>
      </c>
      <c r="B27" s="2" t="s">
        <v>289</v>
      </c>
      <c r="C27" s="6">
        <v>17</v>
      </c>
      <c r="D27" s="2" t="s">
        <v>429</v>
      </c>
      <c r="E27" s="6">
        <v>450</v>
      </c>
      <c r="F27" s="18">
        <v>0</v>
      </c>
      <c r="G27" s="23" t="s">
        <v>288</v>
      </c>
      <c r="H27" s="23" t="s">
        <v>288</v>
      </c>
      <c r="I27" s="18">
        <v>0</v>
      </c>
      <c r="J27" s="23" t="s">
        <v>288</v>
      </c>
      <c r="K27" s="23" t="s">
        <v>288</v>
      </c>
      <c r="L27" s="23" t="s">
        <v>288</v>
      </c>
      <c r="M27" s="8"/>
      <c r="N27" s="165"/>
    </row>
    <row r="28" spans="1:14" s="3" customFormat="1" ht="12.2" customHeight="1" x14ac:dyDescent="0.15">
      <c r="A28" s="1" t="s">
        <v>573</v>
      </c>
      <c r="B28" s="2" t="s">
        <v>289</v>
      </c>
      <c r="C28" s="6">
        <v>18</v>
      </c>
      <c r="D28" s="2" t="s">
        <v>429</v>
      </c>
      <c r="E28" s="6">
        <v>460</v>
      </c>
      <c r="F28" s="18">
        <v>1719.96</v>
      </c>
      <c r="G28" s="18">
        <v>0</v>
      </c>
      <c r="H28" s="18">
        <v>0</v>
      </c>
      <c r="I28" s="18">
        <v>0</v>
      </c>
      <c r="J28" s="23" t="s">
        <v>288</v>
      </c>
      <c r="K28" s="23" t="s">
        <v>288</v>
      </c>
      <c r="L28" s="23" t="s">
        <v>288</v>
      </c>
      <c r="M28" s="8"/>
      <c r="N28" s="165"/>
    </row>
    <row r="29" spans="1:14" s="3" customFormat="1" ht="12.2" customHeight="1" x14ac:dyDescent="0.15">
      <c r="A29" s="1" t="s">
        <v>575</v>
      </c>
      <c r="B29" s="2" t="s">
        <v>289</v>
      </c>
      <c r="C29" s="6">
        <v>19</v>
      </c>
      <c r="D29" s="2" t="s">
        <v>429</v>
      </c>
      <c r="E29" s="6">
        <v>470</v>
      </c>
      <c r="F29" s="18">
        <v>0</v>
      </c>
      <c r="G29" s="18">
        <v>0</v>
      </c>
      <c r="H29" s="18">
        <v>0</v>
      </c>
      <c r="I29" s="18">
        <v>0</v>
      </c>
      <c r="J29" s="23" t="s">
        <v>288</v>
      </c>
      <c r="K29" s="23" t="s">
        <v>288</v>
      </c>
      <c r="L29" s="23" t="s">
        <v>288</v>
      </c>
      <c r="M29" s="8"/>
      <c r="N29" s="165"/>
    </row>
    <row r="30" spans="1:14" s="3" customFormat="1" ht="12.2" customHeight="1" x14ac:dyDescent="0.15">
      <c r="A30" s="1" t="s">
        <v>576</v>
      </c>
      <c r="B30" s="2" t="s">
        <v>289</v>
      </c>
      <c r="C30" s="6">
        <v>20</v>
      </c>
      <c r="D30" s="2" t="s">
        <v>429</v>
      </c>
      <c r="E30" s="6">
        <v>480</v>
      </c>
      <c r="F30" s="18">
        <v>0</v>
      </c>
      <c r="G30" s="18">
        <v>0</v>
      </c>
      <c r="H30" s="18">
        <v>443.8</v>
      </c>
      <c r="I30" s="18">
        <v>0</v>
      </c>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v>0</v>
      </c>
      <c r="H31" s="18">
        <v>0</v>
      </c>
      <c r="I31" s="18">
        <v>0</v>
      </c>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-42958.09</v>
      </c>
      <c r="G32" s="38">
        <f>SUM(G22:G31)</f>
        <v>25989.54</v>
      </c>
      <c r="H32" s="38">
        <f>SUM(H22:H31)</f>
        <v>105987.20000000001</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v>0</v>
      </c>
      <c r="G35" s="18">
        <v>0</v>
      </c>
      <c r="H35" s="18">
        <v>0</v>
      </c>
      <c r="I35" s="18">
        <v>0</v>
      </c>
      <c r="J35" s="23" t="s">
        <v>288</v>
      </c>
      <c r="K35" s="23" t="s">
        <v>288</v>
      </c>
      <c r="L35" s="23" t="s">
        <v>288</v>
      </c>
      <c r="M35" s="8"/>
      <c r="N35" s="165"/>
    </row>
    <row r="36" spans="1:14" s="3" customFormat="1" ht="12.2" customHeight="1" x14ac:dyDescent="0.15">
      <c r="A36" s="1" t="s">
        <v>578</v>
      </c>
      <c r="B36" s="6">
        <v>1</v>
      </c>
      <c r="C36" s="6">
        <v>24</v>
      </c>
      <c r="D36" s="2" t="s">
        <v>653</v>
      </c>
      <c r="E36" s="6">
        <v>752</v>
      </c>
      <c r="F36" s="18">
        <v>0</v>
      </c>
      <c r="G36" s="18">
        <v>0</v>
      </c>
      <c r="H36" s="18">
        <v>0</v>
      </c>
      <c r="I36" s="18">
        <v>0</v>
      </c>
      <c r="J36" s="23" t="s">
        <v>288</v>
      </c>
      <c r="K36" s="23" t="s">
        <v>288</v>
      </c>
      <c r="L36" s="23" t="s">
        <v>288</v>
      </c>
      <c r="M36" s="8"/>
      <c r="N36" s="165"/>
    </row>
    <row r="37" spans="1:14" s="3" customFormat="1" ht="12.2" customHeight="1" x14ac:dyDescent="0.15">
      <c r="A37" s="1" t="s">
        <v>851</v>
      </c>
      <c r="B37" s="6">
        <v>1</v>
      </c>
      <c r="C37" s="6">
        <v>25</v>
      </c>
      <c r="D37" s="2" t="s">
        <v>653</v>
      </c>
      <c r="E37" s="6">
        <v>756</v>
      </c>
      <c r="F37" s="18">
        <v>0</v>
      </c>
      <c r="G37" s="18">
        <v>0</v>
      </c>
      <c r="H37" s="18">
        <v>0</v>
      </c>
      <c r="I37" s="18">
        <v>0</v>
      </c>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v>0</v>
      </c>
      <c r="G39" s="18">
        <v>0</v>
      </c>
      <c r="H39" s="18"/>
      <c r="I39" s="18">
        <v>0</v>
      </c>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v>0</v>
      </c>
      <c r="G43" s="18">
        <v>0</v>
      </c>
      <c r="H43" s="18">
        <v>0</v>
      </c>
      <c r="I43" s="18">
        <v>0</v>
      </c>
      <c r="J43" s="13">
        <f>SUM(I457)</f>
        <v>0</v>
      </c>
      <c r="K43" s="23" t="s">
        <v>288</v>
      </c>
      <c r="L43" s="23" t="s">
        <v>288</v>
      </c>
      <c r="M43" s="8"/>
      <c r="N43" s="165"/>
    </row>
    <row r="44" spans="1:14" s="3" customFormat="1" ht="12.2" customHeight="1" x14ac:dyDescent="0.15">
      <c r="A44" s="1" t="s">
        <v>836</v>
      </c>
      <c r="B44" s="6">
        <v>1</v>
      </c>
      <c r="C44" s="6">
        <v>30</v>
      </c>
      <c r="D44" s="2" t="s">
        <v>653</v>
      </c>
      <c r="E44" s="6">
        <v>755</v>
      </c>
      <c r="F44" s="18">
        <v>0</v>
      </c>
      <c r="G44" s="18">
        <v>0</v>
      </c>
      <c r="H44" s="18">
        <v>0</v>
      </c>
      <c r="I44" s="18">
        <v>0</v>
      </c>
      <c r="J44" s="23" t="s">
        <v>288</v>
      </c>
      <c r="K44" s="23" t="s">
        <v>288</v>
      </c>
      <c r="L44" s="23" t="s">
        <v>288</v>
      </c>
      <c r="M44" s="8"/>
      <c r="N44" s="165"/>
    </row>
    <row r="45" spans="1:14" s="3" customFormat="1" ht="12.2" customHeight="1" x14ac:dyDescent="0.15">
      <c r="A45" s="1" t="s">
        <v>837</v>
      </c>
      <c r="B45" s="6">
        <v>1</v>
      </c>
      <c r="C45" s="6">
        <v>31</v>
      </c>
      <c r="D45" s="2"/>
      <c r="E45" s="6">
        <v>753</v>
      </c>
      <c r="F45" s="18">
        <v>0</v>
      </c>
      <c r="G45" s="18">
        <v>0</v>
      </c>
      <c r="H45" s="18">
        <v>0</v>
      </c>
      <c r="I45" s="18">
        <v>0</v>
      </c>
      <c r="J45" s="13">
        <f>I456</f>
        <v>0</v>
      </c>
      <c r="K45" s="23" t="s">
        <v>288</v>
      </c>
      <c r="L45" s="23" t="s">
        <v>288</v>
      </c>
      <c r="M45" s="8"/>
      <c r="N45" s="165"/>
    </row>
    <row r="46" spans="1:14" s="3" customFormat="1" ht="12.2" customHeight="1" x14ac:dyDescent="0.15">
      <c r="A46" s="1" t="s">
        <v>873</v>
      </c>
      <c r="B46" s="6">
        <v>1</v>
      </c>
      <c r="C46" s="6">
        <v>32</v>
      </c>
      <c r="D46" s="2"/>
      <c r="E46" s="6"/>
      <c r="F46" s="18">
        <v>135311.4</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v>0</v>
      </c>
      <c r="G48" s="18">
        <v>0</v>
      </c>
      <c r="H48" s="18">
        <v>0</v>
      </c>
      <c r="I48" s="18">
        <v>0</v>
      </c>
      <c r="J48" s="13">
        <f>SUM(I460)</f>
        <v>239044.58</v>
      </c>
      <c r="K48" s="23" t="s">
        <v>288</v>
      </c>
      <c r="L48" s="23" t="s">
        <v>288</v>
      </c>
      <c r="M48" s="8"/>
      <c r="N48" s="165"/>
    </row>
    <row r="49" spans="1:14" s="3" customFormat="1" ht="12.2" customHeight="1" x14ac:dyDescent="0.15">
      <c r="A49" s="1" t="s">
        <v>858</v>
      </c>
      <c r="B49" s="2" t="s">
        <v>289</v>
      </c>
      <c r="C49" s="6">
        <v>34</v>
      </c>
      <c r="D49" s="2"/>
      <c r="E49" s="6">
        <v>753</v>
      </c>
      <c r="F49" s="18">
        <v>0</v>
      </c>
      <c r="G49" s="18">
        <v>0</v>
      </c>
      <c r="H49" s="18">
        <v>0</v>
      </c>
      <c r="I49" s="18">
        <v>0</v>
      </c>
      <c r="J49" s="13">
        <f>I455</f>
        <v>0</v>
      </c>
      <c r="K49" s="23"/>
      <c r="L49" s="23"/>
      <c r="M49" s="8"/>
      <c r="N49" s="165"/>
    </row>
    <row r="50" spans="1:14" s="3" customFormat="1" ht="12.2" customHeight="1" thickBot="1" x14ac:dyDescent="0.2">
      <c r="A50" s="28" t="s">
        <v>839</v>
      </c>
      <c r="B50" s="2" t="s">
        <v>289</v>
      </c>
      <c r="C50" s="56">
        <v>35</v>
      </c>
      <c r="D50" s="2" t="s">
        <v>653</v>
      </c>
      <c r="E50" s="6">
        <v>770</v>
      </c>
      <c r="F50" s="18">
        <f>259808.83-166.56</f>
        <v>259642.27</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394953.67</v>
      </c>
      <c r="G51" s="38">
        <f>SUM(G35:G50)</f>
        <v>0</v>
      </c>
      <c r="H51" s="38">
        <f>SUM(H35:H50)</f>
        <v>0</v>
      </c>
      <c r="I51" s="38">
        <f>SUM(I35:I50)</f>
        <v>0</v>
      </c>
      <c r="J51" s="38">
        <f>SUM(J35:J50)</f>
        <v>239044.58</v>
      </c>
      <c r="K51" s="42" t="s">
        <v>288</v>
      </c>
      <c r="L51" s="42" t="s">
        <v>288</v>
      </c>
      <c r="N51" s="131"/>
    </row>
    <row r="52" spans="1:14" s="3" customFormat="1" ht="12.2" customHeight="1" thickTop="1" x14ac:dyDescent="0.15">
      <c r="A52" s="35" t="s">
        <v>455</v>
      </c>
      <c r="B52" s="36" t="s">
        <v>289</v>
      </c>
      <c r="C52" s="6">
        <v>37</v>
      </c>
      <c r="D52" s="36" t="s">
        <v>653</v>
      </c>
      <c r="E52" s="36"/>
      <c r="F52" s="38">
        <f>F51+F32</f>
        <v>351995.57999999996</v>
      </c>
      <c r="G52" s="38">
        <f>G51+G32</f>
        <v>25989.54</v>
      </c>
      <c r="H52" s="38">
        <f>H51+H32</f>
        <v>105987.20000000001</v>
      </c>
      <c r="I52" s="38">
        <f>I51+I32</f>
        <v>0</v>
      </c>
      <c r="J52" s="38">
        <f>J51+J32</f>
        <v>239044.58</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2302035</v>
      </c>
      <c r="G57" s="18">
        <v>22115</v>
      </c>
      <c r="H57" s="18">
        <v>0</v>
      </c>
      <c r="I57" s="18">
        <v>0</v>
      </c>
      <c r="J57" s="18">
        <v>0</v>
      </c>
      <c r="K57" s="23" t="s">
        <v>288</v>
      </c>
      <c r="L57" s="23" t="s">
        <v>288</v>
      </c>
      <c r="M57" s="8"/>
      <c r="N57" s="165"/>
    </row>
    <row r="58" spans="1:14" s="3" customFormat="1" ht="12.2" customHeight="1" x14ac:dyDescent="0.15">
      <c r="A58" s="1" t="s">
        <v>512</v>
      </c>
      <c r="B58" s="2" t="s">
        <v>309</v>
      </c>
      <c r="C58" s="6">
        <v>2</v>
      </c>
      <c r="D58" s="2" t="s">
        <v>430</v>
      </c>
      <c r="E58" s="6">
        <v>1112</v>
      </c>
      <c r="F58" s="18">
        <v>0</v>
      </c>
      <c r="G58" s="18">
        <v>0</v>
      </c>
      <c r="H58" s="23" t="s">
        <v>288</v>
      </c>
      <c r="I58" s="18">
        <v>0</v>
      </c>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v>0</v>
      </c>
      <c r="G59" s="18">
        <v>0</v>
      </c>
      <c r="H59" s="18">
        <v>0</v>
      </c>
      <c r="I59" s="18">
        <v>0</v>
      </c>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2302035</v>
      </c>
      <c r="G60" s="38">
        <f>SUM(G57:G59)</f>
        <v>22115</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0</v>
      </c>
      <c r="G63" s="23" t="s">
        <v>288</v>
      </c>
      <c r="H63" s="18">
        <v>0</v>
      </c>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v>0</v>
      </c>
      <c r="G64" s="23" t="s">
        <v>288</v>
      </c>
      <c r="H64" s="18">
        <v>0</v>
      </c>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v>0</v>
      </c>
      <c r="G65" s="23" t="s">
        <v>288</v>
      </c>
      <c r="H65" s="18">
        <v>0</v>
      </c>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v>0</v>
      </c>
      <c r="G66" s="23" t="s">
        <v>288</v>
      </c>
      <c r="H66" s="18">
        <v>0</v>
      </c>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0</v>
      </c>
      <c r="G68" s="23" t="s">
        <v>288</v>
      </c>
      <c r="H68" s="18">
        <v>0</v>
      </c>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v>0</v>
      </c>
      <c r="G69" s="23" t="s">
        <v>288</v>
      </c>
      <c r="H69" s="18">
        <v>0</v>
      </c>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v>0</v>
      </c>
      <c r="G70" s="23" t="s">
        <v>288</v>
      </c>
      <c r="H70" s="18">
        <v>0</v>
      </c>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v>0</v>
      </c>
      <c r="G72" s="23" t="s">
        <v>288</v>
      </c>
      <c r="H72" s="18">
        <v>0</v>
      </c>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v>0</v>
      </c>
      <c r="G73" s="23" t="s">
        <v>288</v>
      </c>
      <c r="H73" s="18">
        <v>0</v>
      </c>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v>0</v>
      </c>
      <c r="G74" s="23" t="s">
        <v>288</v>
      </c>
      <c r="H74" s="18">
        <v>0</v>
      </c>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v>0</v>
      </c>
      <c r="G76" s="23" t="s">
        <v>288</v>
      </c>
      <c r="H76" s="18">
        <v>0</v>
      </c>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v>0</v>
      </c>
      <c r="G77" s="23" t="s">
        <v>288</v>
      </c>
      <c r="H77" s="18">
        <v>0</v>
      </c>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v>0</v>
      </c>
      <c r="G78" s="23" t="s">
        <v>288</v>
      </c>
      <c r="H78" s="18">
        <v>0</v>
      </c>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v>0</v>
      </c>
      <c r="G83" s="23" t="s">
        <v>288</v>
      </c>
      <c r="H83" s="18">
        <v>0</v>
      </c>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v>0</v>
      </c>
      <c r="G84" s="23" t="s">
        <v>288</v>
      </c>
      <c r="H84" s="18">
        <v>0</v>
      </c>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v>0</v>
      </c>
      <c r="G86" s="23" t="s">
        <v>288</v>
      </c>
      <c r="H86" s="18">
        <v>0</v>
      </c>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v>0</v>
      </c>
      <c r="G87" s="23" t="s">
        <v>288</v>
      </c>
      <c r="H87" s="18">
        <v>0</v>
      </c>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v>0</v>
      </c>
      <c r="G88" s="23" t="s">
        <v>288</v>
      </c>
      <c r="H88" s="18">
        <v>0</v>
      </c>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v>0</v>
      </c>
      <c r="G90" s="23" t="s">
        <v>288</v>
      </c>
      <c r="H90" s="18">
        <v>0</v>
      </c>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v>0</v>
      </c>
      <c r="G91" s="23" t="s">
        <v>288</v>
      </c>
      <c r="H91" s="18">
        <v>0</v>
      </c>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v>0</v>
      </c>
      <c r="G92" s="23" t="s">
        <v>288</v>
      </c>
      <c r="H92" s="18">
        <v>0</v>
      </c>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v>0</v>
      </c>
      <c r="G93" s="23" t="s">
        <v>288</v>
      </c>
      <c r="H93" s="18">
        <v>0</v>
      </c>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14459.42</v>
      </c>
      <c r="G96" s="18">
        <v>0</v>
      </c>
      <c r="H96" s="18">
        <v>0</v>
      </c>
      <c r="I96" s="18">
        <v>0</v>
      </c>
      <c r="J96" s="18">
        <v>9022.5499999999993</v>
      </c>
      <c r="K96" s="23" t="s">
        <v>288</v>
      </c>
      <c r="L96" s="23" t="s">
        <v>288</v>
      </c>
      <c r="M96" s="8"/>
      <c r="N96" s="165"/>
    </row>
    <row r="97" spans="1:14" s="3" customFormat="1" ht="12.2" customHeight="1" x14ac:dyDescent="0.15">
      <c r="A97" s="1" t="s">
        <v>503</v>
      </c>
      <c r="B97" s="2" t="s">
        <v>315</v>
      </c>
      <c r="C97" s="6">
        <v>12</v>
      </c>
      <c r="D97" s="2" t="s">
        <v>430</v>
      </c>
      <c r="E97" s="6">
        <v>1600</v>
      </c>
      <c r="F97" s="23" t="s">
        <v>288</v>
      </c>
      <c r="G97" s="18">
        <v>11375.2</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v>0</v>
      </c>
      <c r="G98" s="23" t="s">
        <v>288</v>
      </c>
      <c r="H98" s="18">
        <v>0</v>
      </c>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v>0</v>
      </c>
      <c r="G99" s="18">
        <v>0</v>
      </c>
      <c r="H99" s="18">
        <v>0</v>
      </c>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0</v>
      </c>
      <c r="G101" s="18">
        <v>0</v>
      </c>
      <c r="H101" s="18">
        <v>0</v>
      </c>
      <c r="I101" s="18">
        <v>0</v>
      </c>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v>0</v>
      </c>
      <c r="G102" s="18">
        <v>0</v>
      </c>
      <c r="H102" s="18">
        <v>556.20000000000005</v>
      </c>
      <c r="I102" s="18">
        <v>0</v>
      </c>
      <c r="J102" s="18"/>
      <c r="K102" s="23" t="s">
        <v>288</v>
      </c>
      <c r="L102" s="23" t="s">
        <v>288</v>
      </c>
      <c r="M102" s="8"/>
      <c r="N102" s="165"/>
    </row>
    <row r="103" spans="1:14" s="3" customFormat="1" ht="12.2" customHeight="1" x14ac:dyDescent="0.15">
      <c r="A103" s="1" t="s">
        <v>507</v>
      </c>
      <c r="B103" s="2" t="s">
        <v>315</v>
      </c>
      <c r="C103" s="6">
        <v>17</v>
      </c>
      <c r="D103" s="2" t="s">
        <v>430</v>
      </c>
      <c r="E103" s="6">
        <v>1930</v>
      </c>
      <c r="F103" s="18">
        <v>0</v>
      </c>
      <c r="G103" s="18">
        <v>0</v>
      </c>
      <c r="H103" s="18">
        <v>0</v>
      </c>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v>0</v>
      </c>
      <c r="G104" s="23" t="s">
        <v>288</v>
      </c>
      <c r="H104" s="18">
        <v>0</v>
      </c>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v>0</v>
      </c>
      <c r="G105" s="18">
        <v>0</v>
      </c>
      <c r="H105" s="18">
        <v>0</v>
      </c>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v>0</v>
      </c>
      <c r="G106" s="18">
        <v>0</v>
      </c>
      <c r="H106" s="18">
        <v>0</v>
      </c>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v>0</v>
      </c>
      <c r="G107" s="18">
        <v>0</v>
      </c>
      <c r="H107" s="18">
        <v>0</v>
      </c>
      <c r="I107" s="18">
        <v>0</v>
      </c>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v>0</v>
      </c>
      <c r="G108" s="18">
        <v>0</v>
      </c>
      <c r="H108" s="18">
        <v>0</v>
      </c>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0</v>
      </c>
      <c r="G109" s="18">
        <v>0</v>
      </c>
      <c r="H109" s="18">
        <v>0</v>
      </c>
      <c r="I109" s="18">
        <v>0</v>
      </c>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22176.44</v>
      </c>
      <c r="G110" s="18">
        <v>0</v>
      </c>
      <c r="H110" s="18">
        <v>0</v>
      </c>
      <c r="I110" s="18">
        <v>0</v>
      </c>
      <c r="J110" s="18">
        <v>0</v>
      </c>
      <c r="K110" s="23" t="s">
        <v>288</v>
      </c>
      <c r="L110" s="23" t="s">
        <v>288</v>
      </c>
      <c r="M110" s="8"/>
      <c r="N110" s="165"/>
    </row>
    <row r="111" spans="1:14" ht="12.2" customHeight="1" thickTop="1" thickBot="1" x14ac:dyDescent="0.25">
      <c r="A111" s="35" t="s">
        <v>433</v>
      </c>
      <c r="B111" s="36" t="s">
        <v>315</v>
      </c>
      <c r="C111" s="37">
        <v>25</v>
      </c>
      <c r="D111" s="36" t="s">
        <v>430</v>
      </c>
      <c r="E111" s="37"/>
      <c r="F111" s="38">
        <f>SUM(F96:F110)</f>
        <v>36635.86</v>
      </c>
      <c r="G111" s="38">
        <f>SUM(G96:G110)</f>
        <v>11375.2</v>
      </c>
      <c r="H111" s="38">
        <f>SUM(H96:H110)</f>
        <v>556.20000000000005</v>
      </c>
      <c r="I111" s="38">
        <f>SUM(I96:I110)</f>
        <v>0</v>
      </c>
      <c r="J111" s="38">
        <f>SUM(J96:J110)</f>
        <v>9022.5499999999993</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2338670.86</v>
      </c>
      <c r="G112" s="38">
        <f>G60+G111</f>
        <v>33490.199999999997</v>
      </c>
      <c r="H112" s="38">
        <f>H60+H79+H94+H111</f>
        <v>556.20000000000005</v>
      </c>
      <c r="I112" s="38">
        <f>I60+I111</f>
        <v>0</v>
      </c>
      <c r="J112" s="38">
        <f>J60+J111</f>
        <v>9022.5499999999993</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393228.37</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382078</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5630.83</v>
      </c>
      <c r="G120" s="18">
        <v>0</v>
      </c>
      <c r="H120" s="18">
        <v>0</v>
      </c>
      <c r="I120" s="18">
        <v>0</v>
      </c>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780937.2</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0</v>
      </c>
      <c r="G123" s="23" t="s">
        <v>288</v>
      </c>
      <c r="H123" s="23" t="s">
        <v>288</v>
      </c>
      <c r="I123" s="18">
        <v>0</v>
      </c>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v>0</v>
      </c>
      <c r="G124" s="23" t="s">
        <v>288</v>
      </c>
      <c r="H124" s="23" t="s">
        <v>288</v>
      </c>
      <c r="I124" s="18">
        <v>0</v>
      </c>
      <c r="J124" s="23"/>
      <c r="K124" s="23"/>
      <c r="L124" s="23"/>
      <c r="M124" s="8"/>
      <c r="N124" s="165"/>
    </row>
    <row r="125" spans="1:14" s="3" customFormat="1" ht="12.2" customHeight="1" x14ac:dyDescent="0.15">
      <c r="A125" s="1" t="s">
        <v>895</v>
      </c>
      <c r="B125" s="2" t="s">
        <v>321</v>
      </c>
      <c r="C125" s="6">
        <v>8</v>
      </c>
      <c r="D125" s="2" t="s">
        <v>430</v>
      </c>
      <c r="E125" s="6">
        <v>3220</v>
      </c>
      <c r="F125" s="18">
        <v>0</v>
      </c>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0</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0</v>
      </c>
      <c r="G127" s="23" t="s">
        <v>288</v>
      </c>
      <c r="H127" s="18">
        <v>0</v>
      </c>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0</v>
      </c>
      <c r="G128" s="23" t="s">
        <v>288</v>
      </c>
      <c r="H128" s="18">
        <v>0</v>
      </c>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v>0</v>
      </c>
      <c r="G129" s="23" t="s">
        <v>288</v>
      </c>
      <c r="H129" s="18">
        <v>0</v>
      </c>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v>0</v>
      </c>
      <c r="G130" s="23" t="s">
        <v>288</v>
      </c>
      <c r="H130" s="18">
        <v>0</v>
      </c>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v>0</v>
      </c>
      <c r="G131" s="23" t="s">
        <v>288</v>
      </c>
      <c r="H131" s="18">
        <v>0</v>
      </c>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428.28</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v>0</v>
      </c>
      <c r="G133" s="23" t="s">
        <v>288</v>
      </c>
      <c r="H133" s="18">
        <v>0</v>
      </c>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v>0</v>
      </c>
      <c r="I134" s="23"/>
      <c r="J134" s="23"/>
      <c r="K134" s="23"/>
      <c r="L134" s="23"/>
      <c r="M134" s="8"/>
      <c r="N134" s="165"/>
    </row>
    <row r="135" spans="1:14" s="3" customFormat="1" ht="12.2" customHeight="1" thickBot="1" x14ac:dyDescent="0.2">
      <c r="A135" s="1" t="s">
        <v>501</v>
      </c>
      <c r="B135" s="2" t="s">
        <v>321</v>
      </c>
      <c r="C135" s="6">
        <v>18</v>
      </c>
      <c r="D135" s="2" t="s">
        <v>430</v>
      </c>
      <c r="E135" s="6">
        <v>3290</v>
      </c>
      <c r="F135" s="18">
        <v>0</v>
      </c>
      <c r="G135" s="18">
        <v>0</v>
      </c>
      <c r="H135" s="18">
        <v>0</v>
      </c>
      <c r="I135" s="18">
        <v>0</v>
      </c>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0</v>
      </c>
      <c r="G136" s="38">
        <f>SUM(G123:G135)</f>
        <v>428.28</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v>0</v>
      </c>
      <c r="G137" s="18">
        <v>0</v>
      </c>
      <c r="H137" s="18">
        <v>0</v>
      </c>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v>0</v>
      </c>
      <c r="G138" s="23" t="s">
        <v>288</v>
      </c>
      <c r="H138" s="18">
        <v>0</v>
      </c>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780937.2</v>
      </c>
      <c r="G140" s="38">
        <f>G121+SUM(G136:G137)</f>
        <v>428.28</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v>0</v>
      </c>
      <c r="G145" s="18">
        <v>0</v>
      </c>
      <c r="H145" s="18">
        <v>0</v>
      </c>
      <c r="I145" s="18">
        <v>0</v>
      </c>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v>0</v>
      </c>
      <c r="G146" s="18">
        <v>0</v>
      </c>
      <c r="H146" s="18">
        <v>0</v>
      </c>
      <c r="I146" s="18">
        <v>0</v>
      </c>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v>0</v>
      </c>
      <c r="G150" s="23" t="s">
        <v>288</v>
      </c>
      <c r="H150" s="18">
        <v>538.25</v>
      </c>
      <c r="I150" s="18">
        <v>0</v>
      </c>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v>0</v>
      </c>
      <c r="G151" s="23" t="s">
        <v>288</v>
      </c>
      <c r="H151" s="18">
        <v>0</v>
      </c>
      <c r="I151" s="18">
        <v>0</v>
      </c>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v>0</v>
      </c>
      <c r="G152" s="23" t="s">
        <v>288</v>
      </c>
      <c r="H152" s="18">
        <v>0</v>
      </c>
      <c r="I152" s="18">
        <v>0</v>
      </c>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20518.05</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7726.09</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v>0</v>
      </c>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v>0</v>
      </c>
      <c r="G157" s="23" t="s">
        <v>288</v>
      </c>
      <c r="H157" s="18">
        <v>0</v>
      </c>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13132.32+2395.56+2749.69</f>
        <v>18277.57</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2501.04</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1109.74</v>
      </c>
      <c r="G160" s="23" t="s">
        <v>288</v>
      </c>
      <c r="H160" s="18">
        <v>0</v>
      </c>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v>0</v>
      </c>
      <c r="G161" s="18">
        <v>0</v>
      </c>
      <c r="H161" s="18">
        <v>6000</v>
      </c>
      <c r="I161" s="18">
        <v>0</v>
      </c>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v>0</v>
      </c>
      <c r="G162" s="18">
        <v>0</v>
      </c>
      <c r="H162" s="18">
        <f>20885.93+30658.11+20153.02</f>
        <v>71697.06</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1109.74</v>
      </c>
      <c r="G163" s="38">
        <f>SUM(G150:G162)</f>
        <v>18277.57</v>
      </c>
      <c r="H163" s="38">
        <f>SUM(H150:H162)</f>
        <v>108980.48999999999</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v>0</v>
      </c>
      <c r="G164" s="18">
        <v>0</v>
      </c>
      <c r="H164" s="18">
        <v>0</v>
      </c>
      <c r="I164" s="18">
        <v>0</v>
      </c>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0</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v>0</v>
      </c>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v>0</v>
      </c>
      <c r="G169" s="18">
        <v>0</v>
      </c>
      <c r="H169" s="18">
        <v>0</v>
      </c>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1109.74</v>
      </c>
      <c r="G170" s="38">
        <f>G147+G163+SUM(G164:G169)</f>
        <v>18277.57</v>
      </c>
      <c r="H170" s="38">
        <f>H147+H163+SUM(H164:H169)</f>
        <v>108980.48999999999</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v>0</v>
      </c>
      <c r="G174" s="23" t="s">
        <v>288</v>
      </c>
      <c r="H174" s="23" t="s">
        <v>288</v>
      </c>
      <c r="I174" s="18">
        <v>0</v>
      </c>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v>0</v>
      </c>
      <c r="G175" s="23" t="s">
        <v>288</v>
      </c>
      <c r="H175" s="23" t="s">
        <v>288</v>
      </c>
      <c r="I175" s="18">
        <v>0</v>
      </c>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v>0</v>
      </c>
      <c r="G176" s="23" t="s">
        <v>288</v>
      </c>
      <c r="H176" s="23" t="s">
        <v>288</v>
      </c>
      <c r="I176" s="18">
        <v>0</v>
      </c>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v>0</v>
      </c>
      <c r="G177" s="23" t="s">
        <v>288</v>
      </c>
      <c r="H177" s="23" t="s">
        <v>288</v>
      </c>
      <c r="I177" s="18">
        <v>0</v>
      </c>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2501.7800000000002</v>
      </c>
      <c r="H180" s="18">
        <v>0</v>
      </c>
      <c r="I180" s="18">
        <v>0</v>
      </c>
      <c r="J180" s="18">
        <v>0</v>
      </c>
      <c r="K180" s="23" t="s">
        <v>288</v>
      </c>
      <c r="L180" s="23" t="s">
        <v>288</v>
      </c>
      <c r="M180" s="8"/>
      <c r="N180" s="165"/>
    </row>
    <row r="181" spans="1:14" s="3" customFormat="1" ht="12.2" customHeight="1" x14ac:dyDescent="0.15">
      <c r="A181" s="1" t="s">
        <v>525</v>
      </c>
      <c r="B181" s="2" t="s">
        <v>330</v>
      </c>
      <c r="C181" s="6">
        <v>7</v>
      </c>
      <c r="D181" s="2" t="s">
        <v>430</v>
      </c>
      <c r="E181" s="6">
        <v>5221</v>
      </c>
      <c r="F181" s="18">
        <v>0</v>
      </c>
      <c r="G181" s="23" t="s">
        <v>288</v>
      </c>
      <c r="H181" s="18">
        <v>0</v>
      </c>
      <c r="I181" s="18">
        <v>0</v>
      </c>
      <c r="J181" s="18"/>
      <c r="K181" s="23" t="s">
        <v>288</v>
      </c>
      <c r="L181" s="23" t="s">
        <v>288</v>
      </c>
      <c r="M181" s="8"/>
      <c r="N181" s="165"/>
    </row>
    <row r="182" spans="1:14" s="3" customFormat="1" ht="12.2" customHeight="1" x14ac:dyDescent="0.15">
      <c r="A182" s="3" t="s">
        <v>526</v>
      </c>
      <c r="B182" s="2" t="s">
        <v>330</v>
      </c>
      <c r="C182" s="6">
        <v>8</v>
      </c>
      <c r="D182" s="2" t="s">
        <v>430</v>
      </c>
      <c r="E182" s="6">
        <v>5222</v>
      </c>
      <c r="F182" s="18">
        <v>0</v>
      </c>
      <c r="G182" s="18">
        <v>0</v>
      </c>
      <c r="H182" s="23" t="s">
        <v>288</v>
      </c>
      <c r="I182" s="18">
        <v>0</v>
      </c>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v>0</v>
      </c>
      <c r="G183" s="18">
        <v>0</v>
      </c>
      <c r="H183" s="18">
        <v>0</v>
      </c>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2501.7800000000002</v>
      </c>
      <c r="H184" s="38">
        <f>SUM(H180:H183)</f>
        <v>0</v>
      </c>
      <c r="I184" s="38">
        <f>SUM(I180:I183)</f>
        <v>0</v>
      </c>
      <c r="J184" s="38">
        <f>SUM(J180:J183)</f>
        <v>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v>0</v>
      </c>
      <c r="G186" s="18">
        <v>0</v>
      </c>
      <c r="H186" s="18">
        <v>0</v>
      </c>
      <c r="I186" s="18">
        <v>0</v>
      </c>
      <c r="J186" s="23" t="s">
        <v>288</v>
      </c>
      <c r="K186" s="23" t="s">
        <v>288</v>
      </c>
      <c r="L186" s="23" t="s">
        <v>288</v>
      </c>
      <c r="M186" s="8"/>
      <c r="N186" s="165"/>
    </row>
    <row r="187" spans="1:14" ht="12.2" customHeight="1" x14ac:dyDescent="0.2">
      <c r="A187" s="1" t="s">
        <v>529</v>
      </c>
      <c r="B187" s="2" t="s">
        <v>330</v>
      </c>
      <c r="C187" s="6">
        <v>12</v>
      </c>
      <c r="D187" s="2" t="s">
        <v>430</v>
      </c>
      <c r="E187" s="6">
        <v>5252</v>
      </c>
      <c r="F187" s="18">
        <v>0</v>
      </c>
      <c r="G187" s="18">
        <v>0</v>
      </c>
      <c r="H187" s="18">
        <v>0</v>
      </c>
      <c r="I187" s="18">
        <v>0</v>
      </c>
      <c r="J187" s="23" t="s">
        <v>288</v>
      </c>
      <c r="K187" s="23" t="s">
        <v>288</v>
      </c>
      <c r="L187" s="23" t="s">
        <v>288</v>
      </c>
      <c r="N187" s="131"/>
    </row>
    <row r="188" spans="1:14" ht="12.2" customHeight="1" thickBot="1" x14ac:dyDescent="0.25">
      <c r="A188" s="1" t="s">
        <v>530</v>
      </c>
      <c r="B188" s="2" t="s">
        <v>330</v>
      </c>
      <c r="C188" s="6">
        <v>13</v>
      </c>
      <c r="D188" s="2" t="s">
        <v>430</v>
      </c>
      <c r="E188" s="6">
        <v>5253</v>
      </c>
      <c r="F188" s="18">
        <v>0</v>
      </c>
      <c r="G188" s="18">
        <v>0</v>
      </c>
      <c r="H188" s="18">
        <v>0</v>
      </c>
      <c r="I188" s="18">
        <v>0</v>
      </c>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v>0</v>
      </c>
      <c r="G190" s="18">
        <v>0</v>
      </c>
      <c r="H190" s="18">
        <v>0</v>
      </c>
      <c r="I190" s="18">
        <v>0</v>
      </c>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v>0</v>
      </c>
      <c r="G191" s="18">
        <v>0</v>
      </c>
      <c r="H191" s="18">
        <v>0</v>
      </c>
      <c r="I191" s="18">
        <v>0</v>
      </c>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v>0</v>
      </c>
      <c r="G192" s="18">
        <v>0</v>
      </c>
      <c r="H192" s="18">
        <v>0</v>
      </c>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2501.7800000000002</v>
      </c>
      <c r="H193" s="38">
        <f>+H184+SUM(H189:H192)</f>
        <v>0</v>
      </c>
      <c r="I193" s="38">
        <f>I178+I184+SUM(I189:I192)</f>
        <v>0</v>
      </c>
      <c r="J193" s="38">
        <f>J184</f>
        <v>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3120717.8</v>
      </c>
      <c r="G194" s="38">
        <f>G112+G140+G170+G193</f>
        <v>54697.829999999994</v>
      </c>
      <c r="H194" s="38">
        <f>H112+H140+H170+H193</f>
        <v>109536.68999999999</v>
      </c>
      <c r="I194" s="38">
        <f>I112+I140+I170+I193</f>
        <v>0</v>
      </c>
      <c r="J194" s="38">
        <f>J112+J140+J193</f>
        <v>9022.5499999999993</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262260.77</v>
      </c>
      <c r="G198" s="18">
        <v>123863.21</v>
      </c>
      <c r="H198" s="18">
        <v>37146.230000000003</v>
      </c>
      <c r="I198" s="18">
        <v>18255.509999999998</v>
      </c>
      <c r="J198" s="18">
        <v>330.79</v>
      </c>
      <c r="K198" s="18">
        <v>3657.03</v>
      </c>
      <c r="L198" s="13">
        <f>SUM(F198:K198)</f>
        <v>445513.54000000004</v>
      </c>
      <c r="M198" s="8"/>
      <c r="N198" s="165"/>
    </row>
    <row r="199" spans="1:14" s="3" customFormat="1" ht="12.2" customHeight="1" x14ac:dyDescent="0.15">
      <c r="A199" s="1" t="s">
        <v>439</v>
      </c>
      <c r="B199" s="2" t="s">
        <v>341</v>
      </c>
      <c r="C199" s="2" t="s">
        <v>291</v>
      </c>
      <c r="D199" s="2" t="s">
        <v>431</v>
      </c>
      <c r="E199" s="6">
        <v>1200</v>
      </c>
      <c r="F199" s="18">
        <v>115369.19</v>
      </c>
      <c r="G199" s="18">
        <v>64896.94</v>
      </c>
      <c r="H199" s="18">
        <v>18449.07</v>
      </c>
      <c r="I199" s="18">
        <v>1612.68</v>
      </c>
      <c r="J199" s="18">
        <v>0</v>
      </c>
      <c r="K199" s="18">
        <v>2030.7</v>
      </c>
      <c r="L199" s="13">
        <f>SUM(F199:K199)</f>
        <v>202358.58000000002</v>
      </c>
      <c r="M199" s="8"/>
      <c r="N199" s="1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5"/>
    </row>
    <row r="201" spans="1:14" s="3" customFormat="1" ht="12.2" customHeight="1" x14ac:dyDescent="0.15">
      <c r="A201" s="1" t="s">
        <v>441</v>
      </c>
      <c r="B201" s="2" t="s">
        <v>341</v>
      </c>
      <c r="C201" s="2" t="s">
        <v>293</v>
      </c>
      <c r="D201" s="2" t="s">
        <v>431</v>
      </c>
      <c r="E201" s="6">
        <v>1400</v>
      </c>
      <c r="F201" s="18">
        <v>0</v>
      </c>
      <c r="G201" s="18">
        <v>0</v>
      </c>
      <c r="H201" s="18">
        <v>791</v>
      </c>
      <c r="I201" s="18">
        <v>0</v>
      </c>
      <c r="J201" s="18">
        <v>0</v>
      </c>
      <c r="K201" s="18">
        <v>0</v>
      </c>
      <c r="L201" s="13">
        <f>SUM(F201:K201)</f>
        <v>791</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51855.21</v>
      </c>
      <c r="G203" s="18">
        <v>4119.82</v>
      </c>
      <c r="H203" s="18">
        <v>86603.19</v>
      </c>
      <c r="I203" s="18">
        <v>1756.59</v>
      </c>
      <c r="J203" s="18">
        <v>0</v>
      </c>
      <c r="K203" s="18">
        <v>0</v>
      </c>
      <c r="L203" s="13">
        <f t="shared" ref="L203:L209" si="0">SUM(F203:K203)</f>
        <v>144334.81</v>
      </c>
      <c r="M203" s="8"/>
      <c r="N203" s="165"/>
    </row>
    <row r="204" spans="1:14" s="3" customFormat="1" ht="12.2" customHeight="1" x14ac:dyDescent="0.15">
      <c r="A204" s="1" t="s">
        <v>443</v>
      </c>
      <c r="B204" s="2" t="s">
        <v>341</v>
      </c>
      <c r="C204" s="2" t="s">
        <v>295</v>
      </c>
      <c r="D204" s="2" t="s">
        <v>431</v>
      </c>
      <c r="E204" s="6">
        <v>2200</v>
      </c>
      <c r="F204" s="18">
        <v>8660</v>
      </c>
      <c r="G204" s="18">
        <v>12692.24</v>
      </c>
      <c r="H204" s="18">
        <v>1681.44</v>
      </c>
      <c r="I204" s="18">
        <v>8490.6200000000008</v>
      </c>
      <c r="J204" s="18">
        <v>10428.94</v>
      </c>
      <c r="K204" s="18">
        <v>429</v>
      </c>
      <c r="L204" s="13">
        <f t="shared" si="0"/>
        <v>42382.239999999998</v>
      </c>
      <c r="M204" s="8"/>
      <c r="N204" s="165"/>
    </row>
    <row r="205" spans="1:14" s="3" customFormat="1" ht="12.2" customHeight="1" x14ac:dyDescent="0.15">
      <c r="A205" s="1" t="s">
        <v>444</v>
      </c>
      <c r="B205" s="2" t="s">
        <v>341</v>
      </c>
      <c r="C205" s="2" t="s">
        <v>296</v>
      </c>
      <c r="D205" s="2" t="s">
        <v>431</v>
      </c>
      <c r="E205" s="6">
        <v>2300</v>
      </c>
      <c r="F205" s="18">
        <v>1480.9</v>
      </c>
      <c r="G205" s="18">
        <v>116</v>
      </c>
      <c r="H205" s="18">
        <v>94870.12</v>
      </c>
      <c r="I205" s="18">
        <v>320.66000000000003</v>
      </c>
      <c r="J205" s="18">
        <v>0</v>
      </c>
      <c r="K205" s="18">
        <v>329.56</v>
      </c>
      <c r="L205" s="13">
        <f t="shared" si="0"/>
        <v>97117.239999999991</v>
      </c>
      <c r="M205" s="8"/>
      <c r="N205" s="165"/>
    </row>
    <row r="206" spans="1:14" s="3" customFormat="1" ht="12.2" customHeight="1" x14ac:dyDescent="0.15">
      <c r="A206" s="1" t="s">
        <v>445</v>
      </c>
      <c r="B206" s="2" t="s">
        <v>341</v>
      </c>
      <c r="C206" s="2" t="s">
        <v>297</v>
      </c>
      <c r="D206" s="2" t="s">
        <v>431</v>
      </c>
      <c r="E206" s="6">
        <v>2400</v>
      </c>
      <c r="F206" s="18">
        <v>119328.55</v>
      </c>
      <c r="G206" s="18">
        <v>63574.94</v>
      </c>
      <c r="H206" s="18">
        <v>18418.75</v>
      </c>
      <c r="I206" s="18">
        <v>383.84</v>
      </c>
      <c r="J206" s="18">
        <v>0</v>
      </c>
      <c r="K206" s="18">
        <v>819</v>
      </c>
      <c r="L206" s="13">
        <f t="shared" si="0"/>
        <v>202525.08</v>
      </c>
      <c r="M206" s="8"/>
      <c r="N206" s="1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3">
        <f t="shared" si="0"/>
        <v>0</v>
      </c>
      <c r="M207" s="8"/>
      <c r="N207" s="165"/>
    </row>
    <row r="208" spans="1:14" s="3" customFormat="1" ht="12.2" customHeight="1" x14ac:dyDescent="0.15">
      <c r="A208" s="1" t="s">
        <v>447</v>
      </c>
      <c r="B208" s="2" t="s">
        <v>341</v>
      </c>
      <c r="C208" s="2" t="s">
        <v>299</v>
      </c>
      <c r="D208" s="2" t="s">
        <v>431</v>
      </c>
      <c r="E208" s="6">
        <v>2600</v>
      </c>
      <c r="F208" s="18">
        <v>62001.919999999998</v>
      </c>
      <c r="G208" s="18">
        <v>19086.060000000001</v>
      </c>
      <c r="H208" s="18">
        <v>74618.350000000006</v>
      </c>
      <c r="I208" s="18">
        <v>35854.239999999998</v>
      </c>
      <c r="J208" s="18">
        <v>0</v>
      </c>
      <c r="K208" s="18">
        <v>0</v>
      </c>
      <c r="L208" s="13">
        <f t="shared" si="0"/>
        <v>191560.57</v>
      </c>
      <c r="M208" s="8"/>
      <c r="N208" s="165"/>
    </row>
    <row r="209" spans="1:14" s="3" customFormat="1" ht="12.2" customHeight="1" x14ac:dyDescent="0.15">
      <c r="A209" s="1" t="s">
        <v>448</v>
      </c>
      <c r="B209" s="2" t="s">
        <v>341</v>
      </c>
      <c r="C209" s="2" t="s">
        <v>300</v>
      </c>
      <c r="D209" s="2" t="s">
        <v>431</v>
      </c>
      <c r="E209" s="6">
        <v>2700</v>
      </c>
      <c r="F209" s="18">
        <v>0</v>
      </c>
      <c r="G209" s="18">
        <v>0</v>
      </c>
      <c r="H209" s="18">
        <v>68494.259999999995</v>
      </c>
      <c r="I209" s="18">
        <v>0</v>
      </c>
      <c r="J209" s="18">
        <v>0</v>
      </c>
      <c r="K209" s="18">
        <v>0</v>
      </c>
      <c r="L209" s="13">
        <f t="shared" si="0"/>
        <v>68494.259999999995</v>
      </c>
      <c r="M209" s="8"/>
      <c r="N209" s="165"/>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v>0</v>
      </c>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620956.54000000015</v>
      </c>
      <c r="G212" s="38">
        <f t="shared" si="1"/>
        <v>288349.21000000002</v>
      </c>
      <c r="H212" s="38">
        <f t="shared" si="1"/>
        <v>401072.41000000003</v>
      </c>
      <c r="I212" s="38">
        <f t="shared" si="1"/>
        <v>66674.14</v>
      </c>
      <c r="J212" s="38">
        <f t="shared" si="1"/>
        <v>10759.730000000001</v>
      </c>
      <c r="K212" s="38">
        <f t="shared" si="1"/>
        <v>7265.2900000000009</v>
      </c>
      <c r="L212" s="38">
        <f t="shared" si="1"/>
        <v>1395077.3200000003</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v>0</v>
      </c>
      <c r="G216" s="18">
        <v>0</v>
      </c>
      <c r="H216" s="18">
        <v>333351.32</v>
      </c>
      <c r="I216" s="18">
        <v>0</v>
      </c>
      <c r="J216" s="18">
        <v>0</v>
      </c>
      <c r="K216" s="18">
        <v>0</v>
      </c>
      <c r="L216" s="13">
        <f>SUM(F216:K216)</f>
        <v>333351.32</v>
      </c>
      <c r="M216" s="8"/>
      <c r="N216" s="165"/>
    </row>
    <row r="217" spans="1:14" s="3" customFormat="1" ht="12.2" customHeight="1" x14ac:dyDescent="0.15">
      <c r="A217" s="1" t="s">
        <v>439</v>
      </c>
      <c r="B217" s="2" t="s">
        <v>346</v>
      </c>
      <c r="C217" s="2" t="s">
        <v>291</v>
      </c>
      <c r="D217" s="2" t="s">
        <v>431</v>
      </c>
      <c r="E217" s="6">
        <v>1200</v>
      </c>
      <c r="F217" s="18">
        <v>0</v>
      </c>
      <c r="G217" s="18">
        <v>0</v>
      </c>
      <c r="H217" s="18">
        <v>359397.94</v>
      </c>
      <c r="I217" s="18">
        <v>0</v>
      </c>
      <c r="J217" s="18">
        <v>0</v>
      </c>
      <c r="K217" s="18">
        <v>0</v>
      </c>
      <c r="L217" s="13">
        <f>SUM(F217:K217)</f>
        <v>359397.94</v>
      </c>
      <c r="M217" s="8"/>
      <c r="N217" s="165"/>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5"/>
    </row>
    <row r="219" spans="1:14" s="3" customFormat="1" ht="12.2" customHeight="1" x14ac:dyDescent="0.15">
      <c r="A219" s="1" t="s">
        <v>441</v>
      </c>
      <c r="B219" s="2" t="s">
        <v>346</v>
      </c>
      <c r="C219" s="2" t="s">
        <v>293</v>
      </c>
      <c r="D219" s="2" t="s">
        <v>431</v>
      </c>
      <c r="E219" s="6">
        <v>1400</v>
      </c>
      <c r="F219" s="18">
        <v>0</v>
      </c>
      <c r="G219" s="18">
        <v>0</v>
      </c>
      <c r="H219" s="18">
        <v>0</v>
      </c>
      <c r="I219" s="18">
        <v>0</v>
      </c>
      <c r="J219" s="18">
        <v>0</v>
      </c>
      <c r="K219" s="18">
        <v>0</v>
      </c>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v>0</v>
      </c>
      <c r="G221" s="18">
        <v>0</v>
      </c>
      <c r="H221" s="18">
        <v>0</v>
      </c>
      <c r="I221" s="18">
        <v>0</v>
      </c>
      <c r="J221" s="18">
        <v>0</v>
      </c>
      <c r="K221" s="18">
        <v>0</v>
      </c>
      <c r="L221" s="13">
        <f t="shared" ref="L221:L227" si="2">SUM(F221:K221)</f>
        <v>0</v>
      </c>
      <c r="M221" s="8"/>
      <c r="N221" s="165"/>
    </row>
    <row r="222" spans="1:14" s="3" customFormat="1" ht="12.2" customHeight="1" x14ac:dyDescent="0.15">
      <c r="A222" s="1" t="s">
        <v>443</v>
      </c>
      <c r="B222" s="2" t="s">
        <v>346</v>
      </c>
      <c r="C222" s="2" t="s">
        <v>295</v>
      </c>
      <c r="D222" s="2" t="s">
        <v>431</v>
      </c>
      <c r="E222" s="6">
        <v>2200</v>
      </c>
      <c r="F222" s="18">
        <v>0</v>
      </c>
      <c r="G222" s="18">
        <v>0</v>
      </c>
      <c r="H222" s="18">
        <v>0</v>
      </c>
      <c r="I222" s="18">
        <v>0</v>
      </c>
      <c r="J222" s="18">
        <v>0</v>
      </c>
      <c r="K222" s="18">
        <v>0</v>
      </c>
      <c r="L222" s="13">
        <f t="shared" si="2"/>
        <v>0</v>
      </c>
      <c r="M222" s="8"/>
      <c r="N222" s="165"/>
    </row>
    <row r="223" spans="1:14" s="3" customFormat="1" ht="12.2" customHeight="1" x14ac:dyDescent="0.15">
      <c r="A223" s="1" t="s">
        <v>444</v>
      </c>
      <c r="B223" s="2" t="s">
        <v>346</v>
      </c>
      <c r="C223" s="2" t="s">
        <v>296</v>
      </c>
      <c r="D223" s="2" t="s">
        <v>431</v>
      </c>
      <c r="E223" s="6">
        <v>2300</v>
      </c>
      <c r="F223" s="18">
        <v>178.5</v>
      </c>
      <c r="G223" s="18">
        <v>13.65</v>
      </c>
      <c r="H223" s="18">
        <v>39744.480000000003</v>
      </c>
      <c r="I223" s="18">
        <v>0</v>
      </c>
      <c r="J223" s="18">
        <v>0</v>
      </c>
      <c r="K223" s="18">
        <v>38.26</v>
      </c>
      <c r="L223" s="13">
        <f t="shared" si="2"/>
        <v>39974.890000000007</v>
      </c>
      <c r="M223" s="8"/>
      <c r="N223" s="165"/>
    </row>
    <row r="224" spans="1:14" s="3" customFormat="1" ht="12.2" customHeight="1" x14ac:dyDescent="0.15">
      <c r="A224" s="1" t="s">
        <v>445</v>
      </c>
      <c r="B224" s="2" t="s">
        <v>346</v>
      </c>
      <c r="C224" s="2" t="s">
        <v>297</v>
      </c>
      <c r="D224" s="2" t="s">
        <v>431</v>
      </c>
      <c r="E224" s="6">
        <v>2400</v>
      </c>
      <c r="F224" s="18">
        <v>0</v>
      </c>
      <c r="G224" s="18">
        <v>0</v>
      </c>
      <c r="H224" s="18">
        <v>0</v>
      </c>
      <c r="I224" s="18">
        <v>0</v>
      </c>
      <c r="J224" s="18">
        <v>0</v>
      </c>
      <c r="K224" s="18">
        <v>0</v>
      </c>
      <c r="L224" s="13">
        <f t="shared" si="2"/>
        <v>0</v>
      </c>
      <c r="M224" s="8"/>
      <c r="N224" s="165"/>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3">
        <f t="shared" si="2"/>
        <v>0</v>
      </c>
      <c r="M225" s="8"/>
      <c r="N225" s="165"/>
    </row>
    <row r="226" spans="1:14" s="3" customFormat="1" ht="12.2" customHeight="1" x14ac:dyDescent="0.15">
      <c r="A226" s="1" t="s">
        <v>447</v>
      </c>
      <c r="B226" s="2" t="s">
        <v>346</v>
      </c>
      <c r="C226" s="2" t="s">
        <v>299</v>
      </c>
      <c r="D226" s="2" t="s">
        <v>431</v>
      </c>
      <c r="E226" s="6">
        <v>2600</v>
      </c>
      <c r="F226" s="18">
        <v>0</v>
      </c>
      <c r="G226" s="18">
        <v>0</v>
      </c>
      <c r="H226" s="18">
        <v>0</v>
      </c>
      <c r="I226" s="18">
        <v>0</v>
      </c>
      <c r="J226" s="18">
        <v>0</v>
      </c>
      <c r="K226" s="18">
        <v>0</v>
      </c>
      <c r="L226" s="13">
        <f t="shared" si="2"/>
        <v>0</v>
      </c>
      <c r="M226" s="8"/>
      <c r="N226" s="165"/>
    </row>
    <row r="227" spans="1:14" s="3" customFormat="1" ht="12.2" customHeight="1" x14ac:dyDescent="0.15">
      <c r="A227" s="1" t="s">
        <v>448</v>
      </c>
      <c r="B227" s="2" t="s">
        <v>346</v>
      </c>
      <c r="C227" s="2" t="s">
        <v>300</v>
      </c>
      <c r="D227" s="2" t="s">
        <v>431</v>
      </c>
      <c r="E227" s="6">
        <v>2700</v>
      </c>
      <c r="F227" s="18">
        <v>0</v>
      </c>
      <c r="G227" s="18">
        <v>0</v>
      </c>
      <c r="H227" s="18">
        <v>16411.330000000002</v>
      </c>
      <c r="I227" s="18">
        <v>0</v>
      </c>
      <c r="J227" s="18">
        <v>0</v>
      </c>
      <c r="K227" s="18">
        <v>0</v>
      </c>
      <c r="L227" s="13">
        <f t="shared" si="2"/>
        <v>16411.330000000002</v>
      </c>
      <c r="M227" s="8"/>
      <c r="N227" s="165"/>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178.5</v>
      </c>
      <c r="G230" s="38">
        <f>SUM(G216:G229)</f>
        <v>13.65</v>
      </c>
      <c r="H230" s="38">
        <f>SUM(H216:H229)</f>
        <v>748905.07</v>
      </c>
      <c r="I230" s="38">
        <f>SUM(I216:I229)</f>
        <v>0</v>
      </c>
      <c r="J230" s="38">
        <f>SUM(J216:J229)</f>
        <v>0</v>
      </c>
      <c r="K230" s="38">
        <f t="shared" si="3"/>
        <v>38.26</v>
      </c>
      <c r="L230" s="38">
        <f t="shared" si="3"/>
        <v>749135.48</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0</v>
      </c>
      <c r="G234" s="18">
        <v>0</v>
      </c>
      <c r="H234" s="18">
        <v>636201.64</v>
      </c>
      <c r="I234" s="18">
        <v>0</v>
      </c>
      <c r="J234" s="18">
        <v>0</v>
      </c>
      <c r="K234" s="18">
        <v>0</v>
      </c>
      <c r="L234" s="13">
        <f>SUM(F234:K234)</f>
        <v>636201.64</v>
      </c>
      <c r="M234" s="8"/>
      <c r="N234" s="165"/>
    </row>
    <row r="235" spans="1:14" s="3" customFormat="1" ht="12.2" customHeight="1" x14ac:dyDescent="0.15">
      <c r="A235" s="1" t="s">
        <v>439</v>
      </c>
      <c r="B235" s="2" t="s">
        <v>350</v>
      </c>
      <c r="C235" s="2" t="s">
        <v>291</v>
      </c>
      <c r="D235" s="2" t="s">
        <v>431</v>
      </c>
      <c r="E235" s="6">
        <v>1200</v>
      </c>
      <c r="F235" s="18">
        <v>0</v>
      </c>
      <c r="G235" s="18">
        <v>0</v>
      </c>
      <c r="H235" s="18">
        <v>249109.32</v>
      </c>
      <c r="I235" s="18">
        <v>0</v>
      </c>
      <c r="J235" s="18">
        <v>0</v>
      </c>
      <c r="K235" s="18">
        <v>0</v>
      </c>
      <c r="L235" s="13">
        <f>SUM(F235:K235)</f>
        <v>249109.32</v>
      </c>
      <c r="M235" s="8"/>
      <c r="N235" s="165"/>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3">
        <f>SUM(F236:K236)</f>
        <v>0</v>
      </c>
      <c r="M236" s="8"/>
      <c r="N236" s="165"/>
    </row>
    <row r="237" spans="1:14" s="3" customFormat="1" ht="12.2" customHeight="1" x14ac:dyDescent="0.15">
      <c r="A237" s="1" t="s">
        <v>441</v>
      </c>
      <c r="B237" s="2" t="s">
        <v>350</v>
      </c>
      <c r="C237" s="2" t="s">
        <v>293</v>
      </c>
      <c r="D237" s="2" t="s">
        <v>431</v>
      </c>
      <c r="E237" s="6">
        <v>1400</v>
      </c>
      <c r="F237" s="18">
        <v>0</v>
      </c>
      <c r="G237" s="18"/>
      <c r="H237" s="18">
        <v>0</v>
      </c>
      <c r="I237" s="18">
        <v>0</v>
      </c>
      <c r="J237" s="18">
        <v>0</v>
      </c>
      <c r="K237" s="18">
        <v>0</v>
      </c>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0</v>
      </c>
      <c r="G239" s="18">
        <v>0</v>
      </c>
      <c r="H239" s="18">
        <v>0</v>
      </c>
      <c r="I239" s="18">
        <v>0</v>
      </c>
      <c r="J239" s="18">
        <v>0</v>
      </c>
      <c r="K239" s="18">
        <v>0</v>
      </c>
      <c r="L239" s="13">
        <f t="shared" ref="L239:L245" si="4">SUM(F239:K239)</f>
        <v>0</v>
      </c>
      <c r="M239" s="8"/>
      <c r="N239" s="165"/>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3">
        <f t="shared" si="4"/>
        <v>0</v>
      </c>
      <c r="M240" s="8"/>
      <c r="N240" s="165"/>
    </row>
    <row r="241" spans="1:14" s="3" customFormat="1" ht="12.2" customHeight="1" x14ac:dyDescent="0.15">
      <c r="A241" s="1" t="s">
        <v>444</v>
      </c>
      <c r="B241" s="2" t="s">
        <v>350</v>
      </c>
      <c r="C241" s="2" t="s">
        <v>296</v>
      </c>
      <c r="D241" s="2" t="s">
        <v>431</v>
      </c>
      <c r="E241" s="6">
        <v>2300</v>
      </c>
      <c r="F241" s="18">
        <v>420</v>
      </c>
      <c r="G241" s="18">
        <v>32.159999999999997</v>
      </c>
      <c r="H241" s="18">
        <v>41138.79</v>
      </c>
      <c r="I241" s="18">
        <v>0</v>
      </c>
      <c r="J241" s="18">
        <v>0</v>
      </c>
      <c r="K241" s="18">
        <v>127.24</v>
      </c>
      <c r="L241" s="13">
        <f t="shared" si="4"/>
        <v>41718.19</v>
      </c>
      <c r="M241" s="8"/>
      <c r="N241" s="165"/>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3">
        <f t="shared" si="4"/>
        <v>0</v>
      </c>
      <c r="M242" s="8"/>
      <c r="N242" s="165"/>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3">
        <f t="shared" si="4"/>
        <v>0</v>
      </c>
      <c r="M243" s="8"/>
      <c r="N243" s="165"/>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3">
        <f t="shared" si="4"/>
        <v>0</v>
      </c>
      <c r="M244" s="8"/>
      <c r="N244" s="165"/>
    </row>
    <row r="245" spans="1:14" s="3" customFormat="1" ht="12.2" customHeight="1" x14ac:dyDescent="0.15">
      <c r="A245" s="1" t="s">
        <v>448</v>
      </c>
      <c r="B245" s="2" t="s">
        <v>350</v>
      </c>
      <c r="C245" s="2" t="s">
        <v>300</v>
      </c>
      <c r="D245" s="2" t="s">
        <v>431</v>
      </c>
      <c r="E245" s="6">
        <v>2700</v>
      </c>
      <c r="F245" s="18">
        <v>0</v>
      </c>
      <c r="G245" s="18">
        <v>0</v>
      </c>
      <c r="H245" s="18">
        <v>47140.63</v>
      </c>
      <c r="I245" s="18">
        <v>0</v>
      </c>
      <c r="J245" s="18">
        <v>0</v>
      </c>
      <c r="K245" s="18">
        <v>0</v>
      </c>
      <c r="L245" s="13">
        <f t="shared" si="4"/>
        <v>47140.63</v>
      </c>
      <c r="M245" s="8"/>
      <c r="N245" s="165"/>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420</v>
      </c>
      <c r="G248" s="38">
        <f t="shared" si="5"/>
        <v>32.159999999999997</v>
      </c>
      <c r="H248" s="38">
        <f t="shared" si="5"/>
        <v>973590.38</v>
      </c>
      <c r="I248" s="38">
        <f t="shared" si="5"/>
        <v>0</v>
      </c>
      <c r="J248" s="38">
        <f t="shared" si="5"/>
        <v>0</v>
      </c>
      <c r="K248" s="38">
        <f t="shared" si="5"/>
        <v>127.24</v>
      </c>
      <c r="L248" s="38">
        <f t="shared" si="5"/>
        <v>974169.77999999991</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v>0</v>
      </c>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621555.04000000015</v>
      </c>
      <c r="G258" s="38">
        <f t="shared" si="8"/>
        <v>288395.02</v>
      </c>
      <c r="H258" s="38">
        <f t="shared" si="8"/>
        <v>2123567.86</v>
      </c>
      <c r="I258" s="38">
        <f t="shared" si="8"/>
        <v>66674.14</v>
      </c>
      <c r="J258" s="38">
        <f t="shared" si="8"/>
        <v>10759.730000000001</v>
      </c>
      <c r="K258" s="38">
        <f t="shared" si="8"/>
        <v>7430.7900000000009</v>
      </c>
      <c r="L258" s="38">
        <f t="shared" si="8"/>
        <v>3118382.58</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0</v>
      </c>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0</v>
      </c>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2501.7800000000002</v>
      </c>
      <c r="L264" s="13">
        <f>SUM(F264:K264)</f>
        <v>2501.7800000000002</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v>0</v>
      </c>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0</v>
      </c>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0</v>
      </c>
      <c r="L267" s="13">
        <f t="shared" si="9"/>
        <v>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2501.7800000000002</v>
      </c>
      <c r="L271" s="38">
        <f t="shared" si="9"/>
        <v>2501.7800000000002</v>
      </c>
      <c r="M271" s="8"/>
      <c r="N271" s="165"/>
    </row>
    <row r="272" spans="1:14" s="33" customFormat="1" ht="12.2" customHeight="1" thickTop="1" x14ac:dyDescent="0.2">
      <c r="A272" s="40" t="s">
        <v>464</v>
      </c>
      <c r="B272" s="37">
        <v>10</v>
      </c>
      <c r="C272" s="37">
        <v>18</v>
      </c>
      <c r="D272" s="36" t="s">
        <v>431</v>
      </c>
      <c r="E272" s="37"/>
      <c r="F272" s="39">
        <f t="shared" ref="F272:L272" si="11">F258+F271</f>
        <v>621555.04000000015</v>
      </c>
      <c r="G272" s="39">
        <f t="shared" si="11"/>
        <v>288395.02</v>
      </c>
      <c r="H272" s="39">
        <f t="shared" si="11"/>
        <v>2123567.86</v>
      </c>
      <c r="I272" s="39">
        <f t="shared" si="11"/>
        <v>66674.14</v>
      </c>
      <c r="J272" s="39">
        <f t="shared" si="11"/>
        <v>10759.730000000001</v>
      </c>
      <c r="K272" s="39">
        <f t="shared" si="11"/>
        <v>9932.5700000000015</v>
      </c>
      <c r="L272" s="39">
        <f t="shared" si="11"/>
        <v>3120884.36</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44950</v>
      </c>
      <c r="G277" s="18">
        <v>17253.009999999998</v>
      </c>
      <c r="H277" s="18">
        <v>5187.5</v>
      </c>
      <c r="I277" s="18">
        <v>22923.26</v>
      </c>
      <c r="J277" s="18">
        <v>0</v>
      </c>
      <c r="K277" s="18">
        <v>0</v>
      </c>
      <c r="L277" s="13">
        <f>SUM(F277:K277)</f>
        <v>90313.76999999999</v>
      </c>
      <c r="M277" s="8"/>
      <c r="N277" s="165"/>
    </row>
    <row r="278" spans="1:14" s="3" customFormat="1" ht="12.2" customHeight="1" x14ac:dyDescent="0.15">
      <c r="A278" s="1" t="s">
        <v>439</v>
      </c>
      <c r="B278" s="2" t="s">
        <v>357</v>
      </c>
      <c r="C278" s="2" t="s">
        <v>291</v>
      </c>
      <c r="D278" s="2" t="s">
        <v>431</v>
      </c>
      <c r="E278" s="6">
        <v>1200</v>
      </c>
      <c r="F278" s="18">
        <v>0</v>
      </c>
      <c r="G278" s="18">
        <v>0</v>
      </c>
      <c r="H278" s="18">
        <v>0</v>
      </c>
      <c r="I278" s="18">
        <v>958.46</v>
      </c>
      <c r="J278" s="18">
        <v>0</v>
      </c>
      <c r="K278" s="18">
        <v>0</v>
      </c>
      <c r="L278" s="13">
        <f>SUM(F278:K278)</f>
        <v>958.46</v>
      </c>
      <c r="M278" s="8"/>
      <c r="N278" s="1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5"/>
    </row>
    <row r="280" spans="1:14" s="3" customFormat="1" ht="12.2" customHeight="1" x14ac:dyDescent="0.15">
      <c r="A280" s="1" t="s">
        <v>441</v>
      </c>
      <c r="B280" s="2" t="s">
        <v>357</v>
      </c>
      <c r="C280" s="2" t="s">
        <v>293</v>
      </c>
      <c r="D280" s="2" t="s">
        <v>431</v>
      </c>
      <c r="E280" s="6">
        <v>1400</v>
      </c>
      <c r="F280" s="18">
        <v>0</v>
      </c>
      <c r="G280" s="18">
        <v>0</v>
      </c>
      <c r="H280" s="18">
        <v>0</v>
      </c>
      <c r="I280" s="18">
        <v>0</v>
      </c>
      <c r="J280" s="18">
        <v>0</v>
      </c>
      <c r="K280" s="18">
        <v>0</v>
      </c>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0</v>
      </c>
      <c r="G282" s="18">
        <v>0</v>
      </c>
      <c r="H282" s="18">
        <v>0</v>
      </c>
      <c r="I282" s="18">
        <v>0</v>
      </c>
      <c r="J282" s="18">
        <v>0</v>
      </c>
      <c r="K282" s="18">
        <v>0</v>
      </c>
      <c r="L282" s="13">
        <f t="shared" ref="L282:L288" si="12">SUM(F282:K282)</f>
        <v>0</v>
      </c>
      <c r="M282" s="8"/>
      <c r="N282" s="165"/>
    </row>
    <row r="283" spans="1:14" s="3" customFormat="1" ht="12.2" customHeight="1" x14ac:dyDescent="0.15">
      <c r="A283" s="1" t="s">
        <v>443</v>
      </c>
      <c r="B283" s="2" t="s">
        <v>357</v>
      </c>
      <c r="C283" s="2" t="s">
        <v>295</v>
      </c>
      <c r="D283" s="2" t="s">
        <v>431</v>
      </c>
      <c r="E283" s="6">
        <v>2200</v>
      </c>
      <c r="F283" s="18">
        <v>8373.24</v>
      </c>
      <c r="G283" s="18">
        <v>937.29</v>
      </c>
      <c r="H283" s="18">
        <v>400.61</v>
      </c>
      <c r="I283" s="18">
        <v>0</v>
      </c>
      <c r="J283" s="18">
        <v>0</v>
      </c>
      <c r="K283" s="18">
        <v>0</v>
      </c>
      <c r="L283" s="13">
        <f t="shared" si="12"/>
        <v>9711.14</v>
      </c>
      <c r="M283" s="8"/>
      <c r="N283" s="165"/>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2553.3200000000002</v>
      </c>
      <c r="L284" s="13">
        <f t="shared" si="12"/>
        <v>2553.3200000000002</v>
      </c>
      <c r="M284" s="8"/>
      <c r="N284" s="165"/>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3">
        <f t="shared" si="12"/>
        <v>0</v>
      </c>
      <c r="M285" s="8"/>
      <c r="N285" s="1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3">
        <f t="shared" si="12"/>
        <v>0</v>
      </c>
      <c r="M286" s="8"/>
      <c r="N286" s="165"/>
    </row>
    <row r="287" spans="1:14" s="3" customFormat="1" ht="12.2" customHeight="1" x14ac:dyDescent="0.15">
      <c r="A287" s="1" t="s">
        <v>447</v>
      </c>
      <c r="B287" s="2" t="s">
        <v>357</v>
      </c>
      <c r="C287" s="2" t="s">
        <v>299</v>
      </c>
      <c r="D287" s="2" t="s">
        <v>431</v>
      </c>
      <c r="E287" s="6">
        <v>2600</v>
      </c>
      <c r="F287" s="18">
        <v>0</v>
      </c>
      <c r="G287" s="18">
        <v>0</v>
      </c>
      <c r="H287" s="18">
        <v>6000</v>
      </c>
      <c r="I287" s="18">
        <v>0</v>
      </c>
      <c r="J287" s="18">
        <v>0</v>
      </c>
      <c r="K287" s="18">
        <v>0</v>
      </c>
      <c r="L287" s="13">
        <f t="shared" si="12"/>
        <v>6000</v>
      </c>
      <c r="M287" s="8"/>
      <c r="N287" s="165"/>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3">
        <f t="shared" si="12"/>
        <v>0</v>
      </c>
      <c r="M288" s="8"/>
      <c r="N288" s="165"/>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53323.24</v>
      </c>
      <c r="G291" s="39">
        <f t="shared" si="13"/>
        <v>18190.3</v>
      </c>
      <c r="H291" s="39">
        <f t="shared" si="13"/>
        <v>11588.11</v>
      </c>
      <c r="I291" s="39">
        <f t="shared" si="13"/>
        <v>23881.719999999998</v>
      </c>
      <c r="J291" s="39">
        <f t="shared" si="13"/>
        <v>0</v>
      </c>
      <c r="K291" s="39">
        <f t="shared" si="13"/>
        <v>2553.3200000000002</v>
      </c>
      <c r="L291" s="38">
        <f t="shared" si="13"/>
        <v>109536.69</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v>0</v>
      </c>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53323.24</v>
      </c>
      <c r="G339" s="38">
        <f t="shared" si="20"/>
        <v>18190.3</v>
      </c>
      <c r="H339" s="38">
        <f t="shared" si="20"/>
        <v>11588.11</v>
      </c>
      <c r="I339" s="38">
        <f t="shared" si="20"/>
        <v>23881.719999999998</v>
      </c>
      <c r="J339" s="38">
        <f t="shared" si="20"/>
        <v>0</v>
      </c>
      <c r="K339" s="38">
        <f t="shared" si="20"/>
        <v>2553.3200000000002</v>
      </c>
      <c r="L339" s="38">
        <f t="shared" si="20"/>
        <v>109536.69</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v>0</v>
      </c>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v>0</v>
      </c>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v>0</v>
      </c>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v>0</v>
      </c>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v>0</v>
      </c>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53323.24</v>
      </c>
      <c r="G353" s="38">
        <f>G339</f>
        <v>18190.3</v>
      </c>
      <c r="H353" s="38">
        <f>H339</f>
        <v>11588.11</v>
      </c>
      <c r="I353" s="38">
        <f>I339</f>
        <v>23881.719999999998</v>
      </c>
      <c r="J353" s="38">
        <f>J339</f>
        <v>0</v>
      </c>
      <c r="K353" s="38">
        <f>K339+K352</f>
        <v>2553.3200000000002</v>
      </c>
      <c r="L353" s="38">
        <f>L339+L352</f>
        <v>109536.69</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39109.699999999997</v>
      </c>
      <c r="G359" s="18">
        <v>2991.84</v>
      </c>
      <c r="H359" s="18">
        <v>0</v>
      </c>
      <c r="I359" s="18">
        <v>16647.89</v>
      </c>
      <c r="J359" s="18">
        <v>0</v>
      </c>
      <c r="K359" s="18">
        <v>0</v>
      </c>
      <c r="L359" s="13">
        <f>SUM(F359:K359)</f>
        <v>58749.429999999993</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39109.699999999997</v>
      </c>
      <c r="G363" s="38">
        <f t="shared" si="22"/>
        <v>2991.84</v>
      </c>
      <c r="H363" s="38">
        <f t="shared" si="22"/>
        <v>0</v>
      </c>
      <c r="I363" s="38">
        <f t="shared" si="22"/>
        <v>16647.89</v>
      </c>
      <c r="J363" s="38">
        <f t="shared" si="22"/>
        <v>0</v>
      </c>
      <c r="K363" s="38">
        <f t="shared" si="22"/>
        <v>0</v>
      </c>
      <c r="L363" s="38">
        <f t="shared" si="22"/>
        <v>58749.429999999993</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15297.04</v>
      </c>
      <c r="G368" s="18"/>
      <c r="H368" s="18"/>
      <c r="I368" s="13">
        <f>SUM(F368:H368)</f>
        <v>15297.04</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1350.85</v>
      </c>
      <c r="G369" s="53"/>
      <c r="H369" s="53"/>
      <c r="I369" s="13">
        <f>SUM(F369:H369)</f>
        <v>1350.85</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16647.89</v>
      </c>
      <c r="G370" s="38">
        <f>SUM(G368:G369)</f>
        <v>0</v>
      </c>
      <c r="H370" s="38">
        <f>SUM(H368:H369)</f>
        <v>0</v>
      </c>
      <c r="I370" s="38">
        <f>SUM(I368:I369)</f>
        <v>16647.89</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v>0</v>
      </c>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v>0</v>
      </c>
      <c r="H397" s="18">
        <v>4973.26</v>
      </c>
      <c r="I397" s="18"/>
      <c r="J397" s="23" t="s">
        <v>288</v>
      </c>
      <c r="K397" s="23" t="s">
        <v>288</v>
      </c>
      <c r="L397" s="13">
        <f t="shared" si="26"/>
        <v>4973.26</v>
      </c>
      <c r="M397" s="8"/>
      <c r="N397" s="165"/>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c r="G399" s="18">
        <v>0</v>
      </c>
      <c r="H399" s="18">
        <v>4049.29</v>
      </c>
      <c r="I399" s="18"/>
      <c r="J399" s="23" t="s">
        <v>288</v>
      </c>
      <c r="K399" s="23" t="s">
        <v>288</v>
      </c>
      <c r="L399" s="13">
        <f t="shared" si="26"/>
        <v>4049.29</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9022.5499999999993</v>
      </c>
      <c r="I402" s="38">
        <f>SUM(I396:I401)</f>
        <v>0</v>
      </c>
      <c r="J402" s="42" t="s">
        <v>288</v>
      </c>
      <c r="K402" s="42" t="s">
        <v>288</v>
      </c>
      <c r="L402" s="38">
        <f>SUM(L396:L401)</f>
        <v>9022.5499999999993</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0</v>
      </c>
      <c r="H409" s="38">
        <f>H394+H402+H408</f>
        <v>9022.5499999999993</v>
      </c>
      <c r="I409" s="38">
        <f>I394+I402+I408</f>
        <v>0</v>
      </c>
      <c r="J409" s="23" t="s">
        <v>288</v>
      </c>
      <c r="K409" s="23" t="s">
        <v>288</v>
      </c>
      <c r="L409" s="38">
        <f>L394+L402+L408</f>
        <v>9022.5499999999993</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v>0</v>
      </c>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v>239044.58</v>
      </c>
      <c r="H440" s="18"/>
      <c r="I440" s="13">
        <f t="shared" ref="I440:I446" si="33">SUM(F440:H440)</f>
        <v>239044.58</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239044.58</v>
      </c>
      <c r="H447" s="13">
        <f>SUM(H440:H446)</f>
        <v>0</v>
      </c>
      <c r="I447" s="13">
        <f>SUM(I440:I446)</f>
        <v>239044.58</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239044.58</v>
      </c>
      <c r="H460" s="18"/>
      <c r="I460" s="13">
        <f t="shared" si="34"/>
        <v>239044.58</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239044.58</v>
      </c>
      <c r="H461" s="65">
        <f>SUM(H455:H460)</f>
        <v>0</v>
      </c>
      <c r="I461" s="65">
        <f>SUM(I455:I460)</f>
        <v>239044.58</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239044.58</v>
      </c>
      <c r="H462" s="39">
        <f>H453+H461</f>
        <v>0</v>
      </c>
      <c r="I462" s="39">
        <f>I453+I461</f>
        <v>239044.58</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395120.23</v>
      </c>
      <c r="G466" s="18">
        <v>4051.5999999999913</v>
      </c>
      <c r="H466" s="18">
        <v>0</v>
      </c>
      <c r="I466" s="18">
        <v>0</v>
      </c>
      <c r="J466" s="18">
        <v>230022.02999999997</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f>F194</f>
        <v>3120717.8</v>
      </c>
      <c r="G469" s="18">
        <f>G194</f>
        <v>54697.829999999994</v>
      </c>
      <c r="H469" s="18">
        <f>H194</f>
        <v>109536.68999999999</v>
      </c>
      <c r="I469" s="18">
        <f>I194</f>
        <v>0</v>
      </c>
      <c r="J469" s="18">
        <f>L409</f>
        <v>9022.5499999999993</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3120717.8</v>
      </c>
      <c r="G471" s="19">
        <f>SUM(G469:G470)</f>
        <v>54697.829999999994</v>
      </c>
      <c r="H471" s="19">
        <f>SUM(H469:H470)</f>
        <v>109536.68999999999</v>
      </c>
      <c r="I471" s="19">
        <f>SUM(I469:I470)</f>
        <v>0</v>
      </c>
      <c r="J471" s="19">
        <f>SUM(J469:J470)</f>
        <v>9022.5499999999993</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f>L272</f>
        <v>3120884.36</v>
      </c>
      <c r="G473" s="18">
        <f>L363</f>
        <v>58749.429999999993</v>
      </c>
      <c r="H473" s="18">
        <f>L353</f>
        <v>109536.69</v>
      </c>
      <c r="I473" s="18">
        <f>L383</f>
        <v>0</v>
      </c>
      <c r="J473" s="18">
        <f>L435</f>
        <v>0</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3120884.36</v>
      </c>
      <c r="G475" s="19">
        <f>SUM(G473:G474)</f>
        <v>58749.429999999993</v>
      </c>
      <c r="H475" s="19">
        <f>SUM(H473:H474)</f>
        <v>109536.69</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394953.66999999993</v>
      </c>
      <c r="G477" s="19">
        <f>(G466+G471)- G475</f>
        <v>0</v>
      </c>
      <c r="H477" s="19">
        <f>(H466+H471)- H475</f>
        <v>0</v>
      </c>
      <c r="I477" s="19">
        <f>(I466+I471)- I475</f>
        <v>0</v>
      </c>
      <c r="J477" s="19">
        <f>(J466+J471)- J475</f>
        <v>239044.57999999996</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v>0</v>
      </c>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115369.19</v>
      </c>
      <c r="G522" s="18">
        <v>64896.94</v>
      </c>
      <c r="H522" s="18">
        <v>18449.07</v>
      </c>
      <c r="I522" s="18">
        <v>2571.14</v>
      </c>
      <c r="J522" s="18">
        <v>0</v>
      </c>
      <c r="K522" s="18">
        <v>2030.7</v>
      </c>
      <c r="L522" s="69">
        <f>SUM(F522:K522)</f>
        <v>203317.04000000004</v>
      </c>
      <c r="N522" s="131"/>
    </row>
    <row r="523" spans="1:14" ht="12.2" customHeight="1" x14ac:dyDescent="0.2">
      <c r="A523" s="21" t="s">
        <v>634</v>
      </c>
      <c r="B523" s="22">
        <v>21</v>
      </c>
      <c r="C523" s="22">
        <v>2</v>
      </c>
      <c r="D523" s="2" t="s">
        <v>432</v>
      </c>
      <c r="E523" s="22"/>
      <c r="F523" s="18">
        <v>0</v>
      </c>
      <c r="G523" s="18">
        <v>0</v>
      </c>
      <c r="H523" s="18">
        <v>359397.94</v>
      </c>
      <c r="I523" s="18">
        <v>0</v>
      </c>
      <c r="J523" s="18"/>
      <c r="K523" s="18">
        <v>0</v>
      </c>
      <c r="L523" s="69">
        <f>SUM(F523:K523)</f>
        <v>359397.94</v>
      </c>
      <c r="N523" s="131"/>
    </row>
    <row r="524" spans="1:14" ht="12.2" customHeight="1" thickBot="1" x14ac:dyDescent="0.25">
      <c r="A524" s="21" t="s">
        <v>635</v>
      </c>
      <c r="B524" s="22">
        <v>21</v>
      </c>
      <c r="C524" s="22">
        <v>3</v>
      </c>
      <c r="D524" s="2" t="s">
        <v>432</v>
      </c>
      <c r="E524" s="22"/>
      <c r="F524" s="18">
        <v>0</v>
      </c>
      <c r="G524" s="18">
        <v>0</v>
      </c>
      <c r="H524" s="18">
        <v>249109.32</v>
      </c>
      <c r="I524" s="18">
        <v>0</v>
      </c>
      <c r="J524" s="18">
        <v>0</v>
      </c>
      <c r="K524" s="18">
        <v>0</v>
      </c>
      <c r="L524" s="69">
        <f>SUM(F524:K524)</f>
        <v>249109.32</v>
      </c>
      <c r="N524" s="131"/>
    </row>
    <row r="525" spans="1:14" ht="12.2" customHeight="1" thickTop="1" x14ac:dyDescent="0.2">
      <c r="A525" s="97" t="s">
        <v>63</v>
      </c>
      <c r="B525" s="41">
        <v>21</v>
      </c>
      <c r="C525" s="41">
        <v>4</v>
      </c>
      <c r="D525" s="115" t="s">
        <v>432</v>
      </c>
      <c r="E525" s="41"/>
      <c r="F525" s="81">
        <f>SUM(F522:F524)</f>
        <v>115369.19</v>
      </c>
      <c r="G525" s="81">
        <f t="shared" ref="G525:L525" si="36">SUM(G522:G524)</f>
        <v>64896.94</v>
      </c>
      <c r="H525" s="81">
        <f t="shared" si="36"/>
        <v>626956.33000000007</v>
      </c>
      <c r="I525" s="81">
        <f t="shared" si="36"/>
        <v>2571.14</v>
      </c>
      <c r="J525" s="81">
        <f t="shared" si="36"/>
        <v>0</v>
      </c>
      <c r="K525" s="81">
        <f t="shared" si="36"/>
        <v>2030.7</v>
      </c>
      <c r="L525" s="70">
        <f t="shared" si="36"/>
        <v>811824.3</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0</v>
      </c>
      <c r="G527" s="18">
        <v>0</v>
      </c>
      <c r="H527" s="18">
        <v>84603.19</v>
      </c>
      <c r="I527" s="18">
        <v>360.22</v>
      </c>
      <c r="J527" s="18">
        <v>0</v>
      </c>
      <c r="K527" s="18">
        <v>0</v>
      </c>
      <c r="L527" s="69">
        <f>SUM(F527:K527)</f>
        <v>84963.41</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v>0</v>
      </c>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84603.19</v>
      </c>
      <c r="I530" s="70">
        <f t="shared" si="37"/>
        <v>360.22</v>
      </c>
      <c r="J530" s="70">
        <f t="shared" si="37"/>
        <v>0</v>
      </c>
      <c r="K530" s="70">
        <f t="shared" si="37"/>
        <v>0</v>
      </c>
      <c r="L530" s="70">
        <f t="shared" si="37"/>
        <v>84963.41</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f>148822.5*0.1005</f>
        <v>14956.661250000001</v>
      </c>
      <c r="G532" s="18">
        <f>58111.39*0.1005</f>
        <v>5840.1946950000001</v>
      </c>
      <c r="H532" s="18"/>
      <c r="I532" s="18"/>
      <c r="J532" s="18"/>
      <c r="K532" s="18"/>
      <c r="L532" s="69">
        <f>SUM(F532:K532)</f>
        <v>20796.855945000003</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14956.661250000001</v>
      </c>
      <c r="G535" s="70">
        <f t="shared" ref="G535:L535" si="38">SUM(G532:G534)</f>
        <v>5840.1946950000001</v>
      </c>
      <c r="H535" s="70">
        <f t="shared" si="38"/>
        <v>0</v>
      </c>
      <c r="I535" s="70">
        <f t="shared" si="38"/>
        <v>0</v>
      </c>
      <c r="J535" s="70">
        <f t="shared" si="38"/>
        <v>0</v>
      </c>
      <c r="K535" s="70">
        <f t="shared" si="38"/>
        <v>0</v>
      </c>
      <c r="L535" s="70">
        <f t="shared" si="38"/>
        <v>20796.855945000003</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v>991.47</v>
      </c>
      <c r="I537" s="18"/>
      <c r="J537" s="18"/>
      <c r="K537" s="18"/>
      <c r="L537" s="69">
        <f>SUM(F537:K537)</f>
        <v>991.47</v>
      </c>
      <c r="M537" s="8"/>
      <c r="N537" s="165"/>
    </row>
    <row r="538" spans="1:14" s="3" customFormat="1" ht="12.2" customHeight="1" x14ac:dyDescent="0.15">
      <c r="A538" s="21" t="s">
        <v>634</v>
      </c>
      <c r="B538" s="22">
        <v>21</v>
      </c>
      <c r="C538" s="22">
        <v>14</v>
      </c>
      <c r="D538" s="2" t="s">
        <v>432</v>
      </c>
      <c r="E538" s="22"/>
      <c r="F538" s="18"/>
      <c r="G538" s="18"/>
      <c r="H538" s="18">
        <v>340.77</v>
      </c>
      <c r="I538" s="18"/>
      <c r="J538" s="18"/>
      <c r="K538" s="18"/>
      <c r="L538" s="69">
        <f>SUM(F538:K538)</f>
        <v>340.77</v>
      </c>
      <c r="M538" s="8"/>
      <c r="N538" s="165"/>
    </row>
    <row r="539" spans="1:14" s="3" customFormat="1" ht="12.2" customHeight="1" thickBot="1" x14ac:dyDescent="0.2">
      <c r="A539" s="21" t="s">
        <v>635</v>
      </c>
      <c r="B539" s="22">
        <v>21</v>
      </c>
      <c r="C539" s="22">
        <v>15</v>
      </c>
      <c r="D539" s="2" t="s">
        <v>432</v>
      </c>
      <c r="E539" s="22"/>
      <c r="F539" s="18"/>
      <c r="G539" s="18"/>
      <c r="H539" s="18">
        <v>801.82</v>
      </c>
      <c r="I539" s="18"/>
      <c r="J539" s="18"/>
      <c r="K539" s="18"/>
      <c r="L539" s="69">
        <f>SUM(F539:K539)</f>
        <v>801.82</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2134.06</v>
      </c>
      <c r="I540" s="70">
        <f t="shared" si="39"/>
        <v>0</v>
      </c>
      <c r="J540" s="70">
        <f t="shared" si="39"/>
        <v>0</v>
      </c>
      <c r="K540" s="70">
        <f t="shared" si="39"/>
        <v>0</v>
      </c>
      <c r="L540" s="70">
        <f t="shared" si="39"/>
        <v>2134.06</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25084</v>
      </c>
      <c r="I542" s="18"/>
      <c r="J542" s="18"/>
      <c r="K542" s="18"/>
      <c r="L542" s="69">
        <f>SUM(F542:K542)</f>
        <v>25084</v>
      </c>
      <c r="M542" s="8"/>
      <c r="N542" s="165"/>
    </row>
    <row r="543" spans="1:14" s="3" customFormat="1" ht="12.2" customHeight="1" x14ac:dyDescent="0.15">
      <c r="A543" s="21" t="s">
        <v>634</v>
      </c>
      <c r="B543" s="22">
        <v>21</v>
      </c>
      <c r="C543" s="22">
        <v>18</v>
      </c>
      <c r="D543" s="2" t="s">
        <v>432</v>
      </c>
      <c r="E543" s="22"/>
      <c r="F543" s="18"/>
      <c r="G543" s="18"/>
      <c r="H543" s="18">
        <v>0</v>
      </c>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v>8525.7999999999993</v>
      </c>
      <c r="I544" s="18"/>
      <c r="J544" s="18"/>
      <c r="K544" s="18"/>
      <c r="L544" s="69">
        <f>SUM(F544:K544)</f>
        <v>8525.7999999999993</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33609.800000000003</v>
      </c>
      <c r="I545" s="141">
        <f t="shared" si="40"/>
        <v>0</v>
      </c>
      <c r="J545" s="141">
        <f t="shared" si="40"/>
        <v>0</v>
      </c>
      <c r="K545" s="141">
        <f t="shared" si="40"/>
        <v>0</v>
      </c>
      <c r="L545" s="141">
        <f t="shared" si="40"/>
        <v>33609.800000000003</v>
      </c>
      <c r="M545" s="8"/>
      <c r="N545" s="165"/>
    </row>
    <row r="546" spans="1:14" s="3" customFormat="1" ht="12.2" customHeight="1" thickTop="1" x14ac:dyDescent="0.15">
      <c r="A546" s="75" t="s">
        <v>72</v>
      </c>
      <c r="B546" s="41">
        <v>21</v>
      </c>
      <c r="C546" s="41">
        <v>21</v>
      </c>
      <c r="D546" s="115" t="s">
        <v>432</v>
      </c>
      <c r="E546" s="41"/>
      <c r="F546" s="70">
        <f>F525+F530+F535+F540+F545</f>
        <v>130325.85125000001</v>
      </c>
      <c r="G546" s="70">
        <f t="shared" ref="G546:L546" si="41">G525+G530+G535+G540+G545</f>
        <v>70737.134695000001</v>
      </c>
      <c r="H546" s="70">
        <f t="shared" si="41"/>
        <v>747303.38000000012</v>
      </c>
      <c r="I546" s="70">
        <f t="shared" si="41"/>
        <v>2931.3599999999997</v>
      </c>
      <c r="J546" s="70">
        <f t="shared" si="41"/>
        <v>0</v>
      </c>
      <c r="K546" s="70">
        <f t="shared" si="41"/>
        <v>2030.7</v>
      </c>
      <c r="L546" s="70">
        <f t="shared" si="41"/>
        <v>953328.42594500014</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203317.04000000004</v>
      </c>
      <c r="G550" s="69">
        <f>L527</f>
        <v>84963.41</v>
      </c>
      <c r="H550" s="69">
        <f>L532</f>
        <v>20796.855945000003</v>
      </c>
      <c r="I550" s="69">
        <f>L537</f>
        <v>991.47</v>
      </c>
      <c r="J550" s="69">
        <f>L542</f>
        <v>25084</v>
      </c>
      <c r="K550" s="69">
        <f>SUM(F550:J550)</f>
        <v>335152.77594500006</v>
      </c>
      <c r="L550" s="23" t="s">
        <v>288</v>
      </c>
      <c r="M550" s="8"/>
      <c r="N550" s="165"/>
    </row>
    <row r="551" spans="1:14" s="3" customFormat="1" ht="12.2" customHeight="1" x14ac:dyDescent="0.15">
      <c r="A551" s="21" t="s">
        <v>634</v>
      </c>
      <c r="B551" s="22">
        <v>21</v>
      </c>
      <c r="C551" s="22">
        <v>23</v>
      </c>
      <c r="D551" s="2" t="s">
        <v>432</v>
      </c>
      <c r="E551" s="22"/>
      <c r="F551" s="69">
        <f>L523</f>
        <v>359397.94</v>
      </c>
      <c r="G551" s="69">
        <f>L528</f>
        <v>0</v>
      </c>
      <c r="H551" s="69">
        <f>L533</f>
        <v>0</v>
      </c>
      <c r="I551" s="69">
        <f>L538</f>
        <v>340.77</v>
      </c>
      <c r="J551" s="69">
        <f>L543</f>
        <v>0</v>
      </c>
      <c r="K551" s="69">
        <f>SUM(F551:J551)</f>
        <v>359738.71</v>
      </c>
      <c r="L551" s="23" t="s">
        <v>288</v>
      </c>
      <c r="M551" s="8"/>
      <c r="N551" s="165"/>
    </row>
    <row r="552" spans="1:14" s="3" customFormat="1" ht="12.2" customHeight="1" thickBot="1" x14ac:dyDescent="0.2">
      <c r="A552" s="21" t="s">
        <v>635</v>
      </c>
      <c r="B552" s="22">
        <v>21</v>
      </c>
      <c r="C552" s="22">
        <v>24</v>
      </c>
      <c r="D552" s="2" t="s">
        <v>432</v>
      </c>
      <c r="E552" s="22"/>
      <c r="F552" s="69">
        <f>L524</f>
        <v>249109.32</v>
      </c>
      <c r="G552" s="69">
        <f>L529</f>
        <v>0</v>
      </c>
      <c r="H552" s="69">
        <f>L534</f>
        <v>0</v>
      </c>
      <c r="I552" s="69">
        <f>L539</f>
        <v>801.82</v>
      </c>
      <c r="J552" s="69">
        <f>L544</f>
        <v>8525.7999999999993</v>
      </c>
      <c r="K552" s="69">
        <f>SUM(F552:J552)</f>
        <v>258436.94</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811824.3</v>
      </c>
      <c r="G553" s="70">
        <f t="shared" si="42"/>
        <v>84963.41</v>
      </c>
      <c r="H553" s="70">
        <f t="shared" si="42"/>
        <v>20796.855945000003</v>
      </c>
      <c r="I553" s="70">
        <f t="shared" si="42"/>
        <v>2134.06</v>
      </c>
      <c r="J553" s="70">
        <f t="shared" si="42"/>
        <v>33609.800000000003</v>
      </c>
      <c r="K553" s="70">
        <f t="shared" si="42"/>
        <v>953328.42594500002</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v>0</v>
      </c>
      <c r="G563" s="18">
        <v>0</v>
      </c>
      <c r="H563" s="18">
        <v>75.84</v>
      </c>
      <c r="I563" s="18">
        <v>0</v>
      </c>
      <c r="J563" s="18">
        <v>0</v>
      </c>
      <c r="K563" s="18">
        <v>0</v>
      </c>
      <c r="L563" s="69">
        <f>SUM(F563:K563)</f>
        <v>75.84</v>
      </c>
      <c r="M563" s="8"/>
      <c r="N563" s="165"/>
    </row>
    <row r="564" spans="1:14" s="3" customFormat="1" ht="12.2" customHeight="1" x14ac:dyDescent="0.15">
      <c r="A564" s="21" t="s">
        <v>634</v>
      </c>
      <c r="B564" s="22">
        <v>22</v>
      </c>
      <c r="C564" s="22">
        <v>6</v>
      </c>
      <c r="D564" s="2" t="s">
        <v>432</v>
      </c>
      <c r="E564" s="22"/>
      <c r="F564" s="18">
        <v>0</v>
      </c>
      <c r="G564" s="18">
        <v>0</v>
      </c>
      <c r="H564" s="18">
        <v>0</v>
      </c>
      <c r="I564" s="18">
        <v>0</v>
      </c>
      <c r="J564" s="18"/>
      <c r="K564" s="18">
        <v>0</v>
      </c>
      <c r="L564" s="69">
        <f>SUM(F564:K564)</f>
        <v>0</v>
      </c>
      <c r="M564" s="8"/>
      <c r="N564" s="165"/>
    </row>
    <row r="565" spans="1:14" s="3" customFormat="1" ht="12.2" customHeight="1" thickBot="1" x14ac:dyDescent="0.2">
      <c r="A565" s="21" t="s">
        <v>635</v>
      </c>
      <c r="B565" s="22">
        <v>22</v>
      </c>
      <c r="C565" s="22">
        <v>7</v>
      </c>
      <c r="D565" s="2" t="s">
        <v>432</v>
      </c>
      <c r="E565" s="22"/>
      <c r="F565" s="18">
        <v>0</v>
      </c>
      <c r="G565" s="18">
        <v>0</v>
      </c>
      <c r="H565" s="18">
        <v>0</v>
      </c>
      <c r="I565" s="18">
        <v>0</v>
      </c>
      <c r="J565" s="18">
        <v>0</v>
      </c>
      <c r="K565" s="18">
        <v>0</v>
      </c>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75.84</v>
      </c>
      <c r="I566" s="70">
        <f t="shared" si="44"/>
        <v>0</v>
      </c>
      <c r="J566" s="70">
        <f t="shared" si="44"/>
        <v>0</v>
      </c>
      <c r="K566" s="70">
        <f t="shared" si="44"/>
        <v>0</v>
      </c>
      <c r="L566" s="70">
        <f t="shared" si="44"/>
        <v>75.84</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75.84</v>
      </c>
      <c r="I572" s="70">
        <f t="shared" si="46"/>
        <v>0</v>
      </c>
      <c r="J572" s="70">
        <f t="shared" si="46"/>
        <v>0</v>
      </c>
      <c r="K572" s="70">
        <f t="shared" si="46"/>
        <v>0</v>
      </c>
      <c r="L572" s="70">
        <f t="shared" si="46"/>
        <v>75.84</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v>24377.040000000001</v>
      </c>
      <c r="G576" s="18">
        <v>333351.32</v>
      </c>
      <c r="H576" s="18">
        <v>636201.64</v>
      </c>
      <c r="I576" s="69">
        <f>SUM(F576:H576)</f>
        <v>993930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v>0</v>
      </c>
      <c r="G577" s="18">
        <v>0</v>
      </c>
      <c r="H577" s="18">
        <v>0</v>
      </c>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v>0</v>
      </c>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v>0</v>
      </c>
      <c r="G579" s="18">
        <v>0</v>
      </c>
      <c r="H579" s="18">
        <v>0</v>
      </c>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0</v>
      </c>
      <c r="G580" s="18">
        <v>359397.94</v>
      </c>
      <c r="H580" s="18">
        <v>240510.92</v>
      </c>
      <c r="I580" s="69">
        <f t="shared" si="47"/>
        <v>599908.86</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v>0</v>
      </c>
      <c r="G581" s="18">
        <v>0</v>
      </c>
      <c r="H581" s="18">
        <v>0</v>
      </c>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v>0</v>
      </c>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0</v>
      </c>
      <c r="G583" s="18">
        <v>0</v>
      </c>
      <c r="H583" s="18">
        <v>8598.4</v>
      </c>
      <c r="I583" s="69">
        <f t="shared" si="47"/>
        <v>8598.4</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v>0</v>
      </c>
      <c r="G584" s="18">
        <v>0</v>
      </c>
      <c r="H584" s="18">
        <v>0</v>
      </c>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v>0</v>
      </c>
      <c r="G585" s="18">
        <v>0</v>
      </c>
      <c r="H585" s="18">
        <v>0</v>
      </c>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41510.9</v>
      </c>
      <c r="I592" s="18">
        <v>16411.330000000002</v>
      </c>
      <c r="J592" s="18">
        <v>38614.83</v>
      </c>
      <c r="K592" s="80">
        <f t="shared" ref="K592:K598" si="48">SUM(H592:J592)</f>
        <v>96537.06</v>
      </c>
      <c r="L592" s="23" t="s">
        <v>288</v>
      </c>
      <c r="M592" s="8"/>
      <c r="N592" s="165"/>
    </row>
    <row r="593" spans="1:14" s="3" customFormat="1" ht="12.2" customHeight="1" x14ac:dyDescent="0.15">
      <c r="A593" s="3" t="s">
        <v>638</v>
      </c>
      <c r="B593" s="22">
        <v>23</v>
      </c>
      <c r="C593" s="22">
        <v>2</v>
      </c>
      <c r="D593" s="2" t="s">
        <v>432</v>
      </c>
      <c r="E593" s="22"/>
      <c r="F593" s="78">
        <v>2722</v>
      </c>
      <c r="G593" s="79" t="s">
        <v>97</v>
      </c>
      <c r="H593" s="18">
        <v>25084</v>
      </c>
      <c r="I593" s="18">
        <v>0</v>
      </c>
      <c r="J593" s="18">
        <v>8525.7999999999993</v>
      </c>
      <c r="K593" s="80">
        <f t="shared" si="48"/>
        <v>33609.800000000003</v>
      </c>
      <c r="L593" s="23" t="s">
        <v>288</v>
      </c>
      <c r="M593" s="8"/>
      <c r="N593" s="165"/>
    </row>
    <row r="594" spans="1:14" s="3" customFormat="1" ht="12.2" customHeight="1" x14ac:dyDescent="0.15">
      <c r="A594" s="3" t="s">
        <v>639</v>
      </c>
      <c r="B594" s="22">
        <v>23</v>
      </c>
      <c r="C594" s="22">
        <v>3</v>
      </c>
      <c r="D594" s="2" t="s">
        <v>432</v>
      </c>
      <c r="E594" s="22"/>
      <c r="F594" s="78">
        <v>2723</v>
      </c>
      <c r="G594" s="79" t="s">
        <v>97</v>
      </c>
      <c r="H594" s="18">
        <v>0</v>
      </c>
      <c r="I594" s="18">
        <v>0</v>
      </c>
      <c r="J594" s="18">
        <v>0</v>
      </c>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v>0</v>
      </c>
      <c r="I595" s="18">
        <v>0</v>
      </c>
      <c r="J595" s="18">
        <v>0</v>
      </c>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v>1899.36</v>
      </c>
      <c r="I596" s="18">
        <v>0</v>
      </c>
      <c r="J596" s="18">
        <v>0</v>
      </c>
      <c r="K596" s="80">
        <f t="shared" si="48"/>
        <v>1899.36</v>
      </c>
      <c r="L596" s="23" t="s">
        <v>288</v>
      </c>
      <c r="M596" s="8"/>
      <c r="N596" s="165"/>
    </row>
    <row r="597" spans="1:14" s="3" customFormat="1" ht="12.2" customHeight="1" x14ac:dyDescent="0.15">
      <c r="A597" s="21" t="s">
        <v>641</v>
      </c>
      <c r="B597" s="22">
        <v>23</v>
      </c>
      <c r="C597" s="22">
        <v>6</v>
      </c>
      <c r="D597" s="2" t="s">
        <v>432</v>
      </c>
      <c r="E597" s="22"/>
      <c r="F597" s="78">
        <v>2726</v>
      </c>
      <c r="G597" s="79" t="s">
        <v>97</v>
      </c>
      <c r="H597" s="18">
        <v>0</v>
      </c>
      <c r="I597" s="18">
        <v>0</v>
      </c>
      <c r="J597" s="18">
        <v>0</v>
      </c>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v>0</v>
      </c>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68494.259999999995</v>
      </c>
      <c r="I599" s="81">
        <f>SUM(I592:I598)</f>
        <v>16411.330000000002</v>
      </c>
      <c r="J599" s="81">
        <f>SUM(J592:J598)</f>
        <v>47140.630000000005</v>
      </c>
      <c r="K599" s="81">
        <f>SUM(K592:K598)</f>
        <v>132046.22</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v>0</v>
      </c>
      <c r="I603" s="18">
        <v>0</v>
      </c>
      <c r="J603" s="18">
        <v>0</v>
      </c>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v>0</v>
      </c>
      <c r="I604" s="18">
        <v>0</v>
      </c>
      <c r="J604" s="18">
        <v>0</v>
      </c>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10759.73</v>
      </c>
      <c r="I605" s="18">
        <v>0</v>
      </c>
      <c r="J605" s="18">
        <v>0</v>
      </c>
      <c r="K605" s="80">
        <f>SUM(H605:J605)</f>
        <v>10759.73</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10759.73</v>
      </c>
      <c r="I606" s="81">
        <f>SUM(I603:I605)</f>
        <v>0</v>
      </c>
      <c r="J606" s="81">
        <f>SUM(J603:J605)</f>
        <v>0</v>
      </c>
      <c r="K606" s="81">
        <f>SUM(K603:K605)</f>
        <v>10759.73</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1450</v>
      </c>
      <c r="G612" s="18">
        <v>415.72</v>
      </c>
      <c r="H612" s="18">
        <v>0</v>
      </c>
      <c r="I612" s="18"/>
      <c r="J612" s="18"/>
      <c r="K612" s="18"/>
      <c r="L612" s="69">
        <f>SUM(F612:K612)</f>
        <v>1865.72</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v>0</v>
      </c>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1450</v>
      </c>
      <c r="G615" s="81">
        <f t="shared" si="49"/>
        <v>415.72</v>
      </c>
      <c r="H615" s="81">
        <f t="shared" si="49"/>
        <v>0</v>
      </c>
      <c r="I615" s="81">
        <f t="shared" si="49"/>
        <v>0</v>
      </c>
      <c r="J615" s="81">
        <f t="shared" si="49"/>
        <v>0</v>
      </c>
      <c r="K615" s="81">
        <f t="shared" si="49"/>
        <v>0</v>
      </c>
      <c r="L615" s="70">
        <f t="shared" si="49"/>
        <v>1865.72</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351995.58</v>
      </c>
      <c r="H618" s="80">
        <f>SUM(F52)</f>
        <v>351995.57999999996</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25989.54</v>
      </c>
      <c r="H619" s="80">
        <f>SUM(G52)</f>
        <v>25989.54</v>
      </c>
      <c r="I619" s="87" t="s">
        <v>875</v>
      </c>
      <c r="J619" s="80">
        <f>G619-H619</f>
        <v>0</v>
      </c>
      <c r="K619" s="80"/>
      <c r="L619" s="80"/>
      <c r="M619" s="8"/>
    </row>
    <row r="620" spans="1:14" s="3" customFormat="1" ht="12.2" customHeight="1" x14ac:dyDescent="0.15">
      <c r="A620" s="74"/>
      <c r="B620" s="22"/>
      <c r="C620" s="22"/>
      <c r="D620" s="22"/>
      <c r="E620" s="22"/>
      <c r="F620" s="87" t="s">
        <v>685</v>
      </c>
      <c r="G620" s="80">
        <f>SUM(H19)</f>
        <v>105987.2</v>
      </c>
      <c r="H620" s="80">
        <f>SUM(H52)</f>
        <v>105987.20000000001</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239044.58</v>
      </c>
      <c r="H622" s="80">
        <f>SUM(J52)</f>
        <v>239044.58</v>
      </c>
      <c r="I622" s="87" t="s">
        <v>878</v>
      </c>
      <c r="J622" s="80">
        <f>G622-H622</f>
        <v>0</v>
      </c>
      <c r="K622" s="80"/>
      <c r="L622" s="80"/>
      <c r="M622" s="8"/>
    </row>
    <row r="623" spans="1:14" s="3" customFormat="1" ht="12.2" customHeight="1" x14ac:dyDescent="0.15">
      <c r="A623" s="74"/>
      <c r="B623" s="22"/>
      <c r="C623" s="22"/>
      <c r="D623" s="22"/>
      <c r="E623" s="22"/>
      <c r="F623" s="87" t="s">
        <v>864</v>
      </c>
      <c r="G623" s="80">
        <f>F51</f>
        <v>394953.67</v>
      </c>
      <c r="H623" s="80">
        <f>F477</f>
        <v>394953.66999999993</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0</v>
      </c>
      <c r="H624" s="80">
        <f>G477</f>
        <v>0</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239044.58</v>
      </c>
      <c r="H627" s="80">
        <f>J477</f>
        <v>239044.57999999996</v>
      </c>
      <c r="I627" s="87" t="s">
        <v>105</v>
      </c>
      <c r="J627" s="80">
        <f t="shared" si="50"/>
        <v>0</v>
      </c>
      <c r="K627" s="67"/>
      <c r="L627" s="69"/>
      <c r="M627" s="8"/>
    </row>
    <row r="628" spans="1:13" s="3" customFormat="1" ht="12.2" customHeight="1" x14ac:dyDescent="0.15">
      <c r="A628" s="21"/>
      <c r="B628" s="22"/>
      <c r="C628" s="22"/>
      <c r="D628" s="22"/>
      <c r="E628" s="22"/>
      <c r="F628" s="86" t="s">
        <v>658</v>
      </c>
      <c r="G628" s="80">
        <f>F194</f>
        <v>3120717.8</v>
      </c>
      <c r="H628" s="80">
        <f>SUM(F469)</f>
        <v>3120717.8</v>
      </c>
      <c r="I628" s="87" t="s">
        <v>106</v>
      </c>
      <c r="J628" s="80">
        <f>G628-H628</f>
        <v>0</v>
      </c>
      <c r="K628" s="67"/>
      <c r="L628" s="69"/>
      <c r="M628" s="8"/>
    </row>
    <row r="629" spans="1:13" s="3" customFormat="1" ht="12.2" customHeight="1" x14ac:dyDescent="0.15">
      <c r="A629" s="21"/>
      <c r="B629" s="22"/>
      <c r="C629" s="22"/>
      <c r="D629" s="22"/>
      <c r="E629" s="22"/>
      <c r="F629" s="86" t="s">
        <v>659</v>
      </c>
      <c r="G629" s="80">
        <f>G194</f>
        <v>54697.829999999994</v>
      </c>
      <c r="H629" s="80">
        <f>SUM(G469)</f>
        <v>54697.829999999994</v>
      </c>
      <c r="I629" s="87" t="s">
        <v>107</v>
      </c>
      <c r="J629" s="80">
        <f>G629-H629</f>
        <v>0</v>
      </c>
      <c r="K629" s="67"/>
      <c r="L629" s="69"/>
      <c r="M629" s="8"/>
    </row>
    <row r="630" spans="1:13" s="3" customFormat="1" ht="12.2" customHeight="1" x14ac:dyDescent="0.15">
      <c r="A630" s="21"/>
      <c r="B630" s="22"/>
      <c r="C630" s="22"/>
      <c r="D630" s="22"/>
      <c r="E630" s="22"/>
      <c r="F630" s="86" t="s">
        <v>660</v>
      </c>
      <c r="G630" s="80">
        <f>H194</f>
        <v>109536.68999999999</v>
      </c>
      <c r="H630" s="80">
        <f>SUM(H469)</f>
        <v>109536.68999999999</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9022.5499999999993</v>
      </c>
      <c r="H632" s="80">
        <f>SUM(J469)</f>
        <v>9022.5499999999993</v>
      </c>
      <c r="I632" s="87" t="s">
        <v>110</v>
      </c>
      <c r="J632" s="80">
        <f>G632-H632</f>
        <v>0</v>
      </c>
      <c r="K632" s="67"/>
      <c r="L632" s="69"/>
      <c r="M632" s="8"/>
    </row>
    <row r="633" spans="1:13" s="3" customFormat="1" ht="12.2" customHeight="1" x14ac:dyDescent="0.15">
      <c r="A633" s="21"/>
      <c r="B633" s="22"/>
      <c r="C633" s="22"/>
      <c r="D633" s="22"/>
      <c r="E633" s="22"/>
      <c r="F633" s="86" t="s">
        <v>394</v>
      </c>
      <c r="G633" s="80">
        <f>SUM(L272)</f>
        <v>3120884.36</v>
      </c>
      <c r="H633" s="80">
        <f>SUM(F473)</f>
        <v>3120884.36</v>
      </c>
      <c r="I633" s="87" t="s">
        <v>111</v>
      </c>
      <c r="J633" s="80">
        <f t="shared" si="50"/>
        <v>0</v>
      </c>
      <c r="K633" s="67"/>
      <c r="L633" s="69"/>
      <c r="M633" s="8"/>
    </row>
    <row r="634" spans="1:13" s="3" customFormat="1" ht="12.2" customHeight="1" x14ac:dyDescent="0.15">
      <c r="A634" s="21"/>
      <c r="B634" s="22"/>
      <c r="C634" s="22"/>
      <c r="D634" s="22"/>
      <c r="E634" s="22"/>
      <c r="F634" s="86" t="s">
        <v>395</v>
      </c>
      <c r="G634" s="80">
        <f>SUM(L353)</f>
        <v>109536.69</v>
      </c>
      <c r="H634" s="80">
        <f>SUM(H473)</f>
        <v>109536.69</v>
      </c>
      <c r="I634" s="87" t="s">
        <v>112</v>
      </c>
      <c r="J634" s="80">
        <f>G634-H634</f>
        <v>0</v>
      </c>
      <c r="K634" s="67"/>
      <c r="L634" s="69"/>
      <c r="M634" s="8"/>
    </row>
    <row r="635" spans="1:13" s="124" customFormat="1" ht="12.2" customHeight="1" x14ac:dyDescent="0.15">
      <c r="A635" s="21"/>
      <c r="B635" s="22"/>
      <c r="C635" s="22"/>
      <c r="D635" s="22"/>
      <c r="E635" s="22"/>
      <c r="F635" s="99" t="s">
        <v>247</v>
      </c>
      <c r="G635" s="80">
        <f>I363</f>
        <v>16647.89</v>
      </c>
      <c r="H635" s="80">
        <f>I370</f>
        <v>16647.89</v>
      </c>
      <c r="I635" s="100" t="s">
        <v>248</v>
      </c>
      <c r="J635" s="80">
        <f>G635-H635</f>
        <v>0</v>
      </c>
      <c r="K635" s="67"/>
      <c r="L635" s="69"/>
      <c r="M635" s="123"/>
    </row>
    <row r="636" spans="1:13" s="124" customFormat="1" ht="12.2" customHeight="1" x14ac:dyDescent="0.15">
      <c r="A636" s="21"/>
      <c r="B636" s="22"/>
      <c r="C636" s="22"/>
      <c r="D636" s="22"/>
      <c r="E636" s="22"/>
      <c r="F636" s="86" t="s">
        <v>113</v>
      </c>
      <c r="G636" s="80">
        <f>SUM(L363)</f>
        <v>58749.429999999993</v>
      </c>
      <c r="H636" s="80">
        <f>SUM(G473)</f>
        <v>58749.429999999993</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9022.5499999999993</v>
      </c>
      <c r="H638" s="108">
        <f>SUM(J469)</f>
        <v>9022.5499999999993</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239044.58</v>
      </c>
      <c r="H641" s="80">
        <f>SUM(G462)</f>
        <v>239044.58</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239044.58</v>
      </c>
      <c r="H643" s="80">
        <f>SUM(I462)</f>
        <v>239044.58</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9022.5499999999993</v>
      </c>
      <c r="H645" s="80">
        <f>H409</f>
        <v>9022.5499999999993</v>
      </c>
      <c r="I645" s="87" t="s">
        <v>480</v>
      </c>
      <c r="J645" s="80">
        <f t="shared" si="50"/>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0"/>
        <v>0</v>
      </c>
      <c r="K646" s="67"/>
      <c r="L646" s="69"/>
      <c r="M646" s="8"/>
    </row>
    <row r="647" spans="1:13" s="3" customFormat="1" ht="12.2" customHeight="1" x14ac:dyDescent="0.15">
      <c r="A647" s="21"/>
      <c r="B647" s="22"/>
      <c r="C647" s="22"/>
      <c r="D647" s="22"/>
      <c r="E647" s="22"/>
      <c r="F647" s="86" t="s">
        <v>662</v>
      </c>
      <c r="G647" s="80">
        <f>J194</f>
        <v>9022.5499999999993</v>
      </c>
      <c r="H647" s="80">
        <f>L409</f>
        <v>9022.5499999999993</v>
      </c>
      <c r="I647" s="87" t="s">
        <v>477</v>
      </c>
      <c r="J647" s="80">
        <f t="shared" si="50"/>
        <v>0</v>
      </c>
      <c r="K647" s="67"/>
      <c r="L647" s="69"/>
      <c r="M647" s="8"/>
    </row>
    <row r="648" spans="1:13" s="3" customFormat="1" ht="12.2" customHeight="1" x14ac:dyDescent="0.15">
      <c r="A648" s="21"/>
      <c r="B648" s="22"/>
      <c r="C648" s="22"/>
      <c r="D648" s="22"/>
      <c r="E648" s="22"/>
      <c r="F648" s="86" t="s">
        <v>51</v>
      </c>
      <c r="G648" s="80">
        <f>K599</f>
        <v>132046.22</v>
      </c>
      <c r="H648" s="80">
        <f>L209+L227+L245</f>
        <v>132046.22</v>
      </c>
      <c r="I648" s="87" t="s">
        <v>396</v>
      </c>
      <c r="J648" s="80">
        <f t="shared" si="50"/>
        <v>0</v>
      </c>
      <c r="K648" s="67"/>
      <c r="L648" s="69"/>
      <c r="M648" s="8"/>
    </row>
    <row r="649" spans="1:13" s="3" customFormat="1" ht="12.2" customHeight="1" x14ac:dyDescent="0.15">
      <c r="A649" s="21"/>
      <c r="B649" s="22"/>
      <c r="C649" s="22"/>
      <c r="D649" s="22"/>
      <c r="E649" s="22"/>
      <c r="F649" s="86" t="s">
        <v>52</v>
      </c>
      <c r="G649" s="80">
        <f>K606</f>
        <v>10759.73</v>
      </c>
      <c r="H649" s="80">
        <f>(J258+J339)-(J256+J337)</f>
        <v>10759.730000000001</v>
      </c>
      <c r="I649" s="87" t="s">
        <v>699</v>
      </c>
      <c r="J649" s="80">
        <f t="shared" si="50"/>
        <v>0</v>
      </c>
      <c r="K649" s="67"/>
      <c r="L649" s="69"/>
      <c r="M649" s="8"/>
    </row>
    <row r="650" spans="1:13" s="3" customFormat="1" ht="12.2" customHeight="1" x14ac:dyDescent="0.15">
      <c r="A650" s="21"/>
      <c r="B650" s="22"/>
      <c r="C650" s="22"/>
      <c r="D650" s="22"/>
      <c r="E650" s="22"/>
      <c r="F650" s="86" t="s">
        <v>387</v>
      </c>
      <c r="G650" s="80">
        <f>L209</f>
        <v>68494.259999999995</v>
      </c>
      <c r="H650" s="80">
        <f>H599</f>
        <v>68494.259999999995</v>
      </c>
      <c r="I650" s="87" t="s">
        <v>388</v>
      </c>
      <c r="J650" s="80">
        <f t="shared" si="50"/>
        <v>0</v>
      </c>
      <c r="K650" s="67"/>
      <c r="L650" s="69"/>
      <c r="M650" s="8"/>
    </row>
    <row r="651" spans="1:13" s="3" customFormat="1" ht="12.2" customHeight="1" x14ac:dyDescent="0.15">
      <c r="A651" s="21"/>
      <c r="B651" s="22"/>
      <c r="C651" s="22"/>
      <c r="D651" s="22"/>
      <c r="E651" s="22"/>
      <c r="F651" s="86" t="s">
        <v>392</v>
      </c>
      <c r="G651" s="80">
        <f>L227</f>
        <v>16411.330000000002</v>
      </c>
      <c r="H651" s="80">
        <f>I599</f>
        <v>16411.330000000002</v>
      </c>
      <c r="I651" s="87" t="s">
        <v>389</v>
      </c>
      <c r="J651" s="80">
        <f t="shared" si="50"/>
        <v>0</v>
      </c>
      <c r="K651" s="67"/>
      <c r="L651" s="69"/>
      <c r="M651" s="8"/>
    </row>
    <row r="652" spans="1:13" s="3" customFormat="1" ht="12.2" customHeight="1" x14ac:dyDescent="0.15">
      <c r="A652" s="21"/>
      <c r="B652" s="22"/>
      <c r="C652" s="22"/>
      <c r="D652" s="22"/>
      <c r="E652" s="22"/>
      <c r="F652" s="86" t="s">
        <v>393</v>
      </c>
      <c r="G652" s="80">
        <f>L245</f>
        <v>47140.63</v>
      </c>
      <c r="H652" s="80">
        <f>J599</f>
        <v>47140.630000000005</v>
      </c>
      <c r="I652" s="87" t="s">
        <v>390</v>
      </c>
      <c r="J652" s="80">
        <f t="shared" si="50"/>
        <v>0</v>
      </c>
      <c r="K652" s="67"/>
      <c r="L652" s="69"/>
      <c r="M652" s="8"/>
    </row>
    <row r="653" spans="1:13" s="3" customFormat="1" ht="12.2" customHeight="1" x14ac:dyDescent="0.15">
      <c r="A653" s="21"/>
      <c r="B653" s="22"/>
      <c r="C653" s="22"/>
      <c r="D653" s="22"/>
      <c r="E653" s="22"/>
      <c r="F653" s="86" t="s">
        <v>665</v>
      </c>
      <c r="G653" s="80">
        <f>G180+G182</f>
        <v>2501.7800000000002</v>
      </c>
      <c r="H653" s="80">
        <f>K264+K346</f>
        <v>2501.7800000000002</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1563363.4400000002</v>
      </c>
      <c r="G661" s="13">
        <f>(L230+L310+L360)</f>
        <v>749135.48</v>
      </c>
      <c r="H661" s="13">
        <f>(L248+L329+L361)</f>
        <v>974169.77999999991</v>
      </c>
      <c r="I661" s="13">
        <f>SUM(F661:H661)</f>
        <v>3286668.6999999997</v>
      </c>
      <c r="J661" s="13"/>
      <c r="K661" s="13"/>
      <c r="L661" s="13"/>
      <c r="M661" s="9"/>
    </row>
    <row r="662" spans="1:13" s="3" customFormat="1" ht="12.2" customHeight="1" x14ac:dyDescent="0.2">
      <c r="A662" s="1" t="s">
        <v>127</v>
      </c>
      <c r="F662" s="13">
        <f>(L359/IF(SUM(L359:L361)=0,1,SUM(L359:L361))*(SUM(G97:G110)))</f>
        <v>11375.2</v>
      </c>
      <c r="G662" s="13">
        <f>(L360/IF(SUM(L359:L361)=0,1,SUM(L359:L361))*(SUM(G97:G110)))</f>
        <v>0</v>
      </c>
      <c r="H662" s="13">
        <f>(L361/IF(SUM(L359:L361)=0,1,SUM(L359:L361))*(SUM(G97:G110)))</f>
        <v>0</v>
      </c>
      <c r="I662" s="13">
        <f>SUM(F662:H662)</f>
        <v>11375.2</v>
      </c>
      <c r="J662"/>
      <c r="K662" s="13"/>
      <c r="L662" s="13"/>
      <c r="M662" s="8"/>
    </row>
    <row r="663" spans="1:13" s="3" customFormat="1" ht="12.2" customHeight="1" x14ac:dyDescent="0.2">
      <c r="A663" s="1" t="s">
        <v>128</v>
      </c>
      <c r="F663" s="13">
        <f>(L209+L288)-(J209+J288)</f>
        <v>68494.259999999995</v>
      </c>
      <c r="G663" s="13">
        <f>(L227+L307)-(J227+J307)</f>
        <v>16411.330000000002</v>
      </c>
      <c r="H663" s="13">
        <f>(L245+L326)-(J245+J326)</f>
        <v>47140.63</v>
      </c>
      <c r="I663" s="13">
        <f>SUM(F663:H663)</f>
        <v>132046.22</v>
      </c>
      <c r="J663"/>
      <c r="K663" s="13"/>
      <c r="L663" s="13"/>
      <c r="M663" s="9"/>
    </row>
    <row r="664" spans="1:13" s="3" customFormat="1" ht="12.2" customHeight="1" x14ac:dyDescent="0.15">
      <c r="A664" s="142" t="s">
        <v>129</v>
      </c>
      <c r="B664" s="124"/>
      <c r="C664" s="124"/>
      <c r="D664" s="124"/>
      <c r="E664" s="124"/>
      <c r="F664" s="143">
        <f>SUM(F576:F588)+SUM(H603:H605)+SUM(L612)</f>
        <v>37002.490000000005</v>
      </c>
      <c r="G664" s="143">
        <f>SUM(G576:G588)+SUM(I603:I605)+L613</f>
        <v>692749.26</v>
      </c>
      <c r="H664" s="143">
        <f>SUM(H576:H588)+SUM(J603:J605)+L614</f>
        <v>885310.96000000008</v>
      </c>
      <c r="I664" s="13">
        <f>SUM(F664:H664)</f>
        <v>1615062.71</v>
      </c>
      <c r="J664" s="13"/>
      <c r="K664" s="13"/>
      <c r="L664" s="13"/>
      <c r="M664" s="9"/>
    </row>
    <row r="665" spans="1:13" s="3" customFormat="1" ht="12.2" customHeight="1" x14ac:dyDescent="0.15">
      <c r="A665" s="1" t="s">
        <v>130</v>
      </c>
      <c r="F665" s="13">
        <f>F661-SUM(F662:F664)</f>
        <v>1446491.4900000002</v>
      </c>
      <c r="G665" s="13">
        <f>G661-SUM(G662:G664)</f>
        <v>39974.890000000014</v>
      </c>
      <c r="H665" s="13">
        <f>H661-SUM(H662:H664)</f>
        <v>41718.189999999828</v>
      </c>
      <c r="I665" s="13">
        <f>I661-SUM(I662:I664)</f>
        <v>1528184.5699999998</v>
      </c>
      <c r="J665" s="13"/>
      <c r="K665" s="13"/>
      <c r="L665" s="13"/>
      <c r="M665" s="8"/>
    </row>
    <row r="666" spans="1:13" s="3" customFormat="1" ht="12.2" customHeight="1" x14ac:dyDescent="0.2">
      <c r="A666" s="1" t="s">
        <v>131</v>
      </c>
      <c r="F666" s="183">
        <v>58.46</v>
      </c>
      <c r="G666" s="184"/>
      <c r="H666" s="184"/>
      <c r="I666" s="13">
        <f>SUM(F666:H666)</f>
        <v>58.46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24743.27</v>
      </c>
      <c r="G668" s="13" t="e">
        <f>ROUND(G665/G666,2)</f>
        <v>#DIV/0!</v>
      </c>
      <c r="H668" s="13" t="e">
        <f>ROUND(H665/H666,2)</f>
        <v>#DIV/0!</v>
      </c>
      <c r="I668" s="13">
        <f>ROUND(I665/I666,2)</f>
        <v>26140.69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IF(AND(F666=0,F665&gt;0),F665*-1,"")</f>
        <v/>
      </c>
      <c r="G670" s="73">
        <f>IF(AND(G666=0,G665&gt;0),G665*-1,"")</f>
        <v>-39974.890000000014</v>
      </c>
      <c r="H670" s="73">
        <f>IF(AND(H666=0,H665&gt;0),H665*-1,"")</f>
        <v>-41718.189999999828</v>
      </c>
      <c r="I670" s="13">
        <f>SUM(F670:H670)</f>
        <v>-81693.079999999842</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24743.27</v>
      </c>
      <c r="G673" s="13" t="e">
        <f>ROUND((G665+G670)/(G666+G671),2)</f>
        <v>#DIV/0!</v>
      </c>
      <c r="H673" s="13" t="e">
        <f>ROUND((H665+H670)/(H666+H671),2)</f>
        <v>#DIV/0!</v>
      </c>
      <c r="I673" s="13">
        <f>ROUND((I665+I670)/(I666+I671),2)</f>
        <v>24743.27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70" fitToHeight="0"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topLeftCell="B1" zoomScaleNormal="100" workbookViewId="0">
      <selection activeCell="C18" sqref="C18"/>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7726.09</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2925.7</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4800.3900000000003</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v>538.25</v>
      </c>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53"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Stoddard</v>
      </c>
      <c r="C5" s="317"/>
      <c r="D5" s="317"/>
      <c r="E5" s="317"/>
      <c r="F5" s="317"/>
    </row>
    <row r="8" spans="1:9" ht="18" x14ac:dyDescent="0.25">
      <c r="A8" s="240" t="s">
        <v>1560</v>
      </c>
      <c r="F8" s="247" t="s">
        <v>1578</v>
      </c>
    </row>
    <row r="9" spans="1:9" ht="15" x14ac:dyDescent="0.2">
      <c r="A9" s="238" t="s">
        <v>1561</v>
      </c>
      <c r="B9" s="241">
        <f>'DOE25'!G97</f>
        <v>11375.2</v>
      </c>
      <c r="F9" s="238" t="s">
        <v>1574</v>
      </c>
    </row>
    <row r="10" spans="1:9" ht="15" x14ac:dyDescent="0.2">
      <c r="A10" s="238" t="s">
        <v>1562</v>
      </c>
      <c r="B10" s="241">
        <f>'DOE25'!G112-'DOE25'!G97</f>
        <v>22114.999999999996</v>
      </c>
      <c r="F10" s="238" t="s">
        <v>1575</v>
      </c>
    </row>
    <row r="11" spans="1:9" ht="15" x14ac:dyDescent="0.2">
      <c r="A11" s="238" t="s">
        <v>1563</v>
      </c>
      <c r="B11" s="241">
        <f>'DOE25'!G140</f>
        <v>428.28</v>
      </c>
      <c r="F11" s="238" t="s">
        <v>1576</v>
      </c>
    </row>
    <row r="12" spans="1:9" ht="15" x14ac:dyDescent="0.2">
      <c r="A12" s="238" t="s">
        <v>1564</v>
      </c>
      <c r="B12" s="241">
        <f>'DOE25'!G170</f>
        <v>18277.57</v>
      </c>
      <c r="F12" s="238" t="s">
        <v>1577</v>
      </c>
    </row>
    <row r="13" spans="1:9" ht="15" x14ac:dyDescent="0.2">
      <c r="A13" s="238" t="s">
        <v>1565</v>
      </c>
      <c r="B13" s="241">
        <f>'DOE25'!G193-'DOE25'!G180</f>
        <v>0</v>
      </c>
      <c r="F13" s="238" t="s">
        <v>1587</v>
      </c>
    </row>
    <row r="14" spans="1:9" ht="18" x14ac:dyDescent="0.25">
      <c r="A14" s="240" t="s">
        <v>732</v>
      </c>
      <c r="B14" s="242">
        <f>SUM(B9:B13)</f>
        <v>52196.049999999996</v>
      </c>
    </row>
    <row r="16" spans="1:9" ht="18" x14ac:dyDescent="0.25">
      <c r="A16" s="240" t="s">
        <v>786</v>
      </c>
      <c r="F16" s="247" t="s">
        <v>1579</v>
      </c>
    </row>
    <row r="17" spans="1:6" ht="15" x14ac:dyDescent="0.2">
      <c r="A17" s="238" t="s">
        <v>1566</v>
      </c>
      <c r="B17" s="241">
        <f>'DOE25'!L363-'DOE25'!L362</f>
        <v>58749.429999999993</v>
      </c>
      <c r="F17" s="238" t="s">
        <v>1580</v>
      </c>
    </row>
    <row r="18" spans="1:6" ht="15" x14ac:dyDescent="0.2">
      <c r="A18" s="238" t="s">
        <v>1567</v>
      </c>
      <c r="B18" s="251"/>
      <c r="F18" s="247" t="s">
        <v>1604</v>
      </c>
    </row>
    <row r="19" spans="1:6" ht="18" x14ac:dyDescent="0.25">
      <c r="A19" s="240" t="s">
        <v>725</v>
      </c>
      <c r="B19" s="242">
        <f>SUM(B17:B18)</f>
        <v>58749.429999999993</v>
      </c>
    </row>
    <row r="21" spans="1:6" ht="18.75" thickBot="1" x14ac:dyDescent="0.3">
      <c r="A21" s="240" t="s">
        <v>1568</v>
      </c>
    </row>
    <row r="22" spans="1:6" ht="18.75" thickTop="1" x14ac:dyDescent="0.25">
      <c r="A22" s="240" t="s">
        <v>1569</v>
      </c>
      <c r="B22" s="246">
        <f>B14-B19</f>
        <v>-6553.3799999999974</v>
      </c>
      <c r="F22" s="238" t="s">
        <v>1581</v>
      </c>
    </row>
    <row r="26" spans="1:6" ht="18" x14ac:dyDescent="0.25">
      <c r="A26" s="240" t="s">
        <v>186</v>
      </c>
    </row>
    <row r="27" spans="1:6" ht="15" x14ac:dyDescent="0.2">
      <c r="A27" s="238" t="s">
        <v>1570</v>
      </c>
      <c r="B27" s="241">
        <f>'DOE25'!G180</f>
        <v>2501.7800000000002</v>
      </c>
      <c r="F27" s="238" t="s">
        <v>1582</v>
      </c>
    </row>
    <row r="28" spans="1:6" ht="15" x14ac:dyDescent="0.2">
      <c r="A28" s="238" t="s">
        <v>1572</v>
      </c>
      <c r="B28" s="241">
        <f>'DOE25'!L362</f>
        <v>0</v>
      </c>
      <c r="F28" s="238" t="s">
        <v>1583</v>
      </c>
    </row>
    <row r="31" spans="1:6" ht="15" x14ac:dyDescent="0.2">
      <c r="A31" s="238" t="s">
        <v>1797</v>
      </c>
      <c r="B31" s="241">
        <f>'DOE25'!G466</f>
        <v>4051.5999999999913</v>
      </c>
      <c r="F31" s="238" t="s">
        <v>1584</v>
      </c>
    </row>
    <row r="33" spans="1:6" ht="15" x14ac:dyDescent="0.2">
      <c r="A33" s="238" t="s">
        <v>1798</v>
      </c>
      <c r="B33" s="241">
        <f>'DOE25'!G477</f>
        <v>0</v>
      </c>
      <c r="F33" s="238" t="s">
        <v>1585</v>
      </c>
    </row>
    <row r="36" spans="1:6" ht="15" x14ac:dyDescent="0.2">
      <c r="A36" s="238" t="s">
        <v>1571</v>
      </c>
      <c r="B36" s="252">
        <v>2749.69</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11" sqref="C11"/>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Stoddard</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307210.77</v>
      </c>
      <c r="C9" s="167">
        <f>'DOE25'!G198+'DOE25'!G216+'DOE25'!G234+'DOE25'!G277+'DOE25'!G296+'DOE25'!G315</f>
        <v>141116.22</v>
      </c>
    </row>
    <row r="10" spans="1:3" x14ac:dyDescent="0.2">
      <c r="A10" t="s">
        <v>775</v>
      </c>
      <c r="B10" s="177">
        <v>287387.13</v>
      </c>
      <c r="C10" s="177">
        <v>139599.63</v>
      </c>
    </row>
    <row r="11" spans="1:3" x14ac:dyDescent="0.2">
      <c r="A11" t="s">
        <v>776</v>
      </c>
      <c r="B11" s="177">
        <v>8351.14</v>
      </c>
      <c r="C11" s="177">
        <v>638.85</v>
      </c>
    </row>
    <row r="12" spans="1:3" x14ac:dyDescent="0.2">
      <c r="A12" t="s">
        <v>777</v>
      </c>
      <c r="B12" s="177">
        <v>11472.5</v>
      </c>
      <c r="C12" s="177">
        <v>877.74</v>
      </c>
    </row>
    <row r="13" spans="1:3" x14ac:dyDescent="0.2">
      <c r="A13" t="str">
        <f>IF(B9=B13,IF(C9=C13,"Check Total OK","Check Total Error"),"Check Total Error")</f>
        <v>Check Total OK</v>
      </c>
      <c r="B13" s="169">
        <f>SUM(B10:B12)</f>
        <v>307210.77</v>
      </c>
      <c r="C13" s="169">
        <f>SUM(C10:C12)</f>
        <v>141116.22</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115369.19</v>
      </c>
      <c r="C18" s="167">
        <f>'DOE25'!G199+'DOE25'!G217+'DOE25'!G235+'DOE25'!G278+'DOE25'!G297+'DOE25'!G316</f>
        <v>64896.94</v>
      </c>
    </row>
    <row r="19" spans="1:3" x14ac:dyDescent="0.2">
      <c r="A19" t="s">
        <v>775</v>
      </c>
      <c r="B19" s="177">
        <v>69446</v>
      </c>
      <c r="C19" s="177">
        <v>61383.83</v>
      </c>
    </row>
    <row r="20" spans="1:3" x14ac:dyDescent="0.2">
      <c r="A20" t="s">
        <v>776</v>
      </c>
      <c r="B20" s="177">
        <v>45923.19</v>
      </c>
      <c r="C20" s="177">
        <v>3513.11</v>
      </c>
    </row>
    <row r="21" spans="1:3" x14ac:dyDescent="0.2">
      <c r="A21" t="s">
        <v>777</v>
      </c>
      <c r="B21" s="177">
        <v>0</v>
      </c>
      <c r="C21" s="177"/>
    </row>
    <row r="22" spans="1:3" x14ac:dyDescent="0.2">
      <c r="A22" t="str">
        <f>IF(B18=B22,IF(C18=C22,"Check Total OK","Check Total Error"),"Check Total Error")</f>
        <v>Check Total OK</v>
      </c>
      <c r="B22" s="169">
        <f>SUM(B19:B21)</f>
        <v>115369.19</v>
      </c>
      <c r="C22" s="169">
        <f>SUM(C19:C21)</f>
        <v>64896.94</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0</v>
      </c>
      <c r="C36" s="173">
        <f>'DOE25'!G201+'DOE25'!G219+'DOE25'!G237+'DOE25'!G280+'DOE25'!G299+'DOE25'!G318</f>
        <v>0</v>
      </c>
    </row>
    <row r="37" spans="1:3" x14ac:dyDescent="0.2">
      <c r="A37" t="s">
        <v>775</v>
      </c>
      <c r="B37" s="177"/>
      <c r="C37" s="177"/>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0</v>
      </c>
      <c r="C40" s="169">
        <f>SUM(C37:C39)</f>
        <v>0</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10" zoomScaleNormal="110" workbookViewId="0">
      <pane ySplit="4" topLeftCell="A5" activePane="bottomLeft" state="frozen"/>
      <selection activeCell="F46" sqref="F46"/>
      <selection pane="bottomLeft" activeCell="L12" sqref="L1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Stoddard</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2226723.34</v>
      </c>
      <c r="D5" s="19">
        <f>SUM('DOE25'!L198:L201)+SUM('DOE25'!L216:L219)+SUM('DOE25'!L234:L237)-F5-G5-H5</f>
        <v>2220704.8199999998</v>
      </c>
      <c r="E5" s="180"/>
      <c r="F5" s="181"/>
      <c r="G5" s="19">
        <f>SUM('DOE25'!J198:J201)+SUM('DOE25'!J216:J219)+SUM('DOE25'!J234:J237)</f>
        <v>330.79</v>
      </c>
      <c r="H5" s="19">
        <f>SUM('DOE25'!K198:K201)+SUM('DOE25'!K216:K219)+SUM('DOE25'!K234:K237)</f>
        <v>5687.7300000000005</v>
      </c>
      <c r="I5" s="192"/>
    </row>
    <row r="6" spans="1:9" x14ac:dyDescent="0.2">
      <c r="A6" s="31">
        <v>2100</v>
      </c>
      <c r="B6" t="s">
        <v>796</v>
      </c>
      <c r="C6" s="206">
        <f t="shared" si="0"/>
        <v>144334.81</v>
      </c>
      <c r="D6" s="19">
        <f>'DOE25'!L203+'DOE25'!L221+'DOE25'!L239-F6-G6-H6</f>
        <v>116854.62</v>
      </c>
      <c r="E6" s="180"/>
      <c r="F6" s="181">
        <f>(36676.88+40803.31)-50000</f>
        <v>27480.190000000002</v>
      </c>
      <c r="G6" s="19">
        <f>'DOE25'!J203+'DOE25'!J221+'DOE25'!J239</f>
        <v>0</v>
      </c>
      <c r="H6" s="19">
        <f>'DOE25'!K203+'DOE25'!K221+'DOE25'!K239</f>
        <v>0</v>
      </c>
      <c r="I6" s="192"/>
    </row>
    <row r="7" spans="1:9" x14ac:dyDescent="0.2">
      <c r="A7" s="31">
        <v>2200</v>
      </c>
      <c r="B7" t="s">
        <v>820</v>
      </c>
      <c r="C7" s="206">
        <f t="shared" si="0"/>
        <v>42382.239999999998</v>
      </c>
      <c r="D7" s="19">
        <f>'DOE25'!L204+'DOE25'!L222+'DOE25'!L240-F7-G7-H7</f>
        <v>31524.299999999996</v>
      </c>
      <c r="E7" s="180"/>
      <c r="F7" s="181"/>
      <c r="G7" s="19">
        <f>'DOE25'!J204+'DOE25'!J222+'DOE25'!J240</f>
        <v>10428.94</v>
      </c>
      <c r="H7" s="19">
        <f>'DOE25'!K204+'DOE25'!K222+'DOE25'!K240</f>
        <v>429</v>
      </c>
      <c r="I7" s="192"/>
    </row>
    <row r="8" spans="1:9" x14ac:dyDescent="0.2">
      <c r="A8" s="31">
        <v>2300</v>
      </c>
      <c r="B8" t="s">
        <v>797</v>
      </c>
      <c r="C8" s="206">
        <f t="shared" si="0"/>
        <v>164597.52000000002</v>
      </c>
      <c r="D8" s="180"/>
      <c r="E8" s="19">
        <f>'DOE25'!L205+'DOE25'!L223+'DOE25'!L241-F8-G8-H8-D9-D11</f>
        <v>164102.46000000002</v>
      </c>
      <c r="F8" s="181"/>
      <c r="G8" s="19">
        <f>'DOE25'!J205+'DOE25'!J223+'DOE25'!J241</f>
        <v>0</v>
      </c>
      <c r="H8" s="19">
        <f>'DOE25'!K205+'DOE25'!K223+'DOE25'!K241</f>
        <v>495.06</v>
      </c>
      <c r="I8" s="192"/>
    </row>
    <row r="9" spans="1:9" ht="14.25" x14ac:dyDescent="0.2">
      <c r="A9" s="31">
        <v>2310</v>
      </c>
      <c r="B9" s="71" t="s">
        <v>887</v>
      </c>
      <c r="C9" s="206">
        <f t="shared" si="0"/>
        <v>14212.8</v>
      </c>
      <c r="D9" s="181">
        <v>14212.8</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202525.08</v>
      </c>
      <c r="D12" s="19">
        <f>'DOE25'!L206+'DOE25'!L224+'DOE25'!L242-F12-G12-H12</f>
        <v>201706.08</v>
      </c>
      <c r="E12" s="180"/>
      <c r="F12" s="181"/>
      <c r="G12" s="19">
        <f>'DOE25'!J206+'DOE25'!J224+'DOE25'!J242</f>
        <v>0</v>
      </c>
      <c r="H12" s="19">
        <f>'DOE25'!K206+'DOE25'!K224+'DOE25'!K242</f>
        <v>819</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191560.57</v>
      </c>
      <c r="D14" s="19">
        <f>'DOE25'!L208+'DOE25'!L226+'DOE25'!L244-F14-G14-H14</f>
        <v>191560.57</v>
      </c>
      <c r="E14" s="180"/>
      <c r="F14" s="181"/>
      <c r="G14" s="19">
        <f>'DOE25'!J208+'DOE25'!J226+'DOE25'!J244</f>
        <v>0</v>
      </c>
      <c r="H14" s="19">
        <f>'DOE25'!K208+'DOE25'!K226+'DOE25'!K244</f>
        <v>0</v>
      </c>
      <c r="I14" s="192"/>
    </row>
    <row r="15" spans="1:9" x14ac:dyDescent="0.2">
      <c r="A15" s="31">
        <v>2700</v>
      </c>
      <c r="B15" t="s">
        <v>799</v>
      </c>
      <c r="C15" s="206">
        <f t="shared" si="0"/>
        <v>132046.22</v>
      </c>
      <c r="D15" s="19">
        <f>'DOE25'!L209+'DOE25'!L227+'DOE25'!L245-F15-G15-H15</f>
        <v>58525.8</v>
      </c>
      <c r="E15" s="180"/>
      <c r="F15" s="181">
        <f>(98436.42+25084)-50000</f>
        <v>73520.42</v>
      </c>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43452.389999999992</v>
      </c>
      <c r="D29" s="212">
        <f>'DOE25'!L359+'DOE25'!L360+'DOE25'!L361-'DOE25'!I368-F29-G29-H29-F39</f>
        <v>43452.389999999992</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109536.69</v>
      </c>
      <c r="D31" s="19">
        <f>'DOE25'!L291+'DOE25'!L310+'DOE25'!L329+'DOE25'!L334+'DOE25'!L335+'DOE25'!L336-F31-G31-H31</f>
        <v>106983.37</v>
      </c>
      <c r="E31" s="180"/>
      <c r="F31" s="181"/>
      <c r="G31" s="19">
        <f>'DOE25'!J291+'DOE25'!J310+'DOE25'!J329+'DOE25'!J334+'DOE25'!J335+'DOE25'!J336</f>
        <v>0</v>
      </c>
      <c r="H31" s="19">
        <f>'DOE25'!K291+'DOE25'!K310+'DOE25'!K329+'DOE25'!K334+'DOE25'!K335+'DOE25'!K336</f>
        <v>2553.3200000000002</v>
      </c>
      <c r="I31" s="192"/>
    </row>
    <row r="32" spans="1:9" ht="12" thickBot="1" x14ac:dyDescent="0.25">
      <c r="C32" s="207"/>
      <c r="G32" s="188"/>
      <c r="H32" s="188"/>
      <c r="I32" s="194"/>
    </row>
    <row r="33" spans="1:9" ht="12" thickTop="1" x14ac:dyDescent="0.2">
      <c r="B33" t="s">
        <v>809</v>
      </c>
      <c r="D33" s="182">
        <f t="shared" ref="D33:I33" si="1">SUM(D5:D31)</f>
        <v>2985524.7499999995</v>
      </c>
      <c r="E33" s="182">
        <f t="shared" si="1"/>
        <v>164102.46000000002</v>
      </c>
      <c r="F33" s="182">
        <f t="shared" si="1"/>
        <v>101000.61</v>
      </c>
      <c r="G33" s="182">
        <f t="shared" si="1"/>
        <v>10759.730000000001</v>
      </c>
      <c r="H33" s="182">
        <f t="shared" si="1"/>
        <v>9984.11</v>
      </c>
      <c r="I33" s="182">
        <f t="shared" si="1"/>
        <v>0</v>
      </c>
    </row>
    <row r="34" spans="1:9" ht="12" thickBot="1" x14ac:dyDescent="0.25"/>
    <row r="35" spans="1:9" ht="12" thickBot="1" x14ac:dyDescent="0.25">
      <c r="B35" s="188" t="s">
        <v>830</v>
      </c>
      <c r="D35" s="189">
        <f>E33</f>
        <v>164102.46000000002</v>
      </c>
      <c r="E35" s="185"/>
      <c r="F35" s="295" t="s">
        <v>1608</v>
      </c>
      <c r="G35" s="296"/>
      <c r="H35" s="296"/>
      <c r="I35" s="297"/>
    </row>
    <row r="36" spans="1:9" ht="12" thickTop="1" x14ac:dyDescent="0.2">
      <c r="B36" t="s">
        <v>810</v>
      </c>
      <c r="D36" s="19">
        <f>D33</f>
        <v>2985524.7499999995</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v>0</v>
      </c>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4" zoomScale="80" zoomScaleNormal="8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Stoddard</v>
      </c>
      <c r="B2">
        <f>'DOE25'!B2</f>
        <v>503</v>
      </c>
      <c r="J2" s="224" t="s">
        <v>1808</v>
      </c>
      <c r="K2" s="309">
        <f>SUM('DOE25'!L198:L201)+SUM('DOE25'!L216:L219)+SUM('DOE25'!L234:L237)+SUM('DOE25'!L277:L280)+SUM('DOE25'!L296:L299)+SUM('DOE25'!L315:L318)</f>
        <v>2317995.5699999998</v>
      </c>
      <c r="L2" s="309">
        <f>'DOE25'!L203+'DOE25'!L221+'DOE25'!L239+'DOE25'!L282+'DOE25'!L301+'DOE25'!L320</f>
        <v>144334.81</v>
      </c>
      <c r="M2" s="309">
        <f>'DOE25'!L204+'DOE25'!L222+'DOE25'!L240+'DOE25'!L283+'DOE25'!L302+'DOE25'!L321</f>
        <v>52093.38</v>
      </c>
      <c r="N2" s="309">
        <f>'DOE25'!L206+'DOE25'!L224+'DOE25'!L242+'DOE25'!L285+'DOE25'!L304+'DOE25'!L323</f>
        <v>202525.08</v>
      </c>
      <c r="O2" s="309">
        <f>'Salaries-Benefits'!B10+'Salaries-Benefits'!B12+'Salaries-Benefits'!B19+'Salaries-Benefits'!B21+'Salaries-Benefits'!B28+'Salaries-Benefits'!B30+'Salaries-Benefits'!B37+'Salaries-Benefits'!B39</f>
        <v>368305.63</v>
      </c>
      <c r="P2" s="309">
        <f>'Salaries-Benefits'!B11+'Salaries-Benefits'!B20+'Salaries-Benefits'!B29+'Salaries-Benefits'!B38</f>
        <v>54274.33</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 t="shared" ref="K3:P3" si="0">K21+K33+K43-K2</f>
        <v>0</v>
      </c>
      <c r="L3" s="311">
        <f t="shared" si="0"/>
        <v>0</v>
      </c>
      <c r="M3" s="311">
        <f t="shared" si="0"/>
        <v>-317.75999999999476</v>
      </c>
      <c r="N3" s="311">
        <f t="shared" si="0"/>
        <v>-493.97999999998137</v>
      </c>
      <c r="O3" s="311">
        <f t="shared" si="0"/>
        <v>0</v>
      </c>
      <c r="P3" s="311">
        <f t="shared" si="0"/>
        <v>0</v>
      </c>
      <c r="Q3" s="310"/>
      <c r="R3" s="306"/>
      <c r="S3" s="215"/>
      <c r="T3" s="215"/>
      <c r="U3" s="216"/>
    </row>
    <row r="4" spans="1:21" ht="55.5" customHeight="1" thickBot="1" x14ac:dyDescent="0.25">
      <c r="A4" s="224" t="s">
        <v>1522</v>
      </c>
      <c r="B4" s="224" t="s">
        <v>1523</v>
      </c>
      <c r="C4" s="224" t="s">
        <v>896</v>
      </c>
      <c r="D4" s="224" t="s">
        <v>786</v>
      </c>
      <c r="E4" s="224" t="s">
        <v>786</v>
      </c>
      <c r="F4" s="228">
        <f>SUM(F5:F20)</f>
        <v>1504614.01</v>
      </c>
      <c r="G4" s="229">
        <f>'DOE25'!L212+'DOE25'!L291</f>
        <v>1504614.0100000002</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v>51326.76</v>
      </c>
      <c r="E5" s="220"/>
      <c r="F5" s="232">
        <f>D5+E5</f>
        <v>51326.76</v>
      </c>
      <c r="G5" s="223"/>
      <c r="H5" s="223"/>
      <c r="J5" s="223"/>
      <c r="K5" s="223"/>
      <c r="L5" s="223"/>
      <c r="M5" s="223"/>
      <c r="N5" s="223"/>
      <c r="O5" s="223"/>
      <c r="P5" s="223"/>
      <c r="Q5" s="223"/>
    </row>
    <row r="6" spans="1:21" x14ac:dyDescent="0.2">
      <c r="A6" t="str" cm="1">
        <f t="array" ref="A6">IFERROR(INDEX('School Tables'!$A$4:$G$325,'School Tables'!$J4,3),"")</f>
        <v>James Faulkner Elementary School</v>
      </c>
      <c r="B6" s="230">
        <f>IFERROR(VLOOKUP(A6,'School Tables'!$C$3:$D$365,2,FALSE),"")</f>
        <v>20980</v>
      </c>
      <c r="C6" s="223" t="str">
        <f>IFERROR(INDEX('School Tables'!$B$3:$B$365,MATCH('School Level Expenditures'!B6,'School Tables'!$D$3:$D$365,0)),"")</f>
        <v>Stoddard</v>
      </c>
      <c r="D6" s="220">
        <f>1345440.6-2501.78+811.74</f>
        <v>1343750.56</v>
      </c>
      <c r="E6" s="220">
        <v>109536.69</v>
      </c>
      <c r="F6" s="232">
        <f t="shared" ref="F6:F20" si="1">D6+E6</f>
        <v>1453287.25</v>
      </c>
      <c r="G6" s="223"/>
      <c r="H6" s="223"/>
      <c r="J6" t="str">
        <f>A6</f>
        <v>James Faulkner Elementary School</v>
      </c>
      <c r="K6" s="20">
        <v>713692.59</v>
      </c>
      <c r="L6" s="20">
        <v>144334.81</v>
      </c>
      <c r="M6" s="308">
        <v>51775.62</v>
      </c>
      <c r="N6" s="20">
        <v>202031.1</v>
      </c>
      <c r="O6" s="20">
        <v>368305.63</v>
      </c>
      <c r="P6" s="20">
        <v>54274.33</v>
      </c>
      <c r="Q6" s="20">
        <v>18266.02</v>
      </c>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v>26242.76</v>
      </c>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v>0</v>
      </c>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1395077.32</v>
      </c>
      <c r="E21" s="262">
        <f>SUM(E5:E20)</f>
        <v>109536.69</v>
      </c>
      <c r="F21" s="217"/>
      <c r="G21" s="217"/>
      <c r="H21" s="217"/>
      <c r="K21" s="263">
        <f t="shared" ref="K21:Q21" si="3">SUM(K5:K20)</f>
        <v>739935.35</v>
      </c>
      <c r="L21" s="263">
        <f t="shared" si="3"/>
        <v>144334.81</v>
      </c>
      <c r="M21" s="263">
        <f t="shared" si="3"/>
        <v>51775.62</v>
      </c>
      <c r="N21" s="263">
        <f t="shared" si="3"/>
        <v>202031.1</v>
      </c>
      <c r="O21" s="263">
        <f t="shared" si="3"/>
        <v>368305.63</v>
      </c>
      <c r="P21" s="263">
        <f t="shared" si="3"/>
        <v>54274.33</v>
      </c>
      <c r="Q21" s="263">
        <f t="shared" si="3"/>
        <v>18266.02</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749135.48</v>
      </c>
      <c r="G24" s="229">
        <f>'DOE25'!L230+'DOE25'!L310</f>
        <v>749135.48</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v>749135.48</v>
      </c>
      <c r="E25" s="220"/>
      <c r="F25" s="232">
        <f>D25+E25</f>
        <v>749135.48</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v>692749.26</v>
      </c>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749135.48</v>
      </c>
      <c r="E33" s="262">
        <f>SUM(E25:E32)</f>
        <v>0</v>
      </c>
      <c r="F33" s="217"/>
      <c r="G33" s="217"/>
      <c r="H33" s="217"/>
      <c r="K33" s="263">
        <f t="shared" ref="K33:Q33" si="6">SUM(K25:K32)</f>
        <v>692749.26</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974169.78</v>
      </c>
      <c r="G36" s="229">
        <f>'DOE25'!L248+'DOE25'!L329</f>
        <v>974169.77999999991</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974169.78</v>
      </c>
      <c r="E37" s="220"/>
      <c r="F37" s="232">
        <f t="shared" ref="F37:F42" si="7">D37+E37</f>
        <v>974169.78</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A38</f>
        <v/>
      </c>
      <c r="K38" s="20">
        <v>885310.96</v>
      </c>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A39</f>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A40</f>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A41</f>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A42</f>
        <v/>
      </c>
      <c r="K42" s="20"/>
      <c r="L42" s="20"/>
      <c r="M42" s="20"/>
      <c r="N42" s="20"/>
      <c r="O42" s="20"/>
      <c r="P42" s="20"/>
      <c r="Q42" s="20"/>
    </row>
    <row r="43" spans="1:18" ht="12" thickBot="1" x14ac:dyDescent="0.25">
      <c r="D43" s="262">
        <f>SUM(D37:D42)</f>
        <v>974169.78</v>
      </c>
      <c r="E43" s="263">
        <f>SUM(E37:E42)</f>
        <v>0</v>
      </c>
      <c r="K43" s="263">
        <f t="shared" ref="K43:Q43" si="8">SUM(K37:K42)</f>
        <v>885310.96</v>
      </c>
      <c r="L43" s="263">
        <f t="shared" si="8"/>
        <v>0</v>
      </c>
      <c r="M43" s="263">
        <f t="shared" si="8"/>
        <v>0</v>
      </c>
      <c r="N43" s="263">
        <f t="shared" si="8"/>
        <v>0</v>
      </c>
      <c r="O43" s="263">
        <f t="shared" si="8"/>
        <v>0</v>
      </c>
      <c r="P43" s="263">
        <f t="shared" si="8"/>
        <v>0</v>
      </c>
      <c r="Q43" s="263">
        <f t="shared" si="8"/>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zoomScale="80" zoomScaleNormal="80" workbookViewId="0">
      <selection activeCell="J12" sqref="J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Stoddard</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320886.45</v>
      </c>
      <c r="D8" s="73">
        <f>'DOE25'!G9</f>
        <v>0</v>
      </c>
      <c r="E8" s="73">
        <f>'DOE25'!H9</f>
        <v>0</v>
      </c>
      <c r="F8" s="73">
        <f>'DOE25'!I9</f>
        <v>0</v>
      </c>
      <c r="G8" s="73">
        <f>'DOE25'!J9</f>
        <v>239044.58</v>
      </c>
      <c r="H8" s="13">
        <f>SUM(C8:G8)</f>
        <v>559931.03</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20441.82</v>
      </c>
      <c r="D12" s="73">
        <f>'DOE25'!G13</f>
        <v>25989.54</v>
      </c>
      <c r="E12" s="73">
        <f>'DOE25'!H13</f>
        <v>105987.2</v>
      </c>
      <c r="F12" s="73">
        <f>'DOE25'!I13</f>
        <v>0</v>
      </c>
      <c r="G12" s="73">
        <f>'DOE25'!J13</f>
        <v>0</v>
      </c>
      <c r="H12" s="13">
        <f t="shared" si="0"/>
        <v>152418.56</v>
      </c>
      <c r="I12" s="90"/>
    </row>
    <row r="13" spans="1:9" x14ac:dyDescent="0.2">
      <c r="A13" s="1" t="s">
        <v>144</v>
      </c>
      <c r="B13" s="6">
        <v>150</v>
      </c>
      <c r="C13" s="73">
        <f>'DOE25'!F14</f>
        <v>1173.67</v>
      </c>
      <c r="D13" s="73">
        <f>'DOE25'!G14</f>
        <v>0</v>
      </c>
      <c r="E13" s="73">
        <f>'DOE25'!H14</f>
        <v>0</v>
      </c>
      <c r="F13" s="73">
        <f>'DOE25'!I14</f>
        <v>0</v>
      </c>
      <c r="G13" s="73">
        <f>'DOE25'!J14</f>
        <v>0</v>
      </c>
      <c r="H13" s="13">
        <f t="shared" si="0"/>
        <v>1173.67</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9493.64</v>
      </c>
      <c r="D16" s="73">
        <f>'DOE25'!G17</f>
        <v>0</v>
      </c>
      <c r="E16" s="73">
        <f>'DOE25'!H17</f>
        <v>0</v>
      </c>
      <c r="F16" s="73">
        <f>'DOE25'!I17</f>
        <v>0</v>
      </c>
      <c r="G16" s="73">
        <f>'DOE25'!J17</f>
        <v>0</v>
      </c>
      <c r="H16" s="13">
        <f t="shared" si="0"/>
        <v>9493.64</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351995.58</v>
      </c>
      <c r="D18" s="38">
        <f>SUM(D8:D17)</f>
        <v>25989.54</v>
      </c>
      <c r="E18" s="38">
        <f>SUM(E8:E17)</f>
        <v>105987.2</v>
      </c>
      <c r="F18" s="38">
        <f>SUM(F8:F17)</f>
        <v>0</v>
      </c>
      <c r="G18" s="38">
        <f>SUM(G8:G17)</f>
        <v>239044.58</v>
      </c>
      <c r="H18" s="38">
        <f t="shared" si="0"/>
        <v>723016.9</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-95603.67</v>
      </c>
      <c r="D21" s="73">
        <f>'DOE25'!G22</f>
        <v>25989.54</v>
      </c>
      <c r="E21" s="73">
        <f>'DOE25'!H22</f>
        <v>69614.13</v>
      </c>
      <c r="F21" s="73">
        <f>'DOE25'!I22</f>
        <v>0</v>
      </c>
      <c r="G21" s="73">
        <f>'DOE25'!J22</f>
        <v>0</v>
      </c>
      <c r="H21" s="13">
        <f t="shared" ref="H21:H31" si="1">SUM(C21:G21)</f>
        <v>0</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50925.62</v>
      </c>
      <c r="D23" s="73">
        <f>'DOE25'!G24</f>
        <v>0</v>
      </c>
      <c r="E23" s="73">
        <f>'DOE25'!H24</f>
        <v>35929.270000000004</v>
      </c>
      <c r="F23" s="73">
        <f>'DOE25'!I24</f>
        <v>0</v>
      </c>
      <c r="G23" s="73">
        <f>'DOE25'!J24</f>
        <v>0</v>
      </c>
      <c r="H23" s="13">
        <f t="shared" si="1"/>
        <v>86854.890000000014</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1719.96</v>
      </c>
      <c r="D27" s="73">
        <f>'DOE25'!G28</f>
        <v>0</v>
      </c>
      <c r="E27" s="73">
        <f>'DOE25'!H28</f>
        <v>0</v>
      </c>
      <c r="F27" s="73">
        <f>'DOE25'!I28</f>
        <v>0</v>
      </c>
      <c r="G27" s="23" t="s">
        <v>288</v>
      </c>
      <c r="H27" s="13">
        <f t="shared" si="1"/>
        <v>1719.96</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443.8</v>
      </c>
      <c r="F29" s="73">
        <f>'DOE25'!I30</f>
        <v>0</v>
      </c>
      <c r="G29" s="23" t="s">
        <v>288</v>
      </c>
      <c r="H29" s="13">
        <f t="shared" si="1"/>
        <v>443.8</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-42958.09</v>
      </c>
      <c r="D31" s="38">
        <f>SUM(D21:D30)</f>
        <v>25989.54</v>
      </c>
      <c r="E31" s="38">
        <f>SUM(E21:E30)</f>
        <v>105987.20000000001</v>
      </c>
      <c r="F31" s="38">
        <f>SUM(F21:F30)</f>
        <v>0</v>
      </c>
      <c r="G31" s="38">
        <f>SUM(G21:G30)</f>
        <v>0</v>
      </c>
      <c r="H31" s="38">
        <f t="shared" si="1"/>
        <v>89018.650000000023</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135311.4</v>
      </c>
      <c r="D45" s="23" t="s">
        <v>288</v>
      </c>
      <c r="E45" s="23" t="s">
        <v>288</v>
      </c>
      <c r="F45" s="23" t="s">
        <v>288</v>
      </c>
      <c r="G45" s="23" t="s">
        <v>288</v>
      </c>
      <c r="H45" s="13">
        <f t="shared" si="2"/>
        <v>135311.4</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239044.58</v>
      </c>
      <c r="H47" s="13">
        <f t="shared" si="2"/>
        <v>239044.58</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259642.27</v>
      </c>
      <c r="D49" s="23" t="s">
        <v>288</v>
      </c>
      <c r="E49" s="23" t="s">
        <v>288</v>
      </c>
      <c r="F49" s="23" t="s">
        <v>288</v>
      </c>
      <c r="G49" s="23" t="s">
        <v>288</v>
      </c>
      <c r="H49" s="13">
        <f t="shared" si="2"/>
        <v>259642.27</v>
      </c>
      <c r="I49" s="90"/>
    </row>
    <row r="50" spans="1:9" ht="12.75" thickTop="1" thickBot="1" x14ac:dyDescent="0.25">
      <c r="A50" s="35" t="s">
        <v>883</v>
      </c>
      <c r="B50" s="44"/>
      <c r="C50" s="38">
        <f>SUM(C34:C49)</f>
        <v>394953.67</v>
      </c>
      <c r="D50" s="38">
        <f>SUM(D34:D49)</f>
        <v>0</v>
      </c>
      <c r="E50" s="38">
        <f>SUM(E34:E49)</f>
        <v>0</v>
      </c>
      <c r="F50" s="38">
        <f>SUM(F34:F49)</f>
        <v>0</v>
      </c>
      <c r="G50" s="38">
        <f>SUM(G34:G49)</f>
        <v>239044.58</v>
      </c>
      <c r="H50" s="38">
        <f t="shared" si="2"/>
        <v>633998.25</v>
      </c>
      <c r="I50" s="90"/>
    </row>
    <row r="51" spans="1:9" ht="12" thickTop="1" x14ac:dyDescent="0.2">
      <c r="A51" s="35" t="s">
        <v>884</v>
      </c>
      <c r="B51" s="2"/>
      <c r="C51" s="38">
        <f>C50+C31</f>
        <v>351995.57999999996</v>
      </c>
      <c r="D51" s="38">
        <f>D50+D31</f>
        <v>25989.54</v>
      </c>
      <c r="E51" s="38">
        <f>E50+E31</f>
        <v>105987.20000000001</v>
      </c>
      <c r="F51" s="38">
        <f>F50+F31</f>
        <v>0</v>
      </c>
      <c r="G51" s="38">
        <f>G50+G31</f>
        <v>239044.58</v>
      </c>
      <c r="H51" s="38">
        <f t="shared" si="2"/>
        <v>723016.89999999991</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2302035</v>
      </c>
      <c r="D56" s="73">
        <f>'DOE25'!G60</f>
        <v>22115</v>
      </c>
      <c r="E56" s="73">
        <f>'DOE25'!H60</f>
        <v>0</v>
      </c>
      <c r="F56" s="73">
        <f>'DOE25'!I60</f>
        <v>0</v>
      </c>
      <c r="G56" s="73">
        <f>'DOE25'!J60</f>
        <v>0</v>
      </c>
      <c r="H56" s="13">
        <f t="shared" ref="H56:H63" si="3">SUM(C56:G56)</f>
        <v>2324150</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14459.42</v>
      </c>
      <c r="D59" s="73">
        <f>'DOE25'!G96</f>
        <v>0</v>
      </c>
      <c r="E59" s="73">
        <f>'DOE25'!H96</f>
        <v>0</v>
      </c>
      <c r="F59" s="73">
        <f>'DOE25'!I96</f>
        <v>0</v>
      </c>
      <c r="G59" s="73">
        <f>'DOE25'!J96</f>
        <v>9022.5499999999993</v>
      </c>
      <c r="H59" s="13">
        <f t="shared" si="3"/>
        <v>23481.97</v>
      </c>
      <c r="I59"/>
    </row>
    <row r="60" spans="1:9" x14ac:dyDescent="0.2">
      <c r="A60" s="1" t="s">
        <v>170</v>
      </c>
      <c r="B60" s="22" t="s">
        <v>171</v>
      </c>
      <c r="C60" s="23" t="s">
        <v>288</v>
      </c>
      <c r="D60" s="73">
        <f>'DOE25'!G97</f>
        <v>11375.2</v>
      </c>
      <c r="E60" s="23" t="s">
        <v>288</v>
      </c>
      <c r="F60" s="23" t="s">
        <v>288</v>
      </c>
      <c r="G60" s="23" t="s">
        <v>288</v>
      </c>
      <c r="H60" s="13">
        <f t="shared" si="3"/>
        <v>11375.2</v>
      </c>
      <c r="I60"/>
    </row>
    <row r="61" spans="1:9" ht="12" thickBot="1" x14ac:dyDescent="0.25">
      <c r="A61" s="1" t="s">
        <v>172</v>
      </c>
      <c r="B61" s="22" t="s">
        <v>173</v>
      </c>
      <c r="C61" s="73">
        <f>SUM('DOE25'!F98:F110)</f>
        <v>22176.44</v>
      </c>
      <c r="D61" s="73">
        <f>SUM('DOE25'!G98:G110)</f>
        <v>0</v>
      </c>
      <c r="E61" s="73">
        <f>SUM('DOE25'!H98:H110)</f>
        <v>556.20000000000005</v>
      </c>
      <c r="F61" s="73">
        <f>SUM('DOE25'!I98:I110)</f>
        <v>0</v>
      </c>
      <c r="G61" s="73">
        <f>SUM('DOE25'!J98:J110)</f>
        <v>0</v>
      </c>
      <c r="H61" s="13">
        <f t="shared" si="3"/>
        <v>22732.639999999999</v>
      </c>
      <c r="I61"/>
    </row>
    <row r="62" spans="1:9" ht="12.75" thickTop="1" thickBot="1" x14ac:dyDescent="0.25">
      <c r="A62" s="28" t="s">
        <v>174</v>
      </c>
      <c r="B62" s="6"/>
      <c r="C62" s="93">
        <f>SUM(C57:C61)</f>
        <v>36635.86</v>
      </c>
      <c r="D62" s="93">
        <f>SUM(D57:D61)</f>
        <v>11375.2</v>
      </c>
      <c r="E62" s="93">
        <f>SUM(E57:E61)</f>
        <v>556.20000000000005</v>
      </c>
      <c r="F62" s="93">
        <f>SUM(F57:F61)</f>
        <v>0</v>
      </c>
      <c r="G62" s="93">
        <f>SUM(G57:G61)</f>
        <v>9022.5499999999993</v>
      </c>
      <c r="H62" s="13">
        <f t="shared" si="3"/>
        <v>57589.81</v>
      </c>
      <c r="I62"/>
    </row>
    <row r="63" spans="1:9" ht="12" thickTop="1" x14ac:dyDescent="0.2">
      <c r="A63" s="28" t="s">
        <v>175</v>
      </c>
      <c r="B63" s="6"/>
      <c r="C63" s="21">
        <f>C56+C62</f>
        <v>2338670.86</v>
      </c>
      <c r="D63" s="21">
        <f>D56+D62</f>
        <v>33490.199999999997</v>
      </c>
      <c r="E63" s="21">
        <f>E56+E62</f>
        <v>556.20000000000005</v>
      </c>
      <c r="F63" s="21">
        <f>F56+F62</f>
        <v>0</v>
      </c>
      <c r="G63" s="21">
        <f>G56+G62</f>
        <v>9022.5499999999993</v>
      </c>
      <c r="H63" s="13">
        <f t="shared" si="3"/>
        <v>2381739.81</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393228.37</v>
      </c>
      <c r="D66" s="23" t="s">
        <v>288</v>
      </c>
      <c r="E66" s="23" t="s">
        <v>288</v>
      </c>
      <c r="F66" s="23" t="s">
        <v>288</v>
      </c>
      <c r="G66" s="23" t="s">
        <v>288</v>
      </c>
      <c r="H66" s="13">
        <f t="shared" ref="H66:H81" si="4">SUM(C66:G66)</f>
        <v>393228.37</v>
      </c>
      <c r="I66"/>
    </row>
    <row r="67" spans="1:9" x14ac:dyDescent="0.2">
      <c r="A67" s="1" t="s">
        <v>770</v>
      </c>
      <c r="B67" s="6">
        <v>3112</v>
      </c>
      <c r="C67" s="73">
        <f>'DOE25'!F118</f>
        <v>382078</v>
      </c>
      <c r="D67" s="23"/>
      <c r="E67" s="23"/>
      <c r="F67" s="23"/>
      <c r="G67" s="23"/>
      <c r="H67" s="13">
        <f t="shared" si="4"/>
        <v>382078</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5630.83</v>
      </c>
      <c r="D69" s="73">
        <f>'DOE25'!G120</f>
        <v>0</v>
      </c>
      <c r="E69" s="73">
        <f>'DOE25'!H120</f>
        <v>0</v>
      </c>
      <c r="F69" s="73">
        <f>'DOE25'!I120</f>
        <v>0</v>
      </c>
      <c r="G69" s="73">
        <f>'DOE25'!J120</f>
        <v>0</v>
      </c>
      <c r="H69" s="13">
        <f t="shared" si="4"/>
        <v>5630.83</v>
      </c>
      <c r="I69"/>
    </row>
    <row r="70" spans="1:9" ht="12" thickTop="1" x14ac:dyDescent="0.2">
      <c r="A70" s="28" t="s">
        <v>252</v>
      </c>
      <c r="B70" s="2"/>
      <c r="C70" s="97">
        <f>SUM(C66:C69)</f>
        <v>780937.2</v>
      </c>
      <c r="D70" s="97">
        <f>D69</f>
        <v>0</v>
      </c>
      <c r="E70" s="97">
        <f>E69</f>
        <v>0</v>
      </c>
      <c r="F70" s="97">
        <f>F69</f>
        <v>0</v>
      </c>
      <c r="G70" s="97">
        <f>G69</f>
        <v>0</v>
      </c>
      <c r="H70" s="13">
        <f t="shared" si="4"/>
        <v>780937.2</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428.28</v>
      </c>
      <c r="E77" s="73">
        <f>SUM('DOE25'!H131:H135)</f>
        <v>0</v>
      </c>
      <c r="F77" s="73">
        <f>SUM('DOE25'!I131:I135)</f>
        <v>0</v>
      </c>
      <c r="G77" s="73">
        <f>SUM('DOE25'!J131:J135)</f>
        <v>0</v>
      </c>
      <c r="H77" s="13">
        <f t="shared" si="4"/>
        <v>428.28</v>
      </c>
      <c r="I77"/>
    </row>
    <row r="78" spans="1:9" ht="12.75" thickTop="1" thickBot="1" x14ac:dyDescent="0.25">
      <c r="A78" s="28" t="s">
        <v>259</v>
      </c>
      <c r="B78" s="6"/>
      <c r="C78" s="93">
        <f>SUM(C72:C77)</f>
        <v>0</v>
      </c>
      <c r="D78" s="93">
        <f>SUM(D72:D77)</f>
        <v>428.28</v>
      </c>
      <c r="E78" s="93">
        <f>SUM(E72:E77)</f>
        <v>0</v>
      </c>
      <c r="F78" s="93">
        <f>SUM(F72:F77)</f>
        <v>0</v>
      </c>
      <c r="G78" s="93">
        <f>SUM(G72:G77)</f>
        <v>0</v>
      </c>
      <c r="H78" s="13">
        <f t="shared" si="4"/>
        <v>428.28</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780937.2</v>
      </c>
      <c r="D81" s="93">
        <f>SUM(D79:D80)+D78+D70</f>
        <v>428.28</v>
      </c>
      <c r="E81" s="93">
        <f>SUM(E79:E80)+E78+E70</f>
        <v>0</v>
      </c>
      <c r="F81" s="93">
        <f>SUM(F79:F80)+F78+F70</f>
        <v>0</v>
      </c>
      <c r="G81" s="93">
        <f>SUM(G79:G80)+G78+G70</f>
        <v>0</v>
      </c>
      <c r="H81" s="93">
        <f t="shared" si="4"/>
        <v>781365.48</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538.25</v>
      </c>
      <c r="F87" s="73">
        <f>SUM('DOE25'!I149:I152)</f>
        <v>0</v>
      </c>
      <c r="G87" s="23" t="s">
        <v>288</v>
      </c>
      <c r="H87" s="13">
        <f t="shared" si="5"/>
        <v>538.25</v>
      </c>
    </row>
    <row r="88" spans="1:9" x14ac:dyDescent="0.2">
      <c r="A88" s="217" t="s">
        <v>747</v>
      </c>
      <c r="B88" s="231" t="s">
        <v>184</v>
      </c>
      <c r="C88" s="253">
        <f>SUM('DOE25'!F153:F162)</f>
        <v>1109.74</v>
      </c>
      <c r="D88" s="253">
        <f>SUM('DOE25'!G153:G162)</f>
        <v>18277.57</v>
      </c>
      <c r="E88" s="253">
        <f>SUM('DOE25'!H153:H162)</f>
        <v>108442.23999999999</v>
      </c>
      <c r="F88" s="253">
        <f>SUM('DOE25'!I153:I162)</f>
        <v>0</v>
      </c>
      <c r="G88" s="23" t="s">
        <v>288</v>
      </c>
      <c r="H88" s="13">
        <f t="shared" si="5"/>
        <v>127829.54999999999</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1109.74</v>
      </c>
      <c r="D91" s="94">
        <f>SUM(D85:D90)</f>
        <v>18277.57</v>
      </c>
      <c r="E91" s="94">
        <f>SUM(E85:E90)</f>
        <v>108980.48999999999</v>
      </c>
      <c r="F91" s="94">
        <f>SUM(F85:F90)</f>
        <v>0</v>
      </c>
      <c r="G91" s="23" t="s">
        <v>288</v>
      </c>
      <c r="H91" s="13">
        <f t="shared" si="5"/>
        <v>128367.79999999999</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2501.7800000000002</v>
      </c>
      <c r="E96" s="73">
        <f>'DOE25'!H180</f>
        <v>0</v>
      </c>
      <c r="F96" s="73">
        <f>'DOE25'!I180</f>
        <v>0</v>
      </c>
      <c r="G96" s="73">
        <f>'DOE25'!J180</f>
        <v>0</v>
      </c>
      <c r="H96" s="13">
        <f t="shared" si="5"/>
        <v>2501.7800000000002</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2501.7800000000002</v>
      </c>
      <c r="E103" s="68">
        <f>SUM(E93:E102)</f>
        <v>0</v>
      </c>
      <c r="F103" s="68">
        <f>SUM(F93:F102)</f>
        <v>0</v>
      </c>
      <c r="G103" s="68">
        <f>SUM(G93:G102)</f>
        <v>0</v>
      </c>
      <c r="H103" s="68">
        <f t="shared" si="5"/>
        <v>2501.7800000000002</v>
      </c>
    </row>
    <row r="104" spans="1:8" ht="12.75" thickTop="1" thickBot="1" x14ac:dyDescent="0.25">
      <c r="A104" s="32" t="s">
        <v>761</v>
      </c>
      <c r="C104" s="68">
        <f>C63+C81+C91+C103</f>
        <v>3120717.8</v>
      </c>
      <c r="D104" s="68">
        <f>D63+D81+D91+D103</f>
        <v>54697.829999999994</v>
      </c>
      <c r="E104" s="68">
        <f>E63+E81+E91+E103</f>
        <v>109536.68999999999</v>
      </c>
      <c r="F104" s="68">
        <f>F63+F81+F91+F103</f>
        <v>0</v>
      </c>
      <c r="G104" s="68">
        <f>G63+G81+G103</f>
        <v>9022.5499999999993</v>
      </c>
      <c r="H104" s="68">
        <f t="shared" si="5"/>
        <v>3293974.8699999996</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1415066.5</v>
      </c>
      <c r="D109" s="23" t="s">
        <v>288</v>
      </c>
      <c r="E109" s="73">
        <f>('DOE25'!L277)+('DOE25'!L296)+('DOE25'!L315)</f>
        <v>90313.76999999999</v>
      </c>
      <c r="F109" s="23" t="s">
        <v>288</v>
      </c>
      <c r="G109" s="23" t="s">
        <v>288</v>
      </c>
      <c r="H109" s="13">
        <f t="shared" ref="H109:H115" si="6">SUM(C109:G109)</f>
        <v>1505380.27</v>
      </c>
    </row>
    <row r="110" spans="1:8" x14ac:dyDescent="0.2">
      <c r="A110" t="s">
        <v>198</v>
      </c>
      <c r="B110" s="31" t="s">
        <v>199</v>
      </c>
      <c r="C110" s="73">
        <f>('DOE25'!L199)+('DOE25'!L217)+('DOE25'!L235)</f>
        <v>810865.84000000008</v>
      </c>
      <c r="D110" s="23" t="s">
        <v>288</v>
      </c>
      <c r="E110" s="73">
        <f>('DOE25'!L278)+('DOE25'!L297)+('DOE25'!L316)</f>
        <v>958.46</v>
      </c>
      <c r="F110" s="23" t="s">
        <v>288</v>
      </c>
      <c r="G110" s="23" t="s">
        <v>288</v>
      </c>
      <c r="H110" s="13">
        <f t="shared" si="6"/>
        <v>811824.3</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791</v>
      </c>
      <c r="D112" s="23" t="s">
        <v>288</v>
      </c>
      <c r="E112" s="73">
        <f>+('DOE25'!L280)+('DOE25'!L299)+('DOE25'!L318)</f>
        <v>0</v>
      </c>
      <c r="F112" s="23" t="s">
        <v>288</v>
      </c>
      <c r="G112" s="23" t="s">
        <v>288</v>
      </c>
      <c r="H112" s="13">
        <f t="shared" si="6"/>
        <v>791</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2226723.34</v>
      </c>
      <c r="D115" s="68">
        <f>SUM(D109:D114)</f>
        <v>0</v>
      </c>
      <c r="E115" s="68">
        <f>SUM(E109:E114)</f>
        <v>91272.23</v>
      </c>
      <c r="F115" s="68">
        <f>SUM(F109:F114)</f>
        <v>0</v>
      </c>
      <c r="G115" s="68">
        <f>SUM(G109:G114)</f>
        <v>0</v>
      </c>
      <c r="H115" s="68">
        <f t="shared" si="6"/>
        <v>2317995.5699999998</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144334.81</v>
      </c>
      <c r="D118" s="23" t="s">
        <v>288</v>
      </c>
      <c r="E118" s="73">
        <f>+('DOE25'!L282)+('DOE25'!L301)+('DOE25'!L320)</f>
        <v>0</v>
      </c>
      <c r="F118" s="23" t="s">
        <v>288</v>
      </c>
      <c r="G118" s="23" t="s">
        <v>288</v>
      </c>
      <c r="H118" s="13">
        <f t="shared" ref="H118:H145" si="7">SUM(C118:G118)</f>
        <v>144334.81</v>
      </c>
    </row>
    <row r="119" spans="1:8" x14ac:dyDescent="0.2">
      <c r="A119" t="s">
        <v>208</v>
      </c>
      <c r="B119" s="31" t="s">
        <v>209</v>
      </c>
      <c r="C119" s="73">
        <f>('DOE25'!L204)+('DOE25'!L222)+('DOE25'!L240)</f>
        <v>42382.239999999998</v>
      </c>
      <c r="D119" s="23" t="s">
        <v>288</v>
      </c>
      <c r="E119" s="73">
        <f>+('DOE25'!L283)+('DOE25'!L302)+('DOE25'!L321)</f>
        <v>9711.14</v>
      </c>
      <c r="F119" s="23" t="s">
        <v>288</v>
      </c>
      <c r="G119" s="23" t="s">
        <v>288</v>
      </c>
      <c r="H119" s="13">
        <f t="shared" si="7"/>
        <v>52093.38</v>
      </c>
    </row>
    <row r="120" spans="1:8" x14ac:dyDescent="0.2">
      <c r="A120" t="s">
        <v>210</v>
      </c>
      <c r="B120" s="31" t="s">
        <v>211</v>
      </c>
      <c r="C120" s="73">
        <f>('DOE25'!L205)+('DOE25'!L223)+('DOE25'!L241)</f>
        <v>178810.32</v>
      </c>
      <c r="D120" s="23" t="s">
        <v>288</v>
      </c>
      <c r="E120" s="73">
        <f>+('DOE25'!L284)+('DOE25'!L303)+('DOE25'!L322)</f>
        <v>2553.3200000000002</v>
      </c>
      <c r="F120" s="23" t="s">
        <v>288</v>
      </c>
      <c r="G120" s="23" t="s">
        <v>288</v>
      </c>
      <c r="H120" s="13">
        <f t="shared" si="7"/>
        <v>181363.64</v>
      </c>
    </row>
    <row r="121" spans="1:8" x14ac:dyDescent="0.2">
      <c r="A121" t="s">
        <v>212</v>
      </c>
      <c r="B121" s="31" t="s">
        <v>213</v>
      </c>
      <c r="C121" s="73">
        <f>('DOE25'!L206)+('DOE25'!L224)+('DOE25'!L242)</f>
        <v>202525.08</v>
      </c>
      <c r="D121" s="23" t="s">
        <v>288</v>
      </c>
      <c r="E121" s="73">
        <f>+('DOE25'!L285)+('DOE25'!L304)+('DOE25'!L323)</f>
        <v>0</v>
      </c>
      <c r="F121" s="23" t="s">
        <v>288</v>
      </c>
      <c r="G121" s="23" t="s">
        <v>288</v>
      </c>
      <c r="H121" s="13">
        <f t="shared" si="7"/>
        <v>202525.08</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191560.57</v>
      </c>
      <c r="D123" s="23" t="s">
        <v>288</v>
      </c>
      <c r="E123" s="73">
        <f>+('DOE25'!L287)+('DOE25'!L306)+('DOE25'!L325)</f>
        <v>6000</v>
      </c>
      <c r="F123" s="23" t="s">
        <v>288</v>
      </c>
      <c r="G123" s="23" t="s">
        <v>288</v>
      </c>
      <c r="H123" s="13">
        <f t="shared" si="7"/>
        <v>197560.57</v>
      </c>
    </row>
    <row r="124" spans="1:8" x14ac:dyDescent="0.2">
      <c r="A124" t="s">
        <v>218</v>
      </c>
      <c r="B124" s="31" t="s">
        <v>219</v>
      </c>
      <c r="C124" s="73">
        <f>('DOE25'!L209)+('DOE25'!L227)+('DOE25'!L245+'DOE25'!L255)</f>
        <v>132046.22</v>
      </c>
      <c r="D124" s="23" t="s">
        <v>288</v>
      </c>
      <c r="E124" s="73">
        <f>+('DOE25'!L288)+('DOE25'!L307)+('DOE25'!L326)</f>
        <v>0</v>
      </c>
      <c r="F124" s="23" t="s">
        <v>288</v>
      </c>
      <c r="G124" s="23" t="s">
        <v>288</v>
      </c>
      <c r="H124" s="13">
        <f t="shared" si="7"/>
        <v>132046.22</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58749.429999999993</v>
      </c>
      <c r="E127" s="23" t="s">
        <v>288</v>
      </c>
      <c r="F127" s="23" t="s">
        <v>288</v>
      </c>
      <c r="G127" s="23" t="s">
        <v>288</v>
      </c>
      <c r="H127" s="13">
        <f t="shared" si="7"/>
        <v>58749.429999999993</v>
      </c>
    </row>
    <row r="128" spans="1:8" ht="12.75" thickTop="1" thickBot="1" x14ac:dyDescent="0.25">
      <c r="A128" s="32" t="s">
        <v>226</v>
      </c>
      <c r="C128" s="68">
        <f>SUM(C118:C127)</f>
        <v>891659.24</v>
      </c>
      <c r="D128" s="68">
        <f>SUM(D118:D127)</f>
        <v>58749.429999999993</v>
      </c>
      <c r="E128" s="68">
        <f>SUM(E118:E127)</f>
        <v>18264.46</v>
      </c>
      <c r="F128" s="68">
        <f>SUM(F118:F127)</f>
        <v>0</v>
      </c>
      <c r="G128" s="68">
        <f>SUM(G118:G127)</f>
        <v>0</v>
      </c>
      <c r="H128" s="68">
        <f t="shared" si="7"/>
        <v>968673.12999999989</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2501.7800000000002</v>
      </c>
      <c r="D135" s="23" t="s">
        <v>288</v>
      </c>
      <c r="E135" s="92">
        <f>'DOE25'!L346</f>
        <v>0</v>
      </c>
      <c r="F135" s="23" t="s">
        <v>288</v>
      </c>
      <c r="G135" s="23" t="s">
        <v>288</v>
      </c>
      <c r="H135" s="13">
        <f t="shared" si="7"/>
        <v>2501.7800000000002</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9022.5499999999993</v>
      </c>
      <c r="D139" s="23" t="s">
        <v>288</v>
      </c>
      <c r="E139" s="23" t="s">
        <v>288</v>
      </c>
      <c r="F139" s="23" t="s">
        <v>288</v>
      </c>
      <c r="G139" s="23" t="s">
        <v>288</v>
      </c>
      <c r="H139" s="13">
        <f t="shared" si="7"/>
        <v>9022.5499999999993</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-9022.5499999999993</v>
      </c>
      <c r="D141" s="23" t="s">
        <v>288</v>
      </c>
      <c r="E141" s="23" t="s">
        <v>288</v>
      </c>
      <c r="F141" s="23" t="s">
        <v>288</v>
      </c>
      <c r="G141" s="23" t="s">
        <v>288</v>
      </c>
      <c r="H141" s="13">
        <f t="shared" si="7"/>
        <v>-9022.5499999999993</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2501.7800000000007</v>
      </c>
      <c r="D144" s="98">
        <f>SUM(D130:D143)</f>
        <v>0</v>
      </c>
      <c r="E144" s="98">
        <f>SUM(E130:E143)</f>
        <v>0</v>
      </c>
      <c r="F144" s="98">
        <f>SUM(F130:F143)</f>
        <v>0</v>
      </c>
      <c r="G144" s="98">
        <f>SUM(G130:G143)</f>
        <v>0</v>
      </c>
      <c r="H144" s="98">
        <f t="shared" si="7"/>
        <v>2501.7800000000007</v>
      </c>
    </row>
    <row r="145" spans="1:9" ht="12.75" thickTop="1" thickBot="1" x14ac:dyDescent="0.25">
      <c r="A145" s="32" t="s">
        <v>244</v>
      </c>
      <c r="C145" s="68">
        <f>(C115+C128+C144)</f>
        <v>3120884.36</v>
      </c>
      <c r="D145" s="68">
        <f>(D115+D128+D144)</f>
        <v>58749.429999999993</v>
      </c>
      <c r="E145" s="68">
        <f>(E115+E128+E144)</f>
        <v>109536.69</v>
      </c>
      <c r="F145" s="68">
        <f>(F115+F128+F144)</f>
        <v>0</v>
      </c>
      <c r="G145" s="68">
        <f>(G115+G128+G144)</f>
        <v>0</v>
      </c>
      <c r="H145" s="68">
        <f t="shared" si="7"/>
        <v>3289170.48</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Stoddard</v>
      </c>
    </row>
    <row r="3" spans="1:4" x14ac:dyDescent="0.2">
      <c r="B3" s="137" t="s">
        <v>1799</v>
      </c>
    </row>
    <row r="4" spans="1:4" x14ac:dyDescent="0.2">
      <c r="B4" t="s">
        <v>61</v>
      </c>
      <c r="C4" s="129">
        <f>IF('DOE25'!F666+'DOE25'!F671=0,0,ROUND('DOE25'!F673,0))</f>
        <v>24743</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24743</v>
      </c>
    </row>
    <row r="9" spans="1:4" x14ac:dyDescent="0.2">
      <c r="A9" s="136" t="s">
        <v>94</v>
      </c>
      <c r="B9" s="137" t="s">
        <v>1800</v>
      </c>
      <c r="C9" s="131" t="s">
        <v>720</v>
      </c>
      <c r="D9" s="131" t="s">
        <v>721</v>
      </c>
    </row>
    <row r="10" spans="1:4" x14ac:dyDescent="0.2">
      <c r="A10">
        <v>1100</v>
      </c>
      <c r="B10" t="s">
        <v>702</v>
      </c>
      <c r="C10" s="129">
        <f>ROUND('DOE25'!L198+'DOE25'!L216+'DOE25'!L234+'DOE25'!L277+'DOE25'!L296+'DOE25'!L315,0)</f>
        <v>1505380</v>
      </c>
      <c r="D10" s="132">
        <f>ROUND((C10/$C$28)*100,1)</f>
        <v>46</v>
      </c>
    </row>
    <row r="11" spans="1:4" x14ac:dyDescent="0.2">
      <c r="A11">
        <v>1200</v>
      </c>
      <c r="B11" t="s">
        <v>703</v>
      </c>
      <c r="C11" s="129">
        <f>ROUND('DOE25'!L199+'DOE25'!L217+'DOE25'!L235+'DOE25'!L278+'DOE25'!L297+'DOE25'!L316,0)</f>
        <v>811824</v>
      </c>
      <c r="D11" s="132">
        <f>ROUND((C11/$C$28)*100,1)</f>
        <v>24.8</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791</v>
      </c>
      <c r="D13" s="132">
        <f>ROUND((C13/$C$28)*100,1)</f>
        <v>0</v>
      </c>
    </row>
    <row r="14" spans="1:4" x14ac:dyDescent="0.2">
      <c r="D14" s="132"/>
    </row>
    <row r="15" spans="1:4" x14ac:dyDescent="0.2">
      <c r="A15">
        <v>2100</v>
      </c>
      <c r="B15" t="s">
        <v>706</v>
      </c>
      <c r="C15" s="129">
        <f>ROUND('DOE25'!L203+'DOE25'!L221+'DOE25'!L239+'DOE25'!L282+'DOE25'!L301+'DOE25'!L320,0)</f>
        <v>144335</v>
      </c>
      <c r="D15" s="132">
        <f t="shared" ref="D15:D27" si="0">ROUND((C15/$C$28)*100,1)</f>
        <v>4.4000000000000004</v>
      </c>
    </row>
    <row r="16" spans="1:4" x14ac:dyDescent="0.2">
      <c r="A16">
        <v>2200</v>
      </c>
      <c r="B16" t="s">
        <v>707</v>
      </c>
      <c r="C16" s="129">
        <f>ROUND('DOE25'!L204+'DOE25'!L222+'DOE25'!L240+'DOE25'!L283+'DOE25'!L302+'DOE25'!L321,0)</f>
        <v>52093</v>
      </c>
      <c r="D16" s="132">
        <f t="shared" si="0"/>
        <v>1.6</v>
      </c>
    </row>
    <row r="17" spans="1:4" x14ac:dyDescent="0.2">
      <c r="A17" s="133" t="s">
        <v>723</v>
      </c>
      <c r="B17" t="s">
        <v>738</v>
      </c>
      <c r="C17" s="129">
        <f>ROUND('DOE25'!L205+'DOE25'!L210+'DOE25'!L223+'DOE25'!L228+'DOE25'!L241+'DOE25'!L246+'DOE25'!L284+'DOE25'!L289+'DOE25'!L303+'DOE25'!L308+'DOE25'!L322+'DOE25'!L327,0)</f>
        <v>181364</v>
      </c>
      <c r="D17" s="132">
        <f t="shared" si="0"/>
        <v>5.5</v>
      </c>
    </row>
    <row r="18" spans="1:4" x14ac:dyDescent="0.2">
      <c r="A18">
        <v>2400</v>
      </c>
      <c r="B18" t="s">
        <v>711</v>
      </c>
      <c r="C18" s="129">
        <f>ROUND('DOE25'!L206+'DOE25'!L224+'DOE25'!L242+'DOE25'!L285+'DOE25'!L304+'DOE25'!L323,0)</f>
        <v>202525</v>
      </c>
      <c r="D18" s="132">
        <f t="shared" si="0"/>
        <v>6.2</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197561</v>
      </c>
      <c r="D20" s="132">
        <f t="shared" si="0"/>
        <v>6</v>
      </c>
    </row>
    <row r="21" spans="1:4" x14ac:dyDescent="0.2">
      <c r="A21">
        <v>2700</v>
      </c>
      <c r="B21" t="s">
        <v>710</v>
      </c>
      <c r="C21" s="129">
        <f>ROUND('DOE25'!L209+'DOE25'!L227+'DOE25'!L245+'DOE25'!L288+'DOE25'!L307+'DOE25'!L326,0)</f>
        <v>132046</v>
      </c>
      <c r="D21" s="132">
        <f t="shared" si="0"/>
        <v>4</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47373.8</v>
      </c>
      <c r="D27" s="132">
        <f t="shared" si="0"/>
        <v>1.4</v>
      </c>
    </row>
    <row r="28" spans="1:4" x14ac:dyDescent="0.2">
      <c r="B28" s="136" t="s">
        <v>719</v>
      </c>
      <c r="C28" s="130">
        <f>SUM(C10:C27)</f>
        <v>3275292.8</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3275292.8</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2324150</v>
      </c>
      <c r="D35" s="132">
        <f t="shared" ref="D35:D40" si="1">ROUND((C35/$C$41)*100,1)</f>
        <v>70.900000000000006</v>
      </c>
    </row>
    <row r="36" spans="1:4" x14ac:dyDescent="0.2">
      <c r="B36" s="71" t="s">
        <v>739</v>
      </c>
      <c r="C36" s="129">
        <f>SUM('DOE25'!F112:J112)-SUM('DOE25'!G97:G110)+('DOE25'!F175+'DOE25'!F176+'DOE25'!I175+'DOE25'!I176)-C35</f>
        <v>46214.60999999987</v>
      </c>
      <c r="D36" s="132">
        <f t="shared" si="1"/>
        <v>1.4</v>
      </c>
    </row>
    <row r="37" spans="1:4" x14ac:dyDescent="0.2">
      <c r="A37" s="133" t="s">
        <v>834</v>
      </c>
      <c r="B37" s="71" t="s">
        <v>728</v>
      </c>
      <c r="C37" s="129">
        <f>ROUND('DOE25'!F117+'DOE25'!F118,0)</f>
        <v>775306</v>
      </c>
      <c r="D37" s="132">
        <f t="shared" si="1"/>
        <v>23.6</v>
      </c>
    </row>
    <row r="38" spans="1:4" x14ac:dyDescent="0.2">
      <c r="A38" s="133" t="s">
        <v>734</v>
      </c>
      <c r="B38" s="71" t="s">
        <v>729</v>
      </c>
      <c r="C38" s="129">
        <f>ROUND(SUM('DOE25'!F140:J140)-SUM('DOE25'!F117:F119),0)</f>
        <v>6059</v>
      </c>
      <c r="D38" s="132">
        <f t="shared" si="1"/>
        <v>0.2</v>
      </c>
    </row>
    <row r="39" spans="1:4" x14ac:dyDescent="0.2">
      <c r="A39">
        <v>4000</v>
      </c>
      <c r="B39" s="71" t="s">
        <v>730</v>
      </c>
      <c r="C39" s="129">
        <f>ROUND('DOE25'!F170+'DOE25'!G170+'DOE25'!H170+'DOE25'!I170,0)</f>
        <v>128368</v>
      </c>
      <c r="D39" s="132">
        <f t="shared" si="1"/>
        <v>3.9</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3280097.61</v>
      </c>
      <c r="D41" s="134">
        <f>SUM(D35:D40)</f>
        <v>100.00000000000001</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9" sqref="C9:M9"/>
    </sheetView>
  </sheetViews>
  <sheetFormatPr defaultRowHeight="11.25" x14ac:dyDescent="0.2"/>
  <cols>
    <col min="1" max="1" width="10.33203125" customWidth="1"/>
    <col min="14" max="14" width="6.1640625" customWidth="1"/>
  </cols>
  <sheetData>
    <row r="1" spans="1:13" ht="16.5" thickTop="1" x14ac:dyDescent="0.25">
      <c r="A1" s="334" t="s">
        <v>766</v>
      </c>
      <c r="B1" s="335"/>
      <c r="C1" s="335"/>
      <c r="D1" s="335"/>
      <c r="E1" s="335"/>
      <c r="F1" s="335"/>
      <c r="G1" s="335"/>
      <c r="H1" s="335"/>
      <c r="I1" s="335"/>
      <c r="J1" s="155"/>
      <c r="K1" s="155"/>
      <c r="L1" s="155"/>
      <c r="M1" s="156"/>
    </row>
    <row r="2" spans="1:13" ht="12.75" x14ac:dyDescent="0.2">
      <c r="A2" s="339" t="s">
        <v>763</v>
      </c>
      <c r="B2" s="340"/>
      <c r="C2" s="340"/>
      <c r="D2" s="340"/>
      <c r="E2" s="340"/>
      <c r="F2" s="337" t="str">
        <f>'DOE25'!A2</f>
        <v>Stoddard</v>
      </c>
      <c r="G2" s="338"/>
      <c r="H2" s="338"/>
      <c r="I2" s="338"/>
      <c r="M2" s="157"/>
    </row>
    <row r="3" spans="1:13" x14ac:dyDescent="0.2">
      <c r="A3" s="158" t="s">
        <v>764</v>
      </c>
      <c r="B3" s="131" t="s">
        <v>765</v>
      </c>
      <c r="C3" s="320" t="s">
        <v>767</v>
      </c>
      <c r="D3" s="320"/>
      <c r="E3" s="320"/>
      <c r="F3" s="320"/>
      <c r="G3" s="320"/>
      <c r="H3" s="320"/>
      <c r="I3" s="320"/>
      <c r="J3" s="320"/>
      <c r="K3" s="320"/>
      <c r="L3" s="320"/>
      <c r="M3" s="336"/>
    </row>
    <row r="4" spans="1:13" x14ac:dyDescent="0.2">
      <c r="A4" s="159">
        <v>21</v>
      </c>
      <c r="B4" s="150">
        <v>9</v>
      </c>
      <c r="C4" s="327" t="s">
        <v>1812</v>
      </c>
      <c r="D4" s="327"/>
      <c r="E4" s="327"/>
      <c r="F4" s="327"/>
      <c r="G4" s="327"/>
      <c r="H4" s="327"/>
      <c r="I4" s="327"/>
      <c r="J4" s="327"/>
      <c r="K4" s="327"/>
      <c r="L4" s="327"/>
      <c r="M4" s="328"/>
    </row>
    <row r="5" spans="1:13" x14ac:dyDescent="0.2">
      <c r="A5" s="159"/>
      <c r="B5" s="150"/>
      <c r="C5" s="327" t="s">
        <v>1813</v>
      </c>
      <c r="D5" s="327"/>
      <c r="E5" s="327"/>
      <c r="F5" s="327"/>
      <c r="G5" s="327"/>
      <c r="H5" s="327"/>
      <c r="I5" s="327"/>
      <c r="J5" s="327"/>
      <c r="K5" s="327"/>
      <c r="L5" s="327"/>
      <c r="M5" s="328"/>
    </row>
    <row r="6" spans="1:13" x14ac:dyDescent="0.2">
      <c r="A6" s="159"/>
      <c r="B6" s="150"/>
      <c r="C6" s="327"/>
      <c r="D6" s="327"/>
      <c r="E6" s="327"/>
      <c r="F6" s="327"/>
      <c r="G6" s="327"/>
      <c r="H6" s="327"/>
      <c r="I6" s="327"/>
      <c r="J6" s="327"/>
      <c r="K6" s="327"/>
      <c r="L6" s="327"/>
      <c r="M6" s="328"/>
    </row>
    <row r="7" spans="1:13" x14ac:dyDescent="0.2">
      <c r="A7" s="159"/>
      <c r="B7" s="150"/>
      <c r="C7" s="327"/>
      <c r="D7" s="327"/>
      <c r="E7" s="327"/>
      <c r="F7" s="327"/>
      <c r="G7" s="327"/>
      <c r="H7" s="327"/>
      <c r="I7" s="327"/>
      <c r="J7" s="327"/>
      <c r="K7" s="327"/>
      <c r="L7" s="327"/>
      <c r="M7" s="328"/>
    </row>
    <row r="8" spans="1:13" x14ac:dyDescent="0.2">
      <c r="A8" s="159"/>
      <c r="B8" s="150"/>
      <c r="C8" s="327"/>
      <c r="D8" s="327"/>
      <c r="E8" s="327"/>
      <c r="F8" s="327"/>
      <c r="G8" s="327"/>
      <c r="H8" s="327"/>
      <c r="I8" s="327"/>
      <c r="J8" s="327"/>
      <c r="K8" s="327"/>
      <c r="L8" s="327"/>
      <c r="M8" s="328"/>
    </row>
    <row r="9" spans="1:13" x14ac:dyDescent="0.2">
      <c r="A9" s="159"/>
      <c r="B9" s="150"/>
      <c r="C9" s="327"/>
      <c r="D9" s="327"/>
      <c r="E9" s="327"/>
      <c r="F9" s="327"/>
      <c r="G9" s="327"/>
      <c r="H9" s="327"/>
      <c r="I9" s="327"/>
      <c r="J9" s="327"/>
      <c r="K9" s="327"/>
      <c r="L9" s="327"/>
      <c r="M9" s="328"/>
    </row>
    <row r="10" spans="1:13" x14ac:dyDescent="0.2">
      <c r="A10" s="159"/>
      <c r="B10" s="150"/>
      <c r="C10" s="327"/>
      <c r="D10" s="327"/>
      <c r="E10" s="327"/>
      <c r="F10" s="327"/>
      <c r="G10" s="327"/>
      <c r="H10" s="327"/>
      <c r="I10" s="327"/>
      <c r="J10" s="327"/>
      <c r="K10" s="327"/>
      <c r="L10" s="327"/>
      <c r="M10" s="328"/>
    </row>
    <row r="11" spans="1:13" x14ac:dyDescent="0.2">
      <c r="A11" s="159"/>
      <c r="B11" s="150"/>
      <c r="C11" s="327"/>
      <c r="D11" s="327"/>
      <c r="E11" s="327"/>
      <c r="F11" s="327"/>
      <c r="G11" s="327"/>
      <c r="H11" s="327"/>
      <c r="I11" s="327"/>
      <c r="J11" s="327"/>
      <c r="K11" s="327"/>
      <c r="L11" s="327"/>
      <c r="M11" s="328"/>
    </row>
    <row r="12" spans="1:13" x14ac:dyDescent="0.2">
      <c r="A12" s="159"/>
      <c r="B12" s="150"/>
      <c r="C12" s="327"/>
      <c r="D12" s="327"/>
      <c r="E12" s="327"/>
      <c r="F12" s="327"/>
      <c r="G12" s="327"/>
      <c r="H12" s="327"/>
      <c r="I12" s="327"/>
      <c r="J12" s="327"/>
      <c r="K12" s="327"/>
      <c r="L12" s="327"/>
      <c r="M12" s="328"/>
    </row>
    <row r="13" spans="1:13" x14ac:dyDescent="0.2">
      <c r="A13" s="159"/>
      <c r="B13" s="150"/>
      <c r="C13" s="327"/>
      <c r="D13" s="327"/>
      <c r="E13" s="327"/>
      <c r="F13" s="327"/>
      <c r="G13" s="327"/>
      <c r="H13" s="327"/>
      <c r="I13" s="327"/>
      <c r="J13" s="327"/>
      <c r="K13" s="327"/>
      <c r="L13" s="327"/>
      <c r="M13" s="328"/>
    </row>
    <row r="14" spans="1:13" x14ac:dyDescent="0.2">
      <c r="A14" s="159"/>
      <c r="B14" s="150"/>
      <c r="C14" s="327"/>
      <c r="D14" s="327"/>
      <c r="E14" s="327"/>
      <c r="F14" s="327"/>
      <c r="G14" s="327"/>
      <c r="H14" s="327"/>
      <c r="I14" s="327"/>
      <c r="J14" s="327"/>
      <c r="K14" s="327"/>
      <c r="L14" s="327"/>
      <c r="M14" s="328"/>
    </row>
    <row r="15" spans="1:13" x14ac:dyDescent="0.2">
      <c r="A15" s="159"/>
      <c r="B15" s="150"/>
      <c r="C15" s="327"/>
      <c r="D15" s="327"/>
      <c r="E15" s="327"/>
      <c r="F15" s="327"/>
      <c r="G15" s="327"/>
      <c r="H15" s="327"/>
      <c r="I15" s="327"/>
      <c r="J15" s="327"/>
      <c r="K15" s="327"/>
      <c r="L15" s="327"/>
      <c r="M15" s="328"/>
    </row>
    <row r="16" spans="1:13" x14ac:dyDescent="0.2">
      <c r="A16" s="159"/>
      <c r="B16" s="150"/>
      <c r="C16" s="327"/>
      <c r="D16" s="327"/>
      <c r="E16" s="327"/>
      <c r="F16" s="327"/>
      <c r="G16" s="327"/>
      <c r="H16" s="327"/>
      <c r="I16" s="327"/>
      <c r="J16" s="327"/>
      <c r="K16" s="327"/>
      <c r="L16" s="327"/>
      <c r="M16" s="328"/>
    </row>
    <row r="17" spans="1:256" x14ac:dyDescent="0.2">
      <c r="A17" s="159"/>
      <c r="B17" s="150"/>
      <c r="C17" s="327"/>
      <c r="D17" s="327"/>
      <c r="E17" s="327"/>
      <c r="F17" s="327"/>
      <c r="G17" s="327"/>
      <c r="H17" s="327"/>
      <c r="I17" s="327"/>
      <c r="J17" s="327"/>
      <c r="K17" s="327"/>
      <c r="L17" s="327"/>
      <c r="M17" s="328"/>
    </row>
    <row r="18" spans="1:256" x14ac:dyDescent="0.2">
      <c r="A18" s="159"/>
      <c r="B18" s="150"/>
      <c r="C18" s="327"/>
      <c r="D18" s="327"/>
      <c r="E18" s="327"/>
      <c r="F18" s="327"/>
      <c r="G18" s="327"/>
      <c r="H18" s="327"/>
      <c r="I18" s="327"/>
      <c r="J18" s="327"/>
      <c r="K18" s="327"/>
      <c r="L18" s="327"/>
      <c r="M18" s="328"/>
    </row>
    <row r="19" spans="1:256" x14ac:dyDescent="0.2">
      <c r="A19" s="159"/>
      <c r="B19" s="150"/>
      <c r="C19" s="327"/>
      <c r="D19" s="327"/>
      <c r="E19" s="327"/>
      <c r="F19" s="327"/>
      <c r="G19" s="327"/>
      <c r="H19" s="327"/>
      <c r="I19" s="327"/>
      <c r="J19" s="327"/>
      <c r="K19" s="327"/>
      <c r="L19" s="327"/>
      <c r="M19" s="328"/>
    </row>
    <row r="20" spans="1:256" x14ac:dyDescent="0.2">
      <c r="A20" s="159"/>
      <c r="B20" s="150"/>
      <c r="C20" s="327"/>
      <c r="D20" s="327"/>
      <c r="E20" s="327"/>
      <c r="F20" s="327"/>
      <c r="G20" s="327"/>
      <c r="H20" s="327"/>
      <c r="I20" s="327"/>
      <c r="J20" s="327"/>
      <c r="K20" s="327"/>
      <c r="L20" s="327"/>
      <c r="M20" s="328"/>
    </row>
    <row r="21" spans="1:256" x14ac:dyDescent="0.2">
      <c r="A21" s="159"/>
      <c r="B21" s="150"/>
      <c r="C21" s="327"/>
      <c r="D21" s="327"/>
      <c r="E21" s="327"/>
      <c r="F21" s="327"/>
      <c r="G21" s="327"/>
      <c r="H21" s="327"/>
      <c r="I21" s="327"/>
      <c r="J21" s="327"/>
      <c r="K21" s="327"/>
      <c r="L21" s="327"/>
      <c r="M21" s="328"/>
    </row>
    <row r="22" spans="1:256" x14ac:dyDescent="0.2">
      <c r="A22" s="159"/>
      <c r="B22" s="150"/>
      <c r="C22" s="327"/>
      <c r="D22" s="327"/>
      <c r="E22" s="327"/>
      <c r="F22" s="327"/>
      <c r="G22" s="327"/>
      <c r="H22" s="327"/>
      <c r="I22" s="327"/>
      <c r="J22" s="327"/>
      <c r="K22" s="327"/>
      <c r="L22" s="327"/>
      <c r="M22" s="328"/>
    </row>
    <row r="23" spans="1:256" x14ac:dyDescent="0.2">
      <c r="A23" s="159"/>
      <c r="B23" s="150"/>
      <c r="C23" s="327"/>
      <c r="D23" s="327"/>
      <c r="E23" s="327"/>
      <c r="F23" s="327"/>
      <c r="G23" s="327"/>
      <c r="H23" s="327"/>
      <c r="I23" s="327"/>
      <c r="J23" s="327"/>
      <c r="K23" s="327"/>
      <c r="L23" s="327"/>
      <c r="M23" s="328"/>
    </row>
    <row r="24" spans="1:256" x14ac:dyDescent="0.2">
      <c r="A24" s="159"/>
      <c r="B24" s="150"/>
      <c r="C24" s="327"/>
      <c r="D24" s="327"/>
      <c r="E24" s="327"/>
      <c r="F24" s="327"/>
      <c r="G24" s="327"/>
      <c r="H24" s="327"/>
      <c r="I24" s="327"/>
      <c r="J24" s="327"/>
      <c r="K24" s="327"/>
      <c r="L24" s="327"/>
      <c r="M24" s="328"/>
    </row>
    <row r="25" spans="1:256" x14ac:dyDescent="0.2">
      <c r="A25" s="159"/>
      <c r="B25" s="150"/>
      <c r="C25" s="327"/>
      <c r="D25" s="327"/>
      <c r="E25" s="327"/>
      <c r="F25" s="327"/>
      <c r="G25" s="327"/>
      <c r="H25" s="327"/>
      <c r="I25" s="327"/>
      <c r="J25" s="327"/>
      <c r="K25" s="327"/>
      <c r="L25" s="327"/>
      <c r="M25" s="328"/>
    </row>
    <row r="26" spans="1:256" x14ac:dyDescent="0.2">
      <c r="A26" s="159"/>
      <c r="B26" s="150"/>
      <c r="C26" s="327"/>
      <c r="D26" s="327"/>
      <c r="E26" s="327"/>
      <c r="F26" s="327"/>
      <c r="G26" s="327"/>
      <c r="H26" s="327"/>
      <c r="I26" s="327"/>
      <c r="J26" s="327"/>
      <c r="K26" s="327"/>
      <c r="L26" s="327"/>
      <c r="M26" s="328"/>
    </row>
    <row r="27" spans="1:256" x14ac:dyDescent="0.2">
      <c r="A27" s="159"/>
      <c r="B27" s="150"/>
      <c r="C27" s="327"/>
      <c r="D27" s="327"/>
      <c r="E27" s="327"/>
      <c r="F27" s="327"/>
      <c r="G27" s="327"/>
      <c r="H27" s="327"/>
      <c r="I27" s="327"/>
      <c r="J27" s="327"/>
      <c r="K27" s="327"/>
      <c r="L27" s="327"/>
      <c r="M27" s="328"/>
    </row>
    <row r="28" spans="1:256" x14ac:dyDescent="0.2">
      <c r="A28" s="159"/>
      <c r="B28" s="150"/>
      <c r="C28" s="327"/>
      <c r="D28" s="327"/>
      <c r="E28" s="327"/>
      <c r="F28" s="327"/>
      <c r="G28" s="327"/>
      <c r="H28" s="327"/>
      <c r="I28" s="327"/>
      <c r="J28" s="327"/>
      <c r="K28" s="327"/>
      <c r="L28" s="327"/>
      <c r="M28" s="328"/>
    </row>
    <row r="29" spans="1:256" x14ac:dyDescent="0.2">
      <c r="A29" s="159"/>
      <c r="B29" s="150"/>
      <c r="C29" s="327"/>
      <c r="D29" s="327"/>
      <c r="E29" s="327"/>
      <c r="F29" s="327"/>
      <c r="G29" s="327"/>
      <c r="H29" s="327"/>
      <c r="I29" s="327"/>
      <c r="J29" s="327"/>
      <c r="K29" s="327"/>
      <c r="L29" s="327"/>
      <c r="M29" s="328"/>
      <c r="N29" s="153"/>
      <c r="O29" s="153"/>
      <c r="P29" s="332"/>
      <c r="Q29" s="332"/>
      <c r="R29" s="332"/>
      <c r="S29" s="332"/>
      <c r="T29" s="332"/>
      <c r="U29" s="332"/>
      <c r="V29" s="332"/>
      <c r="W29" s="332"/>
      <c r="X29" s="332"/>
      <c r="Y29" s="332"/>
      <c r="Z29" s="332"/>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8"/>
      <c r="N30" s="153"/>
      <c r="O30" s="153"/>
      <c r="P30" s="332"/>
      <c r="Q30" s="332"/>
      <c r="R30" s="332"/>
      <c r="S30" s="332"/>
      <c r="T30" s="332"/>
      <c r="U30" s="332"/>
      <c r="V30" s="332"/>
      <c r="W30" s="332"/>
      <c r="X30" s="332"/>
      <c r="Y30" s="332"/>
      <c r="Z30" s="332"/>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8"/>
      <c r="N31" s="153"/>
      <c r="O31" s="153"/>
      <c r="P31" s="332"/>
      <c r="Q31" s="332"/>
      <c r="R31" s="332"/>
      <c r="S31" s="332"/>
      <c r="T31" s="332"/>
      <c r="U31" s="332"/>
      <c r="V31" s="332"/>
      <c r="W31" s="332"/>
      <c r="X31" s="332"/>
      <c r="Y31" s="332"/>
      <c r="Z31" s="332"/>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8"/>
      <c r="N32" s="153"/>
      <c r="O32" s="153"/>
      <c r="P32" s="332"/>
      <c r="Q32" s="332"/>
      <c r="R32" s="332"/>
      <c r="S32" s="332"/>
      <c r="T32" s="332"/>
      <c r="U32" s="332"/>
      <c r="V32" s="332"/>
      <c r="W32" s="332"/>
      <c r="X32" s="332"/>
      <c r="Y32" s="332"/>
      <c r="Z32" s="333"/>
      <c r="AA32" s="159"/>
      <c r="AB32" s="150"/>
      <c r="AC32" s="327"/>
      <c r="AD32" s="327"/>
      <c r="AE32" s="327"/>
      <c r="AF32" s="327"/>
      <c r="AG32" s="327"/>
      <c r="AH32" s="327"/>
      <c r="AI32" s="327"/>
      <c r="AJ32" s="327"/>
      <c r="AK32" s="327"/>
      <c r="AL32" s="327"/>
      <c r="AM32" s="328"/>
      <c r="AN32" s="159"/>
      <c r="AO32" s="150"/>
      <c r="AP32" s="327"/>
      <c r="AQ32" s="327"/>
      <c r="AR32" s="327"/>
      <c r="AS32" s="327"/>
      <c r="AT32" s="327"/>
      <c r="AU32" s="327"/>
      <c r="AV32" s="327"/>
      <c r="AW32" s="327"/>
      <c r="AX32" s="327"/>
      <c r="AY32" s="327"/>
      <c r="AZ32" s="328"/>
      <c r="BA32" s="159"/>
      <c r="BB32" s="150"/>
      <c r="BC32" s="327"/>
      <c r="BD32" s="327"/>
      <c r="BE32" s="327"/>
      <c r="BF32" s="327"/>
      <c r="BG32" s="327"/>
      <c r="BH32" s="327"/>
      <c r="BI32" s="327"/>
      <c r="BJ32" s="327"/>
      <c r="BK32" s="327"/>
      <c r="BL32" s="327"/>
      <c r="BM32" s="328"/>
      <c r="BN32" s="159"/>
      <c r="BO32" s="150"/>
      <c r="BP32" s="327"/>
      <c r="BQ32" s="327"/>
      <c r="BR32" s="327"/>
      <c r="BS32" s="327"/>
      <c r="BT32" s="327"/>
      <c r="BU32" s="327"/>
      <c r="BV32" s="327"/>
      <c r="BW32" s="327"/>
      <c r="BX32" s="327"/>
      <c r="BY32" s="327"/>
      <c r="BZ32" s="328"/>
      <c r="CA32" s="159"/>
      <c r="CB32" s="150"/>
      <c r="CC32" s="327"/>
      <c r="CD32" s="327"/>
      <c r="CE32" s="327"/>
      <c r="CF32" s="327"/>
      <c r="CG32" s="327"/>
      <c r="CH32" s="327"/>
      <c r="CI32" s="327"/>
      <c r="CJ32" s="327"/>
      <c r="CK32" s="327"/>
      <c r="CL32" s="327"/>
      <c r="CM32" s="328"/>
      <c r="CN32" s="159"/>
      <c r="CO32" s="150"/>
      <c r="CP32" s="327"/>
      <c r="CQ32" s="327"/>
      <c r="CR32" s="327"/>
      <c r="CS32" s="327"/>
      <c r="CT32" s="327"/>
      <c r="CU32" s="327"/>
      <c r="CV32" s="327"/>
      <c r="CW32" s="327"/>
      <c r="CX32" s="327"/>
      <c r="CY32" s="327"/>
      <c r="CZ32" s="328"/>
      <c r="DA32" s="159"/>
      <c r="DB32" s="150"/>
      <c r="DC32" s="327"/>
      <c r="DD32" s="327"/>
      <c r="DE32" s="327"/>
      <c r="DF32" s="327"/>
      <c r="DG32" s="327"/>
      <c r="DH32" s="327"/>
      <c r="DI32" s="327"/>
      <c r="DJ32" s="327"/>
      <c r="DK32" s="327"/>
      <c r="DL32" s="327"/>
      <c r="DM32" s="328"/>
      <c r="DN32" s="159"/>
      <c r="DO32" s="150"/>
      <c r="DP32" s="327"/>
      <c r="DQ32" s="327"/>
      <c r="DR32" s="327"/>
      <c r="DS32" s="327"/>
      <c r="DT32" s="327"/>
      <c r="DU32" s="327"/>
      <c r="DV32" s="327"/>
      <c r="DW32" s="327"/>
      <c r="DX32" s="327"/>
      <c r="DY32" s="327"/>
      <c r="DZ32" s="328"/>
      <c r="EA32" s="159"/>
      <c r="EB32" s="150"/>
      <c r="EC32" s="327"/>
      <c r="ED32" s="327"/>
      <c r="EE32" s="327"/>
      <c r="EF32" s="327"/>
      <c r="EG32" s="327"/>
      <c r="EH32" s="327"/>
      <c r="EI32" s="327"/>
      <c r="EJ32" s="327"/>
      <c r="EK32" s="327"/>
      <c r="EL32" s="327"/>
      <c r="EM32" s="328"/>
      <c r="EN32" s="159"/>
      <c r="EO32" s="150"/>
      <c r="EP32" s="327"/>
      <c r="EQ32" s="327"/>
      <c r="ER32" s="327"/>
      <c r="ES32" s="327"/>
      <c r="ET32" s="327"/>
      <c r="EU32" s="327"/>
      <c r="EV32" s="327"/>
      <c r="EW32" s="327"/>
      <c r="EX32" s="327"/>
      <c r="EY32" s="327"/>
      <c r="EZ32" s="328"/>
      <c r="FA32" s="159"/>
      <c r="FB32" s="150"/>
      <c r="FC32" s="327"/>
      <c r="FD32" s="327"/>
      <c r="FE32" s="327"/>
      <c r="FF32" s="327"/>
      <c r="FG32" s="327"/>
      <c r="FH32" s="327"/>
      <c r="FI32" s="327"/>
      <c r="FJ32" s="327"/>
      <c r="FK32" s="327"/>
      <c r="FL32" s="327"/>
      <c r="FM32" s="328"/>
      <c r="FN32" s="159"/>
      <c r="FO32" s="150"/>
      <c r="FP32" s="327"/>
      <c r="FQ32" s="327"/>
      <c r="FR32" s="327"/>
      <c r="FS32" s="327"/>
      <c r="FT32" s="327"/>
      <c r="FU32" s="327"/>
      <c r="FV32" s="327"/>
      <c r="FW32" s="327"/>
      <c r="FX32" s="327"/>
      <c r="FY32" s="327"/>
      <c r="FZ32" s="328"/>
      <c r="GA32" s="159"/>
      <c r="GB32" s="150"/>
      <c r="GC32" s="327"/>
      <c r="GD32" s="327"/>
      <c r="GE32" s="327"/>
      <c r="GF32" s="327"/>
      <c r="GG32" s="327"/>
      <c r="GH32" s="327"/>
      <c r="GI32" s="327"/>
      <c r="GJ32" s="327"/>
      <c r="GK32" s="327"/>
      <c r="GL32" s="327"/>
      <c r="GM32" s="328"/>
      <c r="GN32" s="159"/>
      <c r="GO32" s="150"/>
      <c r="GP32" s="327"/>
      <c r="GQ32" s="327"/>
      <c r="GR32" s="327"/>
      <c r="GS32" s="327"/>
      <c r="GT32" s="327"/>
      <c r="GU32" s="327"/>
      <c r="GV32" s="327"/>
      <c r="GW32" s="327"/>
      <c r="GX32" s="327"/>
      <c r="GY32" s="327"/>
      <c r="GZ32" s="328"/>
      <c r="HA32" s="159"/>
      <c r="HB32" s="150"/>
      <c r="HC32" s="327"/>
      <c r="HD32" s="327"/>
      <c r="HE32" s="327"/>
      <c r="HF32" s="327"/>
      <c r="HG32" s="327"/>
      <c r="HH32" s="327"/>
      <c r="HI32" s="327"/>
      <c r="HJ32" s="327"/>
      <c r="HK32" s="327"/>
      <c r="HL32" s="327"/>
      <c r="HM32" s="328"/>
      <c r="HN32" s="159"/>
      <c r="HO32" s="150"/>
      <c r="HP32" s="327"/>
      <c r="HQ32" s="327"/>
      <c r="HR32" s="327"/>
      <c r="HS32" s="327"/>
      <c r="HT32" s="327"/>
      <c r="HU32" s="327"/>
      <c r="HV32" s="327"/>
      <c r="HW32" s="327"/>
      <c r="HX32" s="327"/>
      <c r="HY32" s="327"/>
      <c r="HZ32" s="328"/>
      <c r="IA32" s="159"/>
      <c r="IB32" s="150"/>
      <c r="IC32" s="327"/>
      <c r="ID32" s="327"/>
      <c r="IE32" s="327"/>
      <c r="IF32" s="327"/>
      <c r="IG32" s="327"/>
      <c r="IH32" s="327"/>
      <c r="II32" s="327"/>
      <c r="IJ32" s="327"/>
      <c r="IK32" s="327"/>
      <c r="IL32" s="327"/>
      <c r="IM32" s="328"/>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8"/>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8"/>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8"/>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8"/>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8"/>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8"/>
      <c r="N38" s="153"/>
      <c r="O38" s="153"/>
      <c r="P38" s="332"/>
      <c r="Q38" s="332"/>
      <c r="R38" s="332"/>
      <c r="S38" s="332"/>
      <c r="T38" s="332"/>
      <c r="U38" s="332"/>
      <c r="V38" s="332"/>
      <c r="W38" s="332"/>
      <c r="X38" s="332"/>
      <c r="Y38" s="332"/>
      <c r="Z38" s="332"/>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8"/>
      <c r="N39" s="153"/>
      <c r="O39" s="153"/>
      <c r="P39" s="332"/>
      <c r="Q39" s="332"/>
      <c r="R39" s="332"/>
      <c r="S39" s="332"/>
      <c r="T39" s="332"/>
      <c r="U39" s="332"/>
      <c r="V39" s="332"/>
      <c r="W39" s="332"/>
      <c r="X39" s="332"/>
      <c r="Y39" s="332"/>
      <c r="Z39" s="332"/>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8"/>
      <c r="N40" s="153"/>
      <c r="O40" s="153"/>
      <c r="P40" s="332"/>
      <c r="Q40" s="332"/>
      <c r="R40" s="332"/>
      <c r="S40" s="332"/>
      <c r="T40" s="332"/>
      <c r="U40" s="332"/>
      <c r="V40" s="332"/>
      <c r="W40" s="332"/>
      <c r="X40" s="332"/>
      <c r="Y40" s="332"/>
      <c r="Z40" s="332"/>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8"/>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8"/>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8"/>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8"/>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8"/>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8"/>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8"/>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8"/>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8"/>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8"/>
    </row>
    <row r="51" spans="1:256" x14ac:dyDescent="0.2">
      <c r="A51" s="159"/>
      <c r="B51" s="150"/>
      <c r="C51" s="327"/>
      <c r="D51" s="327"/>
      <c r="E51" s="327"/>
      <c r="F51" s="327"/>
      <c r="G51" s="327"/>
      <c r="H51" s="327"/>
      <c r="I51" s="327"/>
      <c r="J51" s="327"/>
      <c r="K51" s="327"/>
      <c r="L51" s="327"/>
      <c r="M51" s="328"/>
    </row>
    <row r="52" spans="1:256" x14ac:dyDescent="0.2">
      <c r="A52" s="159"/>
      <c r="B52" s="150"/>
      <c r="C52" s="327"/>
      <c r="D52" s="327"/>
      <c r="E52" s="327"/>
      <c r="F52" s="327"/>
      <c r="G52" s="327"/>
      <c r="H52" s="327"/>
      <c r="I52" s="327"/>
      <c r="J52" s="327"/>
      <c r="K52" s="327"/>
      <c r="L52" s="327"/>
      <c r="M52" s="328"/>
    </row>
    <row r="53" spans="1:256" x14ac:dyDescent="0.2">
      <c r="A53" s="159"/>
      <c r="B53" s="150"/>
      <c r="C53" s="327"/>
      <c r="D53" s="327"/>
      <c r="E53" s="327"/>
      <c r="F53" s="327"/>
      <c r="G53" s="327"/>
      <c r="H53" s="327"/>
      <c r="I53" s="327"/>
      <c r="J53" s="327"/>
      <c r="K53" s="327"/>
      <c r="L53" s="327"/>
      <c r="M53" s="328"/>
    </row>
    <row r="54" spans="1:256" x14ac:dyDescent="0.2">
      <c r="A54" s="159"/>
      <c r="B54" s="150"/>
      <c r="C54" s="327"/>
      <c r="D54" s="327"/>
      <c r="E54" s="327"/>
      <c r="F54" s="327"/>
      <c r="G54" s="327"/>
      <c r="H54" s="327"/>
      <c r="I54" s="327"/>
      <c r="J54" s="327"/>
      <c r="K54" s="327"/>
      <c r="L54" s="327"/>
      <c r="M54" s="328"/>
    </row>
    <row r="55" spans="1:256" x14ac:dyDescent="0.2">
      <c r="A55" s="159"/>
      <c r="B55" s="150"/>
      <c r="C55" s="327"/>
      <c r="D55" s="327"/>
      <c r="E55" s="327"/>
      <c r="F55" s="327"/>
      <c r="G55" s="327"/>
      <c r="H55" s="327"/>
      <c r="I55" s="327"/>
      <c r="J55" s="327"/>
      <c r="K55" s="327"/>
      <c r="L55" s="327"/>
      <c r="M55" s="328"/>
    </row>
    <row r="56" spans="1:256" x14ac:dyDescent="0.2">
      <c r="A56" s="159"/>
      <c r="B56" s="150"/>
      <c r="C56" s="327"/>
      <c r="D56" s="327"/>
      <c r="E56" s="327"/>
      <c r="F56" s="327"/>
      <c r="G56" s="327"/>
      <c r="H56" s="327"/>
      <c r="I56" s="327"/>
      <c r="J56" s="327"/>
      <c r="K56" s="327"/>
      <c r="L56" s="327"/>
      <c r="M56" s="328"/>
    </row>
    <row r="57" spans="1:256" x14ac:dyDescent="0.2">
      <c r="A57" s="159"/>
      <c r="B57" s="150"/>
      <c r="C57" s="327"/>
      <c r="D57" s="327"/>
      <c r="E57" s="327"/>
      <c r="F57" s="327"/>
      <c r="G57" s="327"/>
      <c r="H57" s="327"/>
      <c r="I57" s="327"/>
      <c r="J57" s="327"/>
      <c r="K57" s="327"/>
      <c r="L57" s="327"/>
      <c r="M57" s="328"/>
    </row>
    <row r="58" spans="1:256" x14ac:dyDescent="0.2">
      <c r="A58" s="159"/>
      <c r="B58" s="150"/>
      <c r="C58" s="327"/>
      <c r="D58" s="327"/>
      <c r="E58" s="327"/>
      <c r="F58" s="327"/>
      <c r="G58" s="327"/>
      <c r="H58" s="327"/>
      <c r="I58" s="327"/>
      <c r="J58" s="327"/>
      <c r="K58" s="327"/>
      <c r="L58" s="327"/>
      <c r="M58" s="328"/>
    </row>
    <row r="59" spans="1:256" x14ac:dyDescent="0.2">
      <c r="A59" s="159"/>
      <c r="B59" s="150"/>
      <c r="C59" s="327"/>
      <c r="D59" s="327"/>
      <c r="E59" s="327"/>
      <c r="F59" s="327"/>
      <c r="G59" s="327"/>
      <c r="H59" s="327"/>
      <c r="I59" s="327"/>
      <c r="J59" s="327"/>
      <c r="K59" s="327"/>
      <c r="L59" s="327"/>
      <c r="M59" s="328"/>
    </row>
    <row r="60" spans="1:256" x14ac:dyDescent="0.2">
      <c r="A60" s="159"/>
      <c r="B60" s="150"/>
      <c r="C60" s="327"/>
      <c r="D60" s="327"/>
      <c r="E60" s="327"/>
      <c r="F60" s="327"/>
      <c r="G60" s="327"/>
      <c r="H60" s="327"/>
      <c r="I60" s="327"/>
      <c r="J60" s="327"/>
      <c r="K60" s="327"/>
      <c r="L60" s="327"/>
      <c r="M60" s="328"/>
    </row>
    <row r="61" spans="1:256" x14ac:dyDescent="0.2">
      <c r="A61" s="159"/>
      <c r="B61" s="150"/>
      <c r="C61" s="327"/>
      <c r="D61" s="327"/>
      <c r="E61" s="327"/>
      <c r="F61" s="327"/>
      <c r="G61" s="327"/>
      <c r="H61" s="327"/>
      <c r="I61" s="327"/>
      <c r="J61" s="327"/>
      <c r="K61" s="327"/>
      <c r="L61" s="327"/>
      <c r="M61" s="328"/>
    </row>
    <row r="62" spans="1:256" x14ac:dyDescent="0.2">
      <c r="A62" s="159"/>
      <c r="B62" s="150"/>
      <c r="C62" s="327"/>
      <c r="D62" s="327"/>
      <c r="E62" s="327"/>
      <c r="F62" s="327"/>
      <c r="G62" s="327"/>
      <c r="H62" s="327"/>
      <c r="I62" s="327"/>
      <c r="J62" s="327"/>
      <c r="K62" s="327"/>
      <c r="L62" s="327"/>
      <c r="M62" s="328"/>
    </row>
    <row r="63" spans="1:256" x14ac:dyDescent="0.2">
      <c r="A63" s="159"/>
      <c r="B63" s="150"/>
      <c r="C63" s="327"/>
      <c r="D63" s="327"/>
      <c r="E63" s="327"/>
      <c r="F63" s="327"/>
      <c r="G63" s="327"/>
      <c r="H63" s="327"/>
      <c r="I63" s="327"/>
      <c r="J63" s="327"/>
      <c r="K63" s="327"/>
      <c r="L63" s="327"/>
      <c r="M63" s="328"/>
    </row>
    <row r="64" spans="1:256" x14ac:dyDescent="0.2">
      <c r="A64" s="159"/>
      <c r="B64" s="150"/>
      <c r="C64" s="327"/>
      <c r="D64" s="327"/>
      <c r="E64" s="327"/>
      <c r="F64" s="327"/>
      <c r="G64" s="327"/>
      <c r="H64" s="327"/>
      <c r="I64" s="327"/>
      <c r="J64" s="327"/>
      <c r="K64" s="327"/>
      <c r="L64" s="327"/>
      <c r="M64" s="328"/>
    </row>
    <row r="65" spans="1:13" x14ac:dyDescent="0.2">
      <c r="A65" s="159"/>
      <c r="B65" s="150"/>
      <c r="C65" s="327"/>
      <c r="D65" s="327"/>
      <c r="E65" s="327"/>
      <c r="F65" s="327"/>
      <c r="G65" s="327"/>
      <c r="H65" s="327"/>
      <c r="I65" s="327"/>
      <c r="J65" s="327"/>
      <c r="K65" s="327"/>
      <c r="L65" s="327"/>
      <c r="M65" s="328"/>
    </row>
    <row r="66" spans="1:13" x14ac:dyDescent="0.2">
      <c r="A66" s="159"/>
      <c r="B66" s="150"/>
      <c r="C66" s="327"/>
      <c r="D66" s="327"/>
      <c r="E66" s="327"/>
      <c r="F66" s="327"/>
      <c r="G66" s="327"/>
      <c r="H66" s="327"/>
      <c r="I66" s="327"/>
      <c r="J66" s="327"/>
      <c r="K66" s="327"/>
      <c r="L66" s="327"/>
      <c r="M66" s="328"/>
    </row>
    <row r="67" spans="1:13" x14ac:dyDescent="0.2">
      <c r="A67" s="159"/>
      <c r="B67" s="150"/>
      <c r="C67" s="327"/>
      <c r="D67" s="327"/>
      <c r="E67" s="327"/>
      <c r="F67" s="327"/>
      <c r="G67" s="327"/>
      <c r="H67" s="327"/>
      <c r="I67" s="327"/>
      <c r="J67" s="327"/>
      <c r="K67" s="327"/>
      <c r="L67" s="327"/>
      <c r="M67" s="328"/>
    </row>
    <row r="68" spans="1:13" x14ac:dyDescent="0.2">
      <c r="A68" s="159"/>
      <c r="B68" s="150"/>
      <c r="C68" s="327"/>
      <c r="D68" s="327"/>
      <c r="E68" s="327"/>
      <c r="F68" s="327"/>
      <c r="G68" s="327"/>
      <c r="H68" s="327"/>
      <c r="I68" s="327"/>
      <c r="J68" s="327"/>
      <c r="K68" s="327"/>
      <c r="L68" s="327"/>
      <c r="M68" s="328"/>
    </row>
    <row r="69" spans="1:13" x14ac:dyDescent="0.2">
      <c r="A69" s="159"/>
      <c r="B69" s="150"/>
      <c r="C69" s="327"/>
      <c r="D69" s="327"/>
      <c r="E69" s="327"/>
      <c r="F69" s="327"/>
      <c r="G69" s="327"/>
      <c r="H69" s="327"/>
      <c r="I69" s="327"/>
      <c r="J69" s="327"/>
      <c r="K69" s="327"/>
      <c r="L69" s="327"/>
      <c r="M69" s="328"/>
    </row>
    <row r="70" spans="1:13" ht="12" thickBot="1" x14ac:dyDescent="0.25">
      <c r="A70" s="160"/>
      <c r="B70" s="161"/>
      <c r="C70" s="329"/>
      <c r="D70" s="329"/>
      <c r="E70" s="329"/>
      <c r="F70" s="329"/>
      <c r="G70" s="329"/>
      <c r="H70" s="329"/>
      <c r="I70" s="329"/>
      <c r="J70" s="329"/>
      <c r="K70" s="329"/>
      <c r="L70" s="329"/>
      <c r="M70" s="330"/>
    </row>
    <row r="71" spans="1:13" ht="12" thickTop="1" x14ac:dyDescent="0.2">
      <c r="A71" s="151"/>
      <c r="B71" s="151"/>
      <c r="C71" s="152"/>
      <c r="D71" s="152"/>
      <c r="E71" s="152"/>
      <c r="F71" s="152"/>
      <c r="G71" s="152"/>
      <c r="H71" s="152"/>
      <c r="I71" s="152"/>
      <c r="J71" s="152"/>
      <c r="K71" s="152"/>
      <c r="L71" s="152"/>
    </row>
    <row r="72" spans="1:13" ht="12.75" x14ac:dyDescent="0.2">
      <c r="A72" s="331" t="s">
        <v>831</v>
      </c>
      <c r="B72" s="331"/>
      <c r="C72" s="331"/>
      <c r="D72" s="331"/>
      <c r="E72" s="331"/>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139</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f>IF('School Level Expenditures'!$B$2=A142,'School Tables'!H142,"")</f>
        <v>139</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2023-10-13T13:27:25Z</cp:lastPrinted>
  <dcterms:created xsi:type="dcterms:W3CDTF">1997-12-04T19:04:30Z</dcterms:created>
  <dcterms:modified xsi:type="dcterms:W3CDTF">2023-10-18T14:11:17Z</dcterms:modified>
</cp:coreProperties>
</file>