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28132152-5FAE-430D-89EE-911B7B88F82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80" i="1" l="1"/>
  <c r="H524" i="1"/>
  <c r="F522" i="1"/>
  <c r="F199" i="1"/>
  <c r="F50" i="1" l="1"/>
  <c r="C21" i="12"/>
  <c r="C20" i="12"/>
  <c r="C19" i="12"/>
  <c r="B21" i="12"/>
  <c r="B20" i="12"/>
  <c r="C12" i="12"/>
  <c r="C11" i="12"/>
  <c r="C10" i="12"/>
  <c r="B12" i="12"/>
  <c r="H605" i="1"/>
  <c r="H278" i="1"/>
  <c r="G284" i="1"/>
  <c r="J278" i="1"/>
  <c r="H277" i="1"/>
  <c r="H154" i="1"/>
  <c r="H159" i="1"/>
  <c r="H155" i="1"/>
  <c r="F503" i="1" l="1"/>
  <c r="H199" i="1"/>
  <c r="H198" i="1"/>
  <c r="H235" i="1"/>
  <c r="H234" i="1"/>
  <c r="H245" i="1"/>
  <c r="H209" i="1"/>
  <c r="G198" i="1"/>
  <c r="F24" i="1"/>
  <c r="F469" i="1"/>
  <c r="H208" i="1"/>
  <c r="J208" i="1"/>
  <c r="I208" i="1"/>
  <c r="G208" i="1"/>
  <c r="F208" i="1"/>
  <c r="H207" i="1"/>
  <c r="G207" i="1"/>
  <c r="F207" i="1"/>
  <c r="H206" i="1"/>
  <c r="G206" i="1"/>
  <c r="F206" i="1"/>
  <c r="K205" i="1"/>
  <c r="H205" i="1"/>
  <c r="G205" i="1"/>
  <c r="F205" i="1"/>
  <c r="I205" i="1"/>
  <c r="I204" i="1"/>
  <c r="H204" i="1"/>
  <c r="G204" i="1"/>
  <c r="F204" i="1"/>
  <c r="F203" i="1"/>
  <c r="G203" i="1"/>
  <c r="H203" i="1"/>
  <c r="J203" i="1"/>
  <c r="I203" i="1"/>
  <c r="G201" i="1"/>
  <c r="F201" i="1"/>
  <c r="H201" i="1"/>
  <c r="G199" i="1"/>
  <c r="I199" i="1"/>
  <c r="F198" i="1"/>
  <c r="F160" i="1"/>
  <c r="F110" i="1"/>
  <c r="B36" i="16"/>
  <c r="G97" i="1"/>
  <c r="G469" i="1"/>
  <c r="G473" i="1"/>
  <c r="G110" i="1"/>
  <c r="G40" i="1"/>
  <c r="G12" i="1"/>
  <c r="F500" i="1"/>
  <c r="F499" i="1"/>
  <c r="J469" i="1"/>
  <c r="H137" i="2" l="1"/>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5" i="2"/>
  <c r="H136" i="2"/>
  <c r="H143" i="2"/>
  <c r="H125" i="2"/>
  <c r="H113" i="2"/>
  <c r="H114" i="2"/>
  <c r="H97" i="2"/>
  <c r="H98" i="2"/>
  <c r="H100" i="2"/>
  <c r="H101" i="2"/>
  <c r="H102" i="2"/>
  <c r="H94" i="2"/>
  <c r="H93" i="2"/>
  <c r="H89" i="2"/>
  <c r="H90" i="2"/>
  <c r="H85" i="2"/>
  <c r="H73" i="2"/>
  <c r="H74" i="2"/>
  <c r="H76" i="2"/>
  <c r="H79" i="2"/>
  <c r="H80" i="2"/>
  <c r="H48" i="2"/>
  <c r="H45" i="2"/>
  <c r="H40" i="2"/>
  <c r="H38" i="2"/>
  <c r="H36" i="2"/>
  <c r="H22" i="2"/>
  <c r="H24" i="2"/>
  <c r="H25" i="2"/>
  <c r="H26" i="2"/>
  <c r="H28" i="2"/>
  <c r="H29" i="2"/>
  <c r="H10"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F47" i="2"/>
  <c r="E47" i="2"/>
  <c r="D47" i="2"/>
  <c r="C47" i="2"/>
  <c r="F44" i="2"/>
  <c r="E44" i="2"/>
  <c r="D44" i="2"/>
  <c r="C44" i="2"/>
  <c r="H44" i="2" s="1"/>
  <c r="F43" i="2"/>
  <c r="E43" i="2"/>
  <c r="D43" i="2"/>
  <c r="C43" i="2"/>
  <c r="H43" i="2" s="1"/>
  <c r="F42" i="2"/>
  <c r="E42" i="2"/>
  <c r="D42" i="2"/>
  <c r="C42" i="2"/>
  <c r="H42" i="2" s="1"/>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C112" i="2" s="1"/>
  <c r="L216" i="1"/>
  <c r="L217" i="1"/>
  <c r="L218" i="1"/>
  <c r="L219" i="1"/>
  <c r="L234" i="1"/>
  <c r="L235" i="1"/>
  <c r="L236" i="1"/>
  <c r="L237" i="1"/>
  <c r="G6" i="13"/>
  <c r="H6" i="13"/>
  <c r="L203" i="1"/>
  <c r="L221" i="1"/>
  <c r="L239" i="1"/>
  <c r="G7" i="13"/>
  <c r="H7" i="13"/>
  <c r="L204" i="1"/>
  <c r="L222" i="1"/>
  <c r="L240" i="1"/>
  <c r="G12" i="13"/>
  <c r="H12" i="13"/>
  <c r="L206" i="1"/>
  <c r="N2" i="14" s="1"/>
  <c r="N3" i="14" s="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E120" i="2" s="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H9" i="2" s="1"/>
  <c r="C10" i="2"/>
  <c r="C11" i="2"/>
  <c r="D11" i="2"/>
  <c r="E11" i="2"/>
  <c r="F11" i="2"/>
  <c r="I442" i="1"/>
  <c r="J12" i="1" s="1"/>
  <c r="G11" i="2" s="1"/>
  <c r="C12" i="2"/>
  <c r="D12" i="2"/>
  <c r="E12" i="2"/>
  <c r="F12" i="2"/>
  <c r="I443" i="1"/>
  <c r="J13" i="1" s="1"/>
  <c r="G12" i="2" s="1"/>
  <c r="C13" i="2"/>
  <c r="D13" i="2"/>
  <c r="H13" i="2" s="1"/>
  <c r="E13" i="2"/>
  <c r="F13" i="2"/>
  <c r="I444" i="1"/>
  <c r="J14" i="1" s="1"/>
  <c r="G13" i="2" s="1"/>
  <c r="F14" i="2"/>
  <c r="C15" i="2"/>
  <c r="D15" i="2"/>
  <c r="H15" i="2" s="1"/>
  <c r="E15" i="2"/>
  <c r="F15" i="2"/>
  <c r="C16" i="2"/>
  <c r="H16" i="2" s="1"/>
  <c r="D16" i="2"/>
  <c r="E16" i="2"/>
  <c r="F16" i="2"/>
  <c r="I445" i="1"/>
  <c r="J17" i="1" s="1"/>
  <c r="C17" i="2"/>
  <c r="D17" i="2"/>
  <c r="E17" i="2"/>
  <c r="F17" i="2"/>
  <c r="I446" i="1"/>
  <c r="J18" i="1" s="1"/>
  <c r="G17" i="2" s="1"/>
  <c r="C21" i="2"/>
  <c r="H21" i="2" s="1"/>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H30" i="2" s="1"/>
  <c r="E30" i="2"/>
  <c r="F30" i="2"/>
  <c r="I452" i="1"/>
  <c r="J31" i="1" s="1"/>
  <c r="G30" i="2" s="1"/>
  <c r="C34" i="2"/>
  <c r="D34" i="2"/>
  <c r="H34" i="2" s="1"/>
  <c r="E34" i="2"/>
  <c r="F34" i="2"/>
  <c r="C35" i="2"/>
  <c r="H35" i="2" s="1"/>
  <c r="D35" i="2"/>
  <c r="E35" i="2"/>
  <c r="F35" i="2"/>
  <c r="I455" i="1"/>
  <c r="J49" i="1" s="1"/>
  <c r="G48" i="2" s="1"/>
  <c r="I457" i="1"/>
  <c r="J43" i="1" s="1"/>
  <c r="I458" i="1"/>
  <c r="J37" i="1" s="1"/>
  <c r="G36" i="2" s="1"/>
  <c r="I460" i="1"/>
  <c r="J48" i="1" s="1"/>
  <c r="G47" i="2" s="1"/>
  <c r="H47" i="2" s="1"/>
  <c r="C49" i="2"/>
  <c r="H49" i="2" s="1"/>
  <c r="F56" i="2"/>
  <c r="C58" i="2"/>
  <c r="H58" i="2" s="1"/>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E76" i="2"/>
  <c r="F76" i="2"/>
  <c r="C77" i="2"/>
  <c r="D77" i="2"/>
  <c r="E77" i="2"/>
  <c r="F77" i="2"/>
  <c r="G77" i="2"/>
  <c r="G78" i="2" s="1"/>
  <c r="C79" i="2"/>
  <c r="D79" i="2"/>
  <c r="E79" i="2"/>
  <c r="C80" i="2"/>
  <c r="E80" i="2"/>
  <c r="C85" i="2"/>
  <c r="F85" i="2"/>
  <c r="C87" i="2"/>
  <c r="E87" i="2"/>
  <c r="H87" i="2" s="1"/>
  <c r="F87" i="2"/>
  <c r="C89" i="2"/>
  <c r="D89" i="2"/>
  <c r="E89" i="2"/>
  <c r="F89" i="2"/>
  <c r="C90" i="2"/>
  <c r="C93" i="2"/>
  <c r="F93" i="2"/>
  <c r="C94" i="2"/>
  <c r="F94" i="2"/>
  <c r="D96" i="2"/>
  <c r="E96" i="2"/>
  <c r="F96" i="2"/>
  <c r="G96" i="2"/>
  <c r="H96" i="2" s="1"/>
  <c r="C97" i="2"/>
  <c r="D97" i="2"/>
  <c r="E97" i="2"/>
  <c r="F97" i="2"/>
  <c r="G97" i="2"/>
  <c r="C98" i="2"/>
  <c r="D98" i="2"/>
  <c r="E98" i="2"/>
  <c r="G98" i="2"/>
  <c r="C99" i="2"/>
  <c r="H99" i="2" s="1"/>
  <c r="D99" i="2"/>
  <c r="E99" i="2"/>
  <c r="F99" i="2"/>
  <c r="C100" i="2"/>
  <c r="D100" i="2"/>
  <c r="E100" i="2"/>
  <c r="F100" i="2"/>
  <c r="C101" i="2"/>
  <c r="D101" i="2"/>
  <c r="E101" i="2"/>
  <c r="F101" i="2"/>
  <c r="C102" i="2"/>
  <c r="D102" i="2"/>
  <c r="E102" i="2"/>
  <c r="F102" i="2"/>
  <c r="E111" i="2"/>
  <c r="D115" i="2"/>
  <c r="F115" i="2"/>
  <c r="G115"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4" i="1"/>
  <c r="H636" i="1"/>
  <c r="H637" i="1"/>
  <c r="H638" i="1"/>
  <c r="H639" i="1"/>
  <c r="G644" i="1"/>
  <c r="G645" i="1"/>
  <c r="G651" i="1"/>
  <c r="H653" i="1"/>
  <c r="G654" i="1"/>
  <c r="H654" i="1"/>
  <c r="H655" i="1"/>
  <c r="H656" i="1"/>
  <c r="I170" i="1"/>
  <c r="C110" i="2" l="1"/>
  <c r="M2" i="14"/>
  <c r="M3" i="14" s="1"/>
  <c r="H112" i="2"/>
  <c r="J652" i="1"/>
  <c r="D15" i="13"/>
  <c r="C15" i="13" s="1"/>
  <c r="G62" i="2"/>
  <c r="G646" i="1"/>
  <c r="J646" i="1" s="1"/>
  <c r="H11" i="2"/>
  <c r="H12" i="2"/>
  <c r="C121" i="2"/>
  <c r="H121" i="2" s="1"/>
  <c r="C120" i="2"/>
  <c r="H120" i="2" s="1"/>
  <c r="C119" i="2"/>
  <c r="D6" i="13"/>
  <c r="C6" i="13" s="1"/>
  <c r="L2" i="14"/>
  <c r="L3" i="14" s="1"/>
  <c r="C13" i="10"/>
  <c r="A40" i="12"/>
  <c r="K2" i="14"/>
  <c r="K3" i="14" s="1"/>
  <c r="H61" i="2"/>
  <c r="G477" i="1"/>
  <c r="G662" i="1"/>
  <c r="D29" i="13"/>
  <c r="C29" i="13" s="1"/>
  <c r="D78" i="2"/>
  <c r="H77" i="2"/>
  <c r="G409" i="1"/>
  <c r="H646" i="1" s="1"/>
  <c r="E119" i="2"/>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H103" i="2" s="1"/>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9" i="2" l="1"/>
  <c r="H91" i="2"/>
  <c r="H78" i="2"/>
  <c r="C81" i="2"/>
  <c r="H81" i="2" s="1"/>
  <c r="F194" i="1"/>
  <c r="G628" i="1" s="1"/>
  <c r="J628" i="1" s="1"/>
  <c r="D128" i="2"/>
  <c r="H127" i="2"/>
  <c r="I662" i="1"/>
  <c r="D63" i="2"/>
  <c r="H62" i="2"/>
  <c r="H50" i="2"/>
  <c r="D51" i="2"/>
  <c r="H31" i="2"/>
  <c r="H18" i="2"/>
  <c r="G144" i="2"/>
  <c r="G145" i="2" s="1"/>
  <c r="H134"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633" i="1" l="1"/>
  <c r="F473" i="1"/>
  <c r="H51" i="2"/>
  <c r="C104" i="2"/>
  <c r="H104" i="2" s="1"/>
  <c r="H63" i="2"/>
  <c r="D145" i="2"/>
  <c r="H128" i="2"/>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5" i="1" l="1"/>
  <c r="F477" i="1" s="1"/>
  <c r="H623" i="1" s="1"/>
  <c r="H633" i="1"/>
  <c r="J633" i="1" s="1"/>
  <c r="C145" i="2"/>
  <c r="H145" i="2" s="1"/>
  <c r="I670" i="1"/>
  <c r="I673" i="1" s="1"/>
  <c r="C7" i="10" s="1"/>
  <c r="F673" i="1"/>
  <c r="C4" i="10" s="1"/>
  <c r="I668" i="1"/>
  <c r="D28" i="10"/>
  <c r="D37" i="10"/>
  <c r="D36" i="10"/>
  <c r="D35" i="10"/>
  <c r="D40" i="10"/>
  <c r="D39" i="10"/>
  <c r="J623" i="1" l="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<sst xmlns="http://schemas.openxmlformats.org/spreadsheetml/2006/main" count="6560" uniqueCount="1815">
  <si>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</si>
  <si>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</si>
  <si>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</si>
  <si>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</si>
  <si>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</si>
  <si>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</si>
  <si>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</si>
  <si>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</si>
  <si>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</si>
  <si>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</si>
  <si>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</si>
  <si>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</si>
  <si>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</si>
  <si>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</si>
  <si>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</si>
  <si>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</si>
  <si>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</si>
  <si>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</si>
  <si>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</si>
  <si>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</si>
  <si>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</si>
  <si>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</si>
  <si>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</si>
  <si>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</si>
  <si>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</si>
  <si>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</si>
  <si>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</si>
  <si>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</si>
  <si>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</si>
  <si>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</si>
  <si>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</si>
  <si>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</si>
  <si>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</si>
  <si>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</si>
  <si>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</si>
  <si>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</si>
  <si>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</si>
  <si>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</si>
  <si>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</si>
  <si>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</si>
  <si>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</si>
  <si>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</si>
  <si>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</si>
  <si>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</si>
  <si>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</si>
  <si>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</si>
  <si>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</si>
  <si>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</si>
  <si>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</si>
  <si>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</si>
  <si>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</si>
  <si>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</si>
  <si>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</si>
  <si>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</si>
  <si>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</si>
  <si>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</si>
  <si>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</si>
  <si>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</si>
  <si>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</si>
  <si>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</si>
  <si>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</si>
  <si>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</si>
  <si>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</si>
  <si>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</si>
  <si>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</si>
  <si>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</si>
  <si>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</si>
  <si>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</si>
  <si>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</si>
  <si>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</si>
  <si>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</si>
  <si>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</si>
  <si>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</si>
  <si>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</si>
  <si>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</si>
  <si>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</si>
  <si>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</si>
  <si>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</si>
  <si>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</si>
  <si>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</si>
  <si>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</si>
  <si>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</si>
  <si>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</si>
  <si>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</si>
  <si>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</si>
  <si>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</si>
  <si>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</si>
  <si>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</si>
  <si>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</si>
  <si>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</si>
  <si>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</si>
  <si>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</si>
  <si>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</si>
  <si>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</si>
  <si>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</si>
  <si>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</si>
  <si>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</si>
  <si>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</si>
  <si>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</si>
  <si>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</si>
  <si>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</si>
  <si>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</si>
  <si>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</si>
  <si>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</si>
  <si>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</si>
  <si>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</si>
  <si>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</si>
  <si>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</si>
  <si>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</si>
  <si>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</si>
  <si>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</si>
  <si>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</si>
  <si>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</si>
  <si>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</si>
  <si>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</si>
  <si>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</si>
  <si>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</si>
  <si>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</si>
  <si>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</si>
  <si>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</si>
  <si>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</si>
  <si>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</si>
  <si>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</si>
  <si>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</si>
  <si>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</si>
  <si>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</si>
  <si>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</si>
  <si>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</si>
  <si>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</si>
  <si>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</si>
  <si>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</si>
  <si>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</si>
  <si>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</si>
  <si>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</si>
  <si>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</si>
  <si>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</si>
  <si>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</si>
  <si>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</si>
  <si>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</si>
  <si>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</si>
  <si>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</si>
  <si>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</si>
  <si>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</si>
  <si>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</si>
  <si>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</si>
  <si>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</si>
  <si>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</si>
  <si>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</si>
  <si>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</si>
  <si>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</si>
  <si>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</si>
  <si>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</si>
  <si>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</si>
  <si>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</si>
  <si>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</si>
  <si>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</si>
  <si>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</si>
  <si>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</si>
  <si>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</si>
  <si>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</si>
  <si>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</si>
  <si>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</si>
  <si>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</si>
  <si>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</si>
  <si>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</si>
  <si>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</si>
  <si>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</si>
  <si>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</si>
  <si>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</si>
  <si>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</si>
  <si>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</si>
  <si>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</si>
  <si>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</si>
  <si>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</si>
  <si>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</si>
  <si>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</si>
  <si>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</si>
  <si>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</si>
  <si>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</si>
  <si>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</si>
  <si>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</si>
  <si>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</si>
  <si>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</si>
  <si>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</si>
  <si>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</si>
  <si>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</si>
  <si>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</si>
  <si>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</si>
  <si>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</si>
  <si>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</si>
  <si>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</si>
  <si>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</si>
  <si>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</si>
  <si>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</si>
  <si>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</si>
  <si>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</si>
  <si>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</si>
  <si>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</si>
  <si>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</si>
  <si>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</si>
  <si>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</si>
  <si>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</si>
  <si>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</si>
  <si>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</si>
  <si>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</si>
  <si>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</si>
  <si>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</si>
  <si>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</si>
  <si>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</si>
  <si>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</si>
  <si>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</si>
  <si>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</si>
  <si>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</si>
  <si>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</si>
  <si>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</si>
  <si>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</si>
  <si>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</si>
  <si>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</si>
  <si>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</si>
  <si>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</si>
  <si>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</si>
  <si>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</si>
  <si>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</si>
  <si>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</si>
  <si>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</si>
  <si>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</si>
  <si>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</si>
  <si>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</si>
  <si>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</si>
  <si>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</si>
  <si>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</si>
  <si>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</si>
  <si>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</si>
  <si>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</si>
  <si>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</si>
  <si>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</si>
  <si>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</si>
  <si>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</si>
  <si>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</si>
  <si>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</si>
  <si>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</si>
  <si>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</si>
  <si>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</si>
  <si>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</si>
  <si>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</si>
  <si>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</si>
  <si>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</si>
  <si>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</si>
  <si>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</si>
  <si>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</si>
  <si>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</si>
  <si>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</si>
  <si>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</si>
  <si>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</si>
  <si>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</si>
  <si>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</si>
  <si>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</si>
  <si>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</si>
  <si>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</si>
  <si>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</si>
  <si>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</si>
  <si>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</si>
  <si>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</si>
  <si>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</si>
  <si>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</si>
  <si>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</si>
  <si>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</si>
  <si>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</si>
  <si>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</si>
  <si>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</si>
  <si>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</si>
  <si>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</si>
  <si>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</si>
  <si>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</si>
  <si>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</si>
  <si>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</si>
  <si>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</si>
  <si>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</si>
  <si>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</si>
  <si>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</si>
  <si>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</si>
  <si>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</si>
  <si>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</si>
  <si>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</si>
  <si>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</si>
  <si>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</si>
  <si>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</si>
  <si>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</si>
  <si>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</si>
  <si>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</si>
  <si>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</si>
  <si>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</si>
  <si>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</si>
  <si>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</si>
  <si>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</si>
  <si>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</si>
  <si>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</si>
  <si>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</si>
  <si>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</si>
  <si>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</si>
  <si>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</si>
  <si>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</si>
  <si>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</si>
  <si>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</si>
  <si>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</si>
  <si>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</si>
  <si>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</si>
  <si>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</si>
  <si>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</si>
  <si>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</si>
  <si>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</si>
  <si>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</si>
  <si>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</si>
  <si>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</si>
  <si>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</si>
  <si>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</si>
  <si>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</si>
  <si>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</si>
  <si>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</si>
  <si>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</si>
  <si>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</si>
  <si>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</si>
  <si>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</si>
  <si>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</si>
  <si>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</si>
  <si>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</si>
  <si>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</si>
  <si>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</si>
  <si>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</si>
  <si>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</si>
  <si>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</si>
  <si>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</si>
  <si>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</si>
  <si>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</si>
  <si>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</si>
  <si>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</si>
  <si>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</si>
  <si>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</si>
  <si>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</si>
  <si>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</si>
  <si>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</si>
  <si>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</si>
  <si>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</si>
  <si>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</si>
  <si>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</si>
  <si>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</si>
  <si>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</si>
  <si>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</si>
  <si>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</si>
  <si>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</si>
  <si>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</si>
  <si>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</si>
  <si>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</si>
  <si>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</si>
  <si>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</si>
  <si>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</si>
  <si>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</si>
  <si>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</si>
  <si>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</si>
  <si>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</si>
  <si>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</si>
  <si>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</si>
  <si>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</si>
  <si>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</si>
  <si>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</si>
  <si>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</si>
  <si>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</si>
  <si>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</si>
  <si>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</si>
  <si>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</si>
  <si>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</si>
  <si>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</si>
  <si>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</si>
  <si>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</si>
  <si>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</si>
  <si>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</si>
  <si>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</si>
  <si>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</si>
  <si>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</si>
  <si>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</si>
  <si>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</si>
  <si>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</si>
  <si>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</si>
  <si>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</si>
  <si>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</si>
  <si>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</si>
  <si>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</si>
  <si>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</si>
  <si>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</si>
  <si>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</si>
  <si>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</si>
  <si>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</si>
  <si>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</si>
  <si>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</si>
  <si>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</si>
  <si>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</si>
  <si>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</si>
  <si>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</si>
  <si>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</si>
  <si>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</si>
  <si>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</si>
  <si>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</si>
  <si>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</si>
  <si>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</si>
  <si>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</si>
  <si>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</si>
  <si>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</si>
  <si>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</si>
  <si>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</si>
  <si>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</si>
  <si>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</si>
  <si>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</si>
  <si>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</si>
  <si>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</si>
  <si>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</si>
  <si>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</si>
  <si>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</si>
  <si>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</si>
  <si>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</si>
  <si>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</si>
  <si>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</si>
  <si>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</si>
  <si>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</si>
  <si>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</si>
  <si>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</si>
  <si>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</si>
  <si>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</si>
  <si>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</si>
  <si>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</si>
  <si>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</si>
  <si>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</si>
  <si>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</si>
  <si>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</si>
  <si>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</si>
  <si>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</si>
  <si>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</si>
  <si>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</si>
  <si>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</si>
  <si>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</si>
  <si>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</si>
  <si>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</si>
  <si>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</si>
  <si>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</si>
  <si>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</si>
  <si>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</si>
  <si>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</si>
  <si>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</si>
  <si>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</si>
  <si>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</si>
  <si>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</si>
  <si>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</si>
  <si>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</si>
  <si>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</si>
  <si>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</si>
  <si>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</si>
  <si>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</si>
  <si>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</si>
  <si>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</si>
  <si>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</si>
  <si>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</si>
  <si>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</si>
  <si>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</si>
  <si>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</si>
  <si>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</si>
  <si>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</si>
  <si>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</si>
  <si>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</si>
  <si>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</si>
  <si>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</si>
  <si>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</si>
  <si>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</si>
  <si>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</si>
  <si>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</si>
  <si>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</si>
  <si>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</si>
  <si>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</si>
  <si>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</si>
  <si>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</si>
  <si>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</si>
  <si>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</si>
  <si>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</si>
  <si>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</si>
  <si>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</si>
  <si>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</si>
  <si>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</si>
  <si>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</si>
  <si>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</si>
  <si>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</si>
  <si>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</si>
  <si>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</si>
  <si>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</si>
  <si>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</si>
  <si>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</si>
  <si>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</si>
  <si>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</si>
  <si>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</si>
  <si>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</si>
  <si>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</si>
  <si>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</si>
  <si>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</si>
  <si>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</si>
  <si>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</si>
  <si>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</si>
  <si>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</si>
  <si>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</si>
  <si>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</si>
  <si>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</si>
  <si>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</si>
  <si>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</si>
  <si>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</si>
  <si>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</si>
  <si>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</si>
  <si>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</si>
  <si>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</si>
  <si>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</si>
  <si>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</si>
  <si>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</si>
  <si>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</si>
  <si>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</si>
  <si>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</si>
  <si>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</si>
  <si>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</si>
  <si>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</si>
  <si>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</si>
  <si>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</si>
  <si>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</si>
  <si>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</si>
  <si>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</si>
  <si>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</si>
  <si>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</si>
  <si>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</si>
  <si>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</si>
  <si>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</si>
  <si>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</si>
  <si>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</si>
  <si>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</si>
  <si>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</si>
  <si>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</si>
  <si>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</si>
  <si>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</si>
  <si>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</si>
  <si>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</si>
  <si>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</si>
  <si>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</si>
  <si>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</si>
  <si>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</si>
  <si>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</si>
  <si>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</si>
  <si>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</si>
  <si>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</si>
  <si>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</si>
  <si>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</si>
  <si>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</si>
  <si>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</si>
  <si>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</si>
  <si>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</si>
  <si>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</si>
  <si>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</si>
  <si>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</si>
  <si>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</si>
  <si>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</si>
  <si>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</si>
  <si>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</si>
  <si>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</si>
  <si>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</si>
  <si>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</si>
  <si>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</si>
  <si>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</si>
  <si>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</si>
  <si>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</si>
  <si>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</si>
  <si>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</si>
  <si>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</si>
  <si>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</si>
  <si>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</si>
  <si>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</si>
  <si>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</si>
  <si>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</si>
  <si>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</si>
  <si>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</si>
  <si>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</si>
  <si>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</si>
  <si>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</si>
  <si>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</si>
  <si>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</si>
  <si>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</si>
  <si>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</si>
  <si>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</si>
  <si>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</si>
  <si>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</si>
  <si>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</si>
  <si>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</si>
  <si>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</si>
  <si>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</si>
  <si>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</si>
  <si>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</si>
  <si>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</si>
  <si>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</si>
  <si>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</si>
  <si>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</si>
  <si>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</si>
  <si>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</si>
  <si>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</si>
  <si>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</si>
  <si>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</si>
  <si>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</si>
  <si>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</si>
  <si>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</si>
  <si>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</si>
  <si>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</si>
  <si>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</si>
  <si>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</si>
  <si>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</si>
  <si>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</si>
  <si>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</si>
  <si>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</si>
  <si>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</si>
  <si>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</si>
  <si>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</si>
  <si>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</si>
  <si>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</si>
  <si>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</si>
  <si>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</si>
  <si>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</si>
  <si>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</si>
  <si>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</si>
  <si>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</si>
  <si>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</si>
  <si>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</si>
  <si>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</si>
  <si>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</si>
  <si>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</si>
  <si>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</si>
  <si>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</si>
  <si>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</si>
  <si>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</si>
  <si>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</si>
  <si>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</si>
  <si>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</si>
  <si>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</si>
  <si>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</si>
  <si>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</si>
  <si>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</si>
  <si>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</si>
  <si>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</si>
  <si>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</si>
  <si>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</si>
  <si>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</si>
  <si>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</si>
  <si>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</si>
  <si>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</si>
  <si>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</si>
  <si>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</si>
  <si>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</si>
  <si>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</si>
  <si>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</si>
  <si>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</si>
  <si>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</si>
  <si>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</si>
  <si>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</si>
  <si>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</si>
  <si>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</si>
  <si>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</si>
  <si>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</si>
  <si>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</si>
  <si>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</si>
  <si>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</si>
  <si>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</si>
  <si>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</si>
  <si>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</si>
  <si>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</si>
  <si>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</si>
  <si>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</si>
  <si>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</si>
  <si>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</si>
  <si>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</si>
  <si>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</si>
  <si>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</si>
  <si>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</si>
  <si>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</si>
  <si>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</si>
  <si>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</si>
  <si>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</si>
  <si>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</si>
  <si>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</si>
  <si>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</si>
  <si>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</si>
  <si>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</si>
  <si>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</si>
  <si>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</si>
  <si>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</si>
  <si>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</si>
  <si>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</si>
  <si>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</si>
  <si>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</si>
  <si>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</si>
  <si>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</si>
  <si>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</si>
  <si>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</si>
  <si>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</si>
  <si>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</si>
  <si>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</si>
  <si>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</si>
  <si>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</si>
  <si>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</si>
  <si>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</si>
  <si>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</si>
  <si>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</si>
  <si>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</si>
  <si>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</si>
  <si>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</si>
  <si>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</si>
  <si>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</si>
  <si>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</si>
  <si>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</si>
  <si>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</si>
  <si>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</si>
  <si>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</si>
  <si>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</si>
  <si>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</si>
  <si>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</si>
  <si>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</si>
  <si>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</si>
  <si>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</si>
  <si>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</si>
  <si>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</si>
  <si>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</si>
  <si>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</si>
  <si>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</si>
  <si>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</si>
  <si>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</si>
  <si>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</si>
  <si>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</si>
  <si>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</si>
  <si>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</si>
  <si>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</si>
  <si>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</si>
  <si>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</si>
  <si>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</si>
  <si>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</si>
  <si>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</si>
  <si>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</si>
  <si>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</si>
  <si>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</si>
  <si>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</si>
  <si>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</si>
  <si>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</si>
  <si>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</si>
  <si>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</si>
  <si>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</si>
  <si>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</si>
  <si>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</si>
  <si>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</si>
  <si>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</si>
  <si>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</si>
  <si>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</si>
  <si>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</si>
  <si>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</si>
  <si>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</si>
  <si>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</si>
  <si>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</si>
  <si>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</si>
  <si>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</si>
  <si>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</si>
  <si>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</si>
  <si>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</si>
  <si>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</si>
  <si>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</si>
  <si>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</si>
  <si>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</si>
  <si>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</si>
  <si>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</si>
  <si>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</si>
  <si>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</si>
  <si>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</si>
  <si>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</si>
  <si>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</si>
  <si>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</si>
  <si>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</si>
  <si>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</si>
  <si>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</si>
  <si>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</si>
  <si>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</si>
  <si>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</si>
  <si>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</si>
  <si>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</si>
  <si>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</si>
  <si>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</si>
  <si>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</si>
  <si>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</si>
  <si>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</si>
  <si>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</si>
  <si>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</si>
  <si>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</si>
  <si>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</si>
  <si>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</si>
  <si>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</si>
  <si>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</si>
  <si>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</si>
  <si>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</si>
  <si>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</si>
  <si>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</si>
  <si>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</si>
  <si>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</si>
  <si>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</si>
  <si>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</si>
  <si>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</si>
  <si>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</si>
  <si>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</si>
  <si>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</si>
  <si>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</si>
  <si>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</si>
  <si>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</si>
  <si>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</si>
  <si>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</si>
  <si>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</si>
  <si>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</si>
  <si>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</si>
  <si>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</si>
  <si>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</si>
  <si>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</si>
  <si>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</si>
  <si>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</si>
  <si>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</si>
  <si>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</si>
  <si>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</si>
  <si>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</si>
  <si>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</si>
  <si>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</si>
  <si>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</si>
  <si>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</si>
  <si>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</si>
  <si>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</si>
  <si>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</si>
  <si>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</si>
  <si>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</si>
  <si>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</si>
  <si>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</si>
  <si>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</si>
  <si>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</si>
  <si>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</si>
  <si>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</si>
  <si>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</si>
  <si>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</si>
  <si>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</si>
  <si>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</si>
  <si>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</si>
  <si>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</si>
  <si>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</si>
  <si>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</si>
  <si>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</si>
  <si>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</si>
  <si>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</si>
  <si>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</si>
  <si>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</si>
  <si>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</si>
  <si>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</si>
  <si>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</si>
  <si>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</si>
  <si>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</si>
  <si>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</si>
  <si>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</si>
  <si>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</si>
  <si>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</si>
  <si>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</si>
  <si>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</si>
  <si>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</si>
  <si>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</si>
  <si>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</si>
  <si>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</si>
  <si>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</si>
  <si>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</si>
  <si>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</si>
  <si>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</si>
  <si>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</si>
  <si>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</si>
  <si>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</si>
  <si>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</si>
  <si>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</si>
  <si>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</si>
  <si>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</si>
  <si>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</si>
  <si>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</si>
  <si>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</si>
  <si>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</si>
  <si>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</si>
  <si>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</si>
  <si>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</si>
  <si>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</si>
  <si>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</si>
  <si>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</si>
  <si>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</si>
  <si>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</si>
  <si>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</si>
  <si>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</si>
  <si>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</si>
  <si>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</si>
  <si>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</si>
  <si>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</si>
  <si>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</si>
  <si>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</si>
  <si>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</si>
  <si>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</si>
  <si>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</si>
  <si>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</si>
  <si>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</si>
  <si>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</si>
  <si>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</si>
  <si>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</si>
  <si>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</si>
  <si>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</si>
  <si>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</si>
  <si>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</si>
  <si>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</si>
  <si>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</si>
  <si>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</si>
  <si>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</si>
  <si>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</si>
  <si>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</si>
  <si>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</si>
  <si>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</si>
  <si>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</si>
  <si>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</si>
  <si>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</si>
  <si>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</si>
  <si>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</si>
  <si>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</si>
  <si>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</si>
  <si>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</si>
  <si>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</si>
  <si>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</si>
  <si>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</si>
  <si>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</si>
  <si>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</si>
  <si>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</si>
  <si>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</si>
  <si>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</si>
  <si>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</si>
  <si>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</si>
  <si>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</si>
  <si>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</si>
  <si>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</si>
  <si>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</si>
  <si>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</si>
  <si>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</si>
  <si>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</si>
  <si>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</si>
  <si>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</si>
  <si>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</si>
  <si>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</si>
  <si>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</si>
  <si>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</si>
  <si>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</si>
  <si>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</si>
  <si>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</si>
  <si>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</si>
  <si>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</si>
  <si>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</si>
  <si>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</si>
  <si>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</si>
  <si>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</si>
  <si>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</si>
  <si>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</si>
  <si>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</si>
  <si>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</si>
  <si>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</si>
  <si>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</si>
  <si>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</si>
  <si>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</si>
  <si>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</si>
  <si>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</si>
  <si>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</si>
  <si>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</si>
  <si>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</si>
  <si>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</si>
  <si>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</si>
  <si>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</si>
  <si>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</si>
  <si>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</si>
  <si>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</si>
  <si>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</si>
  <si>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</si>
  <si>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</si>
  <si>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</si>
  <si>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</si>
  <si>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</si>
  <si>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</si>
  <si>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</si>
  <si>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</si>
  <si>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</si>
  <si>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</si>
  <si>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</si>
  <si>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</si>
  <si>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</si>
  <si>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</si>
  <si>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</si>
  <si>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</si>
  <si>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</si>
  <si>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</si>
  <si>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</si>
  <si>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</si>
  <si>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</si>
  <si>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</si>
  <si>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</si>
  <si>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</si>
  <si>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</si>
  <si>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</si>
  <si>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</si>
  <si>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</si>
  <si>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</si>
  <si>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</si>
  <si>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</si>
  <si>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</si>
  <si>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</si>
  <si>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</si>
  <si>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</si>
  <si>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</si>
  <si>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</si>
  <si>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</si>
  <si>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</si>
  <si>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</si>
  <si>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</si>
  <si>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</si>
  <si>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</si>
  <si>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</si>
  <si>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</si>
  <si>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</si>
  <si>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</si>
  <si>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</si>
  <si>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</si>
  <si>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</si>
  <si>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</si>
  <si>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</si>
  <si>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</si>
  <si>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</si>
  <si>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</si>
  <si>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</si>
  <si>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</si>
  <si>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</si>
  <si>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</si>
  <si>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</si>
  <si>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</si>
  <si>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</si>
  <si>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</si>
  <si>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</si>
  <si>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</si>
  <si>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</si>
  <si>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</si>
  <si>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</si>
  <si>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</si>
  <si>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</si>
  <si>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</si>
  <si>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</si>
  <si>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</si>
  <si>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</si>
  <si>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</si>
  <si>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</si>
  <si>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</si>
  <si>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</si>
  <si>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</si>
  <si>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</si>
  <si>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</si>
  <si>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</si>
  <si>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</si>
  <si>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</si>
  <si>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</si>
  <si>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</si>
  <si>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</si>
  <si>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</si>
  <si>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</si>
  <si>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</si>
  <si>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</si>
  <si>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</si>
  <si>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</si>
  <si>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</si>
  <si>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</si>
  <si>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</si>
  <si>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</si>
  <si>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</si>
  <si>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</si>
  <si>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</si>
  <si>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</si>
  <si>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</si>
  <si>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</si>
  <si>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</si>
  <si>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</si>
  <si>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</si>
  <si>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</si>
  <si>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</si>
  <si>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</si>
  <si>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</si>
  <si>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</si>
  <si>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</si>
  <si>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</si>
  <si>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</si>
  <si>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</si>
  <si>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</si>
  <si>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</si>
  <si>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</si>
  <si>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</si>
  <si>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</si>
  <si>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</si>
  <si>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</si>
  <si>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</si>
  <si>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</si>
  <si>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</si>
  <si>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</si>
  <si>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</si>
  <si>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</si>
  <si>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</si>
  <si>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</si>
  <si>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</si>
  <si>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</si>
  <si>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</si>
  <si>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</si>
  <si>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</si>
  <si>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</si>
  <si>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</si>
  <si>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</si>
  <si>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</si>
  <si>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</si>
  <si>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</si>
  <si>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</si>
  <si>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</si>
  <si>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</si>
  <si>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</si>
  <si>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</si>
  <si>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</si>
  <si>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</si>
  <si>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</si>
  <si>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</si>
  <si>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</si>
  <si>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</si>
  <si>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</si>
  <si>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</si>
  <si>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</si>
  <si>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</si>
  <si>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</si>
  <si>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</si>
  <si>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</si>
  <si>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</si>
  <si>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</si>
  <si>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</si>
  <si>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</si>
  <si>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</si>
  <si>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</si>
  <si>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</si>
  <si>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</si>
  <si>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</si>
  <si>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</si>
  <si>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</si>
  <si>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</si>
  <si>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</si>
  <si>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</si>
  <si>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</si>
  <si>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</si>
  <si>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</si>
  <si>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</si>
  <si>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</si>
  <si>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</si>
  <si>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</si>
  <si>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</si>
  <si>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</si>
  <si>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</si>
  <si>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</si>
  <si>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</si>
  <si>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</si>
  <si>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</si>
  <si>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</si>
  <si>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</si>
  <si>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</si>
  <si>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</si>
  <si>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</si>
  <si>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</si>
  <si>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</si>
  <si>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</si>
  <si>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</si>
  <si>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</si>
  <si>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</si>
  <si>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</si>
  <si>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</si>
  <si>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</si>
  <si>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</si>
  <si>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</si>
  <si>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</si>
  <si>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</si>
  <si>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</si>
  <si>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</si>
  <si>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</si>
  <si>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</si>
  <si>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</si>
  <si>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</si>
  <si>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</si>
  <si>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</si>
  <si>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</si>
  <si>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</si>
  <si>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</si>
  <si>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</si>
  <si>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</si>
  <si>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</si>
  <si>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</si>
  <si>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</si>
  <si>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</si>
  <si>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</si>
  <si>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</si>
  <si>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</si>
  <si>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</si>
  <si>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</si>
  <si>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</si>
  <si>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</si>
  <si>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</si>
  <si>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</si>
  <si>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</si>
  <si>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</si>
  <si>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</si>
  <si>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</si>
  <si>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</si>
  <si>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</si>
  <si>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</si>
  <si>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</si>
  <si>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</si>
  <si>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</si>
  <si>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</si>
  <si>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</si>
  <si>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</si>
  <si>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</si>
  <si>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</si>
  <si>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</si>
  <si>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</si>
  <si>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</si>
  <si>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</si>
  <si>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</si>
  <si>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</si>
  <si>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</si>
  <si>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</si>
  <si>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</si>
  <si>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</si>
  <si>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</si>
  <si>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</si>
  <si>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</si>
  <si>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</si>
  <si>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</si>
  <si>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</si>
  <si>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</si>
  <si>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</si>
  <si>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</si>
  <si>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</si>
  <si>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</si>
  <si>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</si>
  <si>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</si>
  <si>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</si>
  <si>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</si>
  <si>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</si>
  <si>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</si>
  <si>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</si>
  <si>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</si>
  <si>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</si>
  <si>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</si>
  <si>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</si>
  <si>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</si>
  <si>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</si>
  <si>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</si>
  <si>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</si>
  <si>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</si>
  <si>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</si>
  <si>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</si>
  <si>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</si>
  <si>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</si>
  <si>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</si>
  <si>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</si>
  <si>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</si>
  <si>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</si>
  <si>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</si>
  <si>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</si>
  <si>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</si>
  <si>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</si>
  <si>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</si>
  <si>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</si>
  <si>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</si>
  <si>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</si>
  <si>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</si>
  <si>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</si>
  <si>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</si>
  <si>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</si>
  <si>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</si>
  <si>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</si>
  <si>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</si>
  <si>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</si>
  <si>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</si>
  <si>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</si>
  <si>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</si>
  <si>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</si>
  <si>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</si>
  <si>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</si>
  <si>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</si>
  <si>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</si>
  <si>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</si>
  <si>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</si>
  <si>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</si>
  <si>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</si>
  <si>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</si>
  <si>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</si>
  <si>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</si>
  <si>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</si>
  <si>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</si>
  <si>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</si>
  <si>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</si>
  <si>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</si>
  <si>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</si>
  <si>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</si>
  <si>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</si>
  <si>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</si>
  <si>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</si>
  <si>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</si>
  <si>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</si>
  <si>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</si>
  <si>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</si>
  <si>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</si>
  <si>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</si>
  <si>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</si>
  <si>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</si>
  <si>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</si>
  <si>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</si>
  <si>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</si>
  <si>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</si>
  <si>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</si>
  <si>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</si>
  <si>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</si>
  <si>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</si>
  <si>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</si>
  <si>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</si>
  <si>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</si>
  <si>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</si>
  <si>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</si>
  <si>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</si>
  <si>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</si>
  <si>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</si>
  <si>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</si>
  <si>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</si>
  <si>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</si>
  <si>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</si>
  <si>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</si>
  <si>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</si>
  <si>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</si>
  <si>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</si>
  <si>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</si>
  <si>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</si>
  <si>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</si>
  <si>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</si>
  <si>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</si>
  <si>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</si>
  <si>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</si>
  <si>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</si>
  <si>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</si>
  <si>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</si>
  <si>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</si>
  <si>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</si>
  <si>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</si>
  <si>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</si>
  <si>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</si>
  <si>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</si>
  <si>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</si>
  <si>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</si>
  <si>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</si>
  <si>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</si>
  <si>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</si>
  <si>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</si>
  <si>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</si>
  <si>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</si>
  <si>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</si>
  <si>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</si>
  <si>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</si>
  <si>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</si>
  <si>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</si>
  <si>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</si>
  <si>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</si>
  <si>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</si>
  <si>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</si>
  <si>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</si>
  <si>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</si>
  <si>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</si>
  <si>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</si>
  <si>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</si>
  <si>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</si>
  <si>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</si>
  <si>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</si>
  <si>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</si>
  <si>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</si>
  <si>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</si>
  <si>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</si>
  <si>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</si>
  <si>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</si>
  <si>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</si>
  <si>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</si>
  <si>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</si>
  <si>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</si>
  <si>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</si>
  <si>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</si>
  <si>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</si>
  <si>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</si>
  <si>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</si>
  <si>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</si>
  <si>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</si>
  <si>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</si>
  <si>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</si>
  <si>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</si>
  <si>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</si>
  <si>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</si>
  <si>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</si>
  <si>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</si>
  <si>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</si>
  <si>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</si>
  <si>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</si>
  <si>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</si>
  <si>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</si>
  <si>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</si>
  <si>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</si>
  <si>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</si>
  <si>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</si>
  <si>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</si>
  <si>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</si>
  <si>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</si>
  <si>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</si>
  <si>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</si>
  <si>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</si>
  <si>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</si>
  <si>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</si>
  <si>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</si>
  <si>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</si>
  <si>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</si>
  <si>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</si>
  <si>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</si>
  <si>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</si>
  <si>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</si>
  <si>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</si>
  <si>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</si>
  <si>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</si>
  <si>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</si>
  <si>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</si>
  <si>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</si>
  <si>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</si>
  <si>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</si>
  <si>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</si>
  <si>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</si>
  <si>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</si>
  <si>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</si>
  <si>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</si>
  <si>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</si>
  <si>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</si>
  <si>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</si>
  <si>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</si>
  <si>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</si>
  <si>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</si>
  <si>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</si>
  <si>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</si>
  <si>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</si>
  <si>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</si>
  <si>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</si>
  <si>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</si>
  <si>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</si>
  <si>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</si>
  <si>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</si>
  <si>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</si>
  <si>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</si>
  <si>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</si>
  <si>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</si>
  <si>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</si>
  <si>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</si>
  <si>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</si>
  <si>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</si>
  <si>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</si>
  <si>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</si>
  <si>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</si>
  <si>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</si>
  <si>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</si>
  <si>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</si>
  <si>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</si>
  <si>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</si>
  <si>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</si>
  <si>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</si>
  <si>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</si>
  <si>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</si>
  <si>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</si>
  <si>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</si>
  <si>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</si>
  <si>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</si>
  <si>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</si>
  <si>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</si>
  <si>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</si>
  <si>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</si>
  <si>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</si>
  <si>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</si>
  <si>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</si>
  <si>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</si>
  <si>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</si>
  <si>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</si>
  <si>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</si>
  <si>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</si>
  <si>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</si>
  <si>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</si>
  <si>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</si>
  <si>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</si>
  <si>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</si>
  <si>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</si>
  <si>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</si>
  <si>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</si>
  <si>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</si>
  <si>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</si>
  <si>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</si>
  <si>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</si>
  <si>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</si>
  <si>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</si>
  <si>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</si>
  <si>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</si>
  <si>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</si>
  <si>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</si>
  <si>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</si>
  <si>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</si>
  <si>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</si>
  <si>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</si>
  <si>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</si>
  <si>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</si>
  <si>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</si>
  <si>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</si>
  <si>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</si>
  <si>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</si>
  <si>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</si>
  <si>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</si>
  <si>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</si>
  <si>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</si>
  <si>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</si>
  <si>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</si>
  <si>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</si>
  <si>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</si>
  <si>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</si>
  <si>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</si>
  <si>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</si>
  <si>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</si>
  <si>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</si>
  <si>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</si>
  <si>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</si>
  <si>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</si>
  <si>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</si>
  <si>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</si>
  <si>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</si>
  <si>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</si>
  <si>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</si>
  <si>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</si>
  <si>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</si>
  <si>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</si>
  <si>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</si>
  <si>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</si>
  <si>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</si>
  <si>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</si>
  <si>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</si>
  <si>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</si>
  <si>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</si>
  <si>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</si>
  <si>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</si>
  <si>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</si>
  <si>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</si>
  <si>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</si>
  <si>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</si>
  <si>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</si>
  <si>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</si>
  <si>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</si>
  <si>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</si>
  <si>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</si>
  <si>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</si>
  <si>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</si>
  <si>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</si>
  <si>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</si>
  <si>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</si>
  <si>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</si>
  <si>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</si>
  <si>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</si>
  <si>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</si>
  <si>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</si>
  <si>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</si>
  <si>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</si>
  <si>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</si>
  <si>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</si>
  <si>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</si>
  <si>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</si>
  <si>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</si>
  <si>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</si>
  <si>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</si>
  <si>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</si>
  <si>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</si>
  <si>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</si>
  <si>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</si>
  <si>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</si>
  <si>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</si>
  <si>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</si>
  <si>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</si>
  <si>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</si>
  <si>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</si>
  <si>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</si>
  <si>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</si>
  <si>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</si>
  <si>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</si>
  <si>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</si>
  <si>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</si>
  <si>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</si>
  <si>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</si>
  <si>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</si>
  <si>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</si>
  <si>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</si>
  <si>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</si>
  <si>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</si>
  <si>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</si>
  <si>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</si>
  <si>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</si>
  <si>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</si>
  <si>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</si>
  <si>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</si>
  <si>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</si>
  <si>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</si>
  <si>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</si>
  <si>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</si>
  <si>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</si>
  <si>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</si>
  <si>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</si>
  <si>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</si>
  <si>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</si>
  <si>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</si>
  <si>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</si>
  <si>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</si>
  <si>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</si>
  <si>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</si>
  <si>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</si>
  <si>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</si>
  <si>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</si>
  <si>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</si>
  <si>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</si>
  <si>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</si>
  <si>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</si>
  <si>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</si>
  <si>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</si>
  <si>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</si>
  <si>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</si>
  <si>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</si>
  <si>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</si>
  <si>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</si>
  <si>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</si>
  <si>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</si>
  <si>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</si>
  <si>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</si>
  <si>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</si>
  <si>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</si>
  <si>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</si>
  <si>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</si>
  <si>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</si>
  <si>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</si>
  <si>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</si>
  <si>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</si>
  <si>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</si>
  <si>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</si>
  <si>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</si>
  <si>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</si>
  <si>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</si>
  <si>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</si>
  <si>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</si>
  <si>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</si>
  <si>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</si>
  <si>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</si>
  <si>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</si>
  <si>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</si>
  <si>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</si>
  <si>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</si>
  <si>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</si>
  <si>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</si>
  <si>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</si>
  <si>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</si>
  <si>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</si>
  <si>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</si>
  <si>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</si>
  <si>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</si>
  <si>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</si>
  <si>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</si>
  <si>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</si>
  <si>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</si>
  <si>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</si>
  <si>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</si>
  <si>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</si>
  <si>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</si>
  <si>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</si>
  <si>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</si>
  <si>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</si>
  <si>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</si>
  <si>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</si>
  <si>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</si>
  <si>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</si>
  <si>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</si>
  <si>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</si>
  <si>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</si>
  <si>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</si>
  <si>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</si>
  <si>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</si>
  <si>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</si>
  <si>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</si>
  <si>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</si>
  <si>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</si>
  <si>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</si>
  <si>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</si>
  <si>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</si>
  <si>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</si>
  <si>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</si>
  <si>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</si>
  <si>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</si>
  <si>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</si>
  <si>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</si>
  <si>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</si>
  <si>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</si>
  <si>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</si>
  <si>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</si>
  <si>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</si>
  <si>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</si>
  <si>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</si>
  <si>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</si>
  <si>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</si>
  <si>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</si>
  <si>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</si>
  <si>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</si>
  <si>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</si>
  <si>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</si>
  <si>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</si>
  <si>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</si>
  <si>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</si>
  <si>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</si>
  <si>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</si>
  <si>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</si>
  <si>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</si>
  <si>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</si>
  <si>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</si>
  <si>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</si>
  <si>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</si>
  <si>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</si>
  <si>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</si>
  <si>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</si>
  <si>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</si>
  <si>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</si>
  <si>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</si>
  <si>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</si>
  <si>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</si>
  <si>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</si>
  <si>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</si>
  <si>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</si>
  <si>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</si>
  <si>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</si>
  <si>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</si>
  <si>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</si>
  <si>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</si>
  <si>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</si>
  <si>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</si>
  <si>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</si>
  <si>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</si>
  <si>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</si>
  <si>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</si>
  <si>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</si>
  <si>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</si>
  <si>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</si>
  <si>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</si>
  <si>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</si>
  <si>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</si>
  <si>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</si>
  <si>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</si>
  <si>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</si>
  <si>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</si>
  <si>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</si>
  <si>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</si>
  <si>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</si>
  <si>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</si>
  <si>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</si>
  <si>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</si>
  <si>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</si>
  <si>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</si>
  <si>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</si>
  <si>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</si>
  <si>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</si>
  <si>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</si>
  <si>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</si>
  <si>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</si>
  <si>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</si>
  <si>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</si>
  <si>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</si>
  <si>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</si>
  <si>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</si>
  <si>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</si>
  <si>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</si>
  <si>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</si>
  <si>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</si>
  <si>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</si>
  <si>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</si>
  <si>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</si>
  <si>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</si>
  <si>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</si>
  <si>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</si>
  <si>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</si>
  <si>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</si>
  <si>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</si>
  <si>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</si>
  <si>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</si>
  <si>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</si>
  <si>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</si>
  <si>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</si>
  <si>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</si>
  <si>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</si>
  <si>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</si>
  <si>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</si>
  <si>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</si>
  <si>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</si>
  <si>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8/2010</t>
  </si>
  <si>
    <t>8/2030</t>
  </si>
  <si>
    <t>Other State Revenue represents NHRS refund of Teacher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</si>
</sst>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1422</v>
      </c>
      <c r="B2">
        <f>INDEX('School Tables'!$AH$3:$AH$209,MATCH('DOE25'!A2,'School Tables'!$AJ$3:$AJ$209,0))</f>
        <v>507</v>
      </c>
      <c r="C2">
        <f>INDEX('School Tables'!$AI$3:$AI$209,MATCH('DOE25'!A2,'School Tables'!$AJ$3:$AJ$209,0))</f>
        <v>507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1803469.26</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544920.31000000006</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131852.84</v>
      </c>
      <c r="G12" s="18">
        <f>473625.33-445702.77</f>
        <v>27922.559999999998</v>
      </c>
      <c r="H12" s="18">
        <v>131852.84</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165478.32</v>
      </c>
      <c r="G13" s="18">
        <v>14302.67</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4713</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5330</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124</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2100924.42</v>
      </c>
      <c r="G19" s="38">
        <f>SUM(G9:G18)</f>
        <v>52268.229999999996</v>
      </c>
      <c r="H19" s="38">
        <f>SUM(H9:H18)</f>
        <v>131852.84</v>
      </c>
      <c r="I19" s="38">
        <f>SUM(I9:I18)</f>
        <v>0</v>
      </c>
      <c r="J19" s="38">
        <f>SUM(J9:J18)</f>
        <v>544920.31000000006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27922.560000000001</v>
      </c>
      <c r="G22" s="18"/>
      <c r="H22" s="18">
        <v>131852.84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1202323.14+40732.99</f>
        <v>1243056.1299999999</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207538.38</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v>5430.49</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1478517.0699999998</v>
      </c>
      <c r="G32" s="38">
        <f>SUM(G22:G31)</f>
        <v>5430.49</v>
      </c>
      <c r="H32" s="38">
        <f>SUM(H22:H31)</f>
        <v>131852.84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5330</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124</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-0.49+41508.23</f>
        <v>41507.740000000005</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72555</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544920.31000000006</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2100924.42-1601196.07</f>
        <v>499728.34999999986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622407.34999999986</v>
      </c>
      <c r="G51" s="38">
        <f>SUM(G35:G50)</f>
        <v>46837.740000000005</v>
      </c>
      <c r="H51" s="38">
        <f>SUM(H35:H50)</f>
        <v>0</v>
      </c>
      <c r="I51" s="38">
        <f>SUM(I35:I50)</f>
        <v>0</v>
      </c>
      <c r="J51" s="38">
        <f>SUM(J35:J50)</f>
        <v>544920.31000000006</v>
      </c>
      <c r="K51" s="42" t="s">
        <v>288</v>
      </c>
      <c r="L51" s="42" t="s">
        <v>288</v>
      </c>
      <c r="N51" s="131"/>
    </row>
    <row r="52" spans="1:14" s="3" customFormat="1" ht="12.2" customHeight="1" thickTop="1" x14ac:dyDescent="0.15">
      <c r="A52" s="35" t="s">
        <v>455</v>
      </c>
      <c r="B52" s="36" t="s">
        <v>289</v>
      </c>
      <c r="C52" s="6">
        <v>37</v>
      </c>
      <c r="D52" s="36" t="s">
        <v>653</v>
      </c>
      <c r="E52" s="36"/>
      <c r="F52" s="38">
        <f>F51+F32</f>
        <v>2100924.42</v>
      </c>
      <c r="G52" s="38">
        <f>G51+G32</f>
        <v>52268.23</v>
      </c>
      <c r="H52" s="38">
        <f>H51+H32</f>
        <v>131852.84</v>
      </c>
      <c r="I52" s="38">
        <f>I51+I32</f>
        <v>0</v>
      </c>
      <c r="J52" s="38">
        <f>J51+J32</f>
        <v>544920.31000000006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7909260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7909260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15419.95</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15419.95</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9175</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9175</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31669.17</v>
      </c>
      <c r="G96" s="18"/>
      <c r="H96" s="18"/>
      <c r="I96" s="18"/>
      <c r="J96" s="18">
        <v>19416.080000000002</v>
      </c>
      <c r="K96" s="23" t="s">
        <v>288</v>
      </c>
      <c r="L96" s="23" t="s">
        <v>288</v>
      </c>
      <c r="M96" s="8"/>
      <c r="N96" s="165"/>
    </row>
    <row r="97" spans="1:14" s="3" customFormat="1" ht="12.2" customHeight="1" x14ac:dyDescent="0.15">
      <c r="A97" s="1" t="s">
        <v>503</v>
      </c>
      <c r="B97" s="2" t="s">
        <v>315</v>
      </c>
      <c r="C97" s="6">
        <v>12</v>
      </c>
      <c r="D97" s="2" t="s">
        <v>430</v>
      </c>
      <c r="E97" s="6">
        <v>1600</v>
      </c>
      <c r="F97" s="23" t="s">
        <v>288</v>
      </c>
      <c r="G97" s="18">
        <f>-2341.27+107442.71</f>
        <v>105101.44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60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10025.29+2465</f>
        <v>12490.29</v>
      </c>
      <c r="G110" s="18">
        <f>704.75+599.96</f>
        <v>1304.71</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44219.46</v>
      </c>
      <c r="G111" s="38">
        <f>SUM(G96:G110)</f>
        <v>106406.15000000001</v>
      </c>
      <c r="H111" s="38">
        <f>SUM(H96:H110)</f>
        <v>0</v>
      </c>
      <c r="I111" s="38">
        <f>SUM(I96:I110)</f>
        <v>0</v>
      </c>
      <c r="J111" s="38">
        <f>SUM(J96:J110)</f>
        <v>19416.080000000002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7978074.4100000001</v>
      </c>
      <c r="G112" s="38">
        <f>G60+G111</f>
        <v>106406.15000000001</v>
      </c>
      <c r="H112" s="38">
        <f>H60+H79+H94+H111</f>
        <v>0</v>
      </c>
      <c r="I112" s="38">
        <f>I60+I111</f>
        <v>0</v>
      </c>
      <c r="J112" s="38">
        <f>J60+J111</f>
        <v>19416.080000000002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2520439.23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805900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35091.230000000003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3361430.46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84982.5</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13806.81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2970.63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98789.31</v>
      </c>
      <c r="G136" s="38">
        <f>SUM(G123:G135)</f>
        <v>2970.63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3460219.77</v>
      </c>
      <c r="G140" s="38">
        <f>G121+SUM(G136:G137)</f>
        <v>2970.63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10250</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68443.04+48093.27</f>
        <v>116536.31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4400+948</f>
        <v>5348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90276.41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24124.02+52277.8</f>
        <v>76401.820000000007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f>35608.69+64.86</f>
        <v>35673.550000000003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19182.84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35673.550000000003</v>
      </c>
      <c r="G163" s="38">
        <f>SUM(G150:G162)</f>
        <v>90276.41</v>
      </c>
      <c r="H163" s="38">
        <f>SUM(H150:H162)</f>
        <v>227718.97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35673.550000000003</v>
      </c>
      <c r="G170" s="38">
        <f>G147+G163+SUM(G164:G169)</f>
        <v>90276.41</v>
      </c>
      <c r="H170" s="38">
        <f>H147+H163+SUM(H164:H169)</f>
        <v>227718.97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26544.67</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26544.67</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26544.67</v>
      </c>
      <c r="G193" s="38">
        <f>G184+SUM(G189:G192)</f>
        <v>0</v>
      </c>
      <c r="H193" s="38">
        <f>+H184+SUM(H189:H192)</f>
        <v>0</v>
      </c>
      <c r="I193" s="38">
        <f>I178+I184+SUM(I189:I192)</f>
        <v>0</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11500512.4</v>
      </c>
      <c r="G194" s="38">
        <f>G112+G140+G170+G193</f>
        <v>199653.19</v>
      </c>
      <c r="H194" s="38">
        <f>H112+H140+H170+H193</f>
        <v>227718.97</v>
      </c>
      <c r="I194" s="38">
        <f>I112+I140+I170+I193</f>
        <v>0</v>
      </c>
      <c r="J194" s="38">
        <f>J112+J140+J193</f>
        <v>69416.08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1530728.56+94608.05+83794.88+90</f>
        <v>1709221.4900000002</v>
      </c>
      <c r="G198" s="18">
        <f>456518.74+5000+13425.55+865.44+103.66+139164.4+14457.91+330748.89+12445.26+207538.38</f>
        <v>1180268.23</v>
      </c>
      <c r="H198" s="18">
        <f>1377.09</f>
        <v>1377.09</v>
      </c>
      <c r="I198" s="18">
        <v>45774.68</v>
      </c>
      <c r="J198" s="18">
        <v>19.989999999999998</v>
      </c>
      <c r="K198" s="18"/>
      <c r="L198" s="13">
        <f>SUM(F198:K198)</f>
        <v>2936661.4800000004</v>
      </c>
      <c r="M198" s="8"/>
      <c r="N198" s="165"/>
    </row>
    <row r="199" spans="1:14" s="3" customFormat="1" ht="12.2" customHeight="1" x14ac:dyDescent="0.15">
      <c r="A199" s="1" t="s">
        <v>439</v>
      </c>
      <c r="B199" s="2" t="s">
        <v>341</v>
      </c>
      <c r="C199" s="2" t="s">
        <v>291</v>
      </c>
      <c r="D199" s="2" t="s">
        <v>431</v>
      </c>
      <c r="E199" s="6">
        <v>1200</v>
      </c>
      <c r="F199" s="18">
        <f>168002.46+394821.4+5480.08+990+16420+7365.94</f>
        <v>593079.87999999989</v>
      </c>
      <c r="G199" s="18">
        <f>311619.43+0</f>
        <v>311619.43</v>
      </c>
      <c r="H199" s="18">
        <f>735</f>
        <v>735</v>
      </c>
      <c r="I199" s="18">
        <f>1152.98+9+390.88+2908.99</f>
        <v>4461.8500000000004</v>
      </c>
      <c r="J199" s="18">
        <v>1034</v>
      </c>
      <c r="K199" s="18"/>
      <c r="L199" s="13">
        <f>SUM(F199:K199)</f>
        <v>910930.1599999998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13245.14+450+3867.22+4150+9016.02</f>
        <v>30728.38</v>
      </c>
      <c r="G201" s="18">
        <f>1096.52+30.57+786.3+317.48+48.17+484.63+184.88+945.9</f>
        <v>3894.4500000000003</v>
      </c>
      <c r="H201" s="18">
        <f>6120+244.1</f>
        <v>6364.1</v>
      </c>
      <c r="I201" s="18">
        <v>61.31</v>
      </c>
      <c r="J201" s="18"/>
      <c r="K201" s="18">
        <v>157.58000000000001</v>
      </c>
      <c r="L201" s="13">
        <f>SUM(F201:K201)</f>
        <v>41205.82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65092.61+44845.68+1495+131556</f>
        <v>242989.29</v>
      </c>
      <c r="G203" s="18">
        <f>8649.61+458.16+39.6+4869.9+9135.6+218.12+19666.38+458.16+6.6+20.1+2953.89+9378.94+145.41+39475.27+919.64+46.2+9088.48+26674.26+290.83</f>
        <v>132495.15</v>
      </c>
      <c r="H203" s="18">
        <f>500+6571.65+41491.03+1565+1839.99+34291.73+63883.17+901.17+18677.52+16.79</f>
        <v>169738.05000000002</v>
      </c>
      <c r="I203" s="18">
        <f>245.22+270+1969.75+2689.88+2623.93+525.5</f>
        <v>8324.2800000000007</v>
      </c>
      <c r="J203" s="18">
        <f>13.45+10656.96</f>
        <v>10670.41</v>
      </c>
      <c r="K203" s="18"/>
      <c r="L203" s="13">
        <f t="shared" ref="L203:L209" si="0">SUM(F203:K203)</f>
        <v>564217.18000000005</v>
      </c>
      <c r="M203" s="8"/>
      <c r="N203" s="165"/>
    </row>
    <row r="204" spans="1:14" s="3" customFormat="1" ht="12.2" customHeight="1" x14ac:dyDescent="0.15">
      <c r="A204" s="1" t="s">
        <v>443</v>
      </c>
      <c r="B204" s="2" t="s">
        <v>341</v>
      </c>
      <c r="C204" s="2" t="s">
        <v>295</v>
      </c>
      <c r="D204" s="2" t="s">
        <v>431</v>
      </c>
      <c r="E204" s="6">
        <v>2200</v>
      </c>
      <c r="F204" s="18">
        <f>825+625+70883.7+80203.28</f>
        <v>152536.97999999998</v>
      </c>
      <c r="G204" s="18">
        <f>136.58+226.99+8880.99+9777.82+517.92+39.6+5282.94+14856.66+145.41+33134.36+1881.6+52.8+6134.52+11274.48+145.42</f>
        <v>92488.09</v>
      </c>
      <c r="H204" s="18">
        <f>11846.46+219+33391.67</f>
        <v>45457.13</v>
      </c>
      <c r="I204" s="18">
        <f>361.97+439.01+5049.53+109+1943.74+42642.3</f>
        <v>50545.55</v>
      </c>
      <c r="J204" s="18">
        <v>77490.02</v>
      </c>
      <c r="K204" s="18"/>
      <c r="L204" s="13">
        <f t="shared" si="0"/>
        <v>418517.76999999996</v>
      </c>
      <c r="M204" s="8"/>
      <c r="N204" s="165"/>
    </row>
    <row r="205" spans="1:14" s="3" customFormat="1" ht="12.2" customHeight="1" x14ac:dyDescent="0.15">
      <c r="A205" s="1" t="s">
        <v>444</v>
      </c>
      <c r="B205" s="2" t="s">
        <v>341</v>
      </c>
      <c r="C205" s="2" t="s">
        <v>296</v>
      </c>
      <c r="D205" s="2" t="s">
        <v>431</v>
      </c>
      <c r="E205" s="6">
        <v>2300</v>
      </c>
      <c r="F205" s="18">
        <f>10000+2400+2700+5478+64450.36+11044.3+91856.09+42733.54</f>
        <v>230662.29</v>
      </c>
      <c r="G205" s="18">
        <f>765+344.25+397.8+5740.73-804.3+7535.68+436.24+11395.54+776.88+132+8690.52+2987.32+19296.42+290.83</f>
        <v>57984.91</v>
      </c>
      <c r="H205" s="18">
        <f>5831.82+260.36+76793.23+5109+31391.56+244.14+28.75+723</f>
        <v>120381.85999999999</v>
      </c>
      <c r="I205" s="18">
        <f>558.64+10923.58</f>
        <v>11482.22</v>
      </c>
      <c r="J205" s="18"/>
      <c r="K205" s="18">
        <f>4081.3+7809.11+14143.38</f>
        <v>26033.79</v>
      </c>
      <c r="L205" s="13">
        <f t="shared" si="0"/>
        <v>446545.06999999995</v>
      </c>
      <c r="M205" s="8"/>
      <c r="N205" s="165"/>
    </row>
    <row r="206" spans="1:14" s="3" customFormat="1" ht="12.2" customHeight="1" x14ac:dyDescent="0.15">
      <c r="A206" s="1" t="s">
        <v>445</v>
      </c>
      <c r="B206" s="2" t="s">
        <v>341</v>
      </c>
      <c r="C206" s="2" t="s">
        <v>297</v>
      </c>
      <c r="D206" s="2" t="s">
        <v>431</v>
      </c>
      <c r="E206" s="6">
        <v>2400</v>
      </c>
      <c r="F206" s="18">
        <f>94916.03+73072.9+100203.11</f>
        <v>268192.03999999998</v>
      </c>
      <c r="G206" s="18">
        <f>103469.56+500+4371.45+283.8+5.16+19640.05+8886.59+38213.77+581.66</f>
        <v>175952.04</v>
      </c>
      <c r="H206" s="18">
        <f>599+5585.05+399.77+294.65+210.8+280.23+1379+279.59</f>
        <v>9028.09</v>
      </c>
      <c r="I206" s="18"/>
      <c r="J206" s="18"/>
      <c r="K206" s="18"/>
      <c r="L206" s="13">
        <f t="shared" si="0"/>
        <v>453172.17</v>
      </c>
      <c r="M206" s="8"/>
      <c r="N206" s="165"/>
    </row>
    <row r="207" spans="1:14" s="3" customFormat="1" ht="12.2" customHeight="1" x14ac:dyDescent="0.15">
      <c r="A207" s="1" t="s">
        <v>446</v>
      </c>
      <c r="B207" s="2" t="s">
        <v>341</v>
      </c>
      <c r="C207" s="2" t="s">
        <v>298</v>
      </c>
      <c r="D207" s="2" t="s">
        <v>431</v>
      </c>
      <c r="E207" s="6">
        <v>2500</v>
      </c>
      <c r="F207" s="18">
        <f>47800.05+18832.89</f>
        <v>66632.94</v>
      </c>
      <c r="G207" s="18">
        <f>13873.15+663.81+20.94+5526.18+1018.12+3418.77</f>
        <v>24520.97</v>
      </c>
      <c r="H207" s="18">
        <f>296.25+19382.61</f>
        <v>19678.86</v>
      </c>
      <c r="I207" s="18">
        <v>3302.5</v>
      </c>
      <c r="J207" s="18"/>
      <c r="K207" s="18">
        <v>200</v>
      </c>
      <c r="L207" s="13">
        <f t="shared" si="0"/>
        <v>114335.27</v>
      </c>
      <c r="M207" s="8"/>
      <c r="N207" s="165"/>
    </row>
    <row r="208" spans="1:14" s="3" customFormat="1" ht="12.2" customHeight="1" x14ac:dyDescent="0.15">
      <c r="A208" s="1" t="s">
        <v>447</v>
      </c>
      <c r="B208" s="2" t="s">
        <v>341</v>
      </c>
      <c r="C208" s="2" t="s">
        <v>299</v>
      </c>
      <c r="D208" s="2" t="s">
        <v>431</v>
      </c>
      <c r="E208" s="6">
        <v>2600</v>
      </c>
      <c r="F208" s="18">
        <f>63498.55+92149.97+967.5+938+1214.85</f>
        <v>158768.87000000002</v>
      </c>
      <c r="G208" s="18">
        <f>11253.08+465.36+5.96+13.63+8988.92+1015.54+6642.81+218.12</f>
        <v>28603.42</v>
      </c>
      <c r="H208" s="18">
        <f>35303.61+86176.93+10349.11+8388.2+16180+3180+19266.43+101.38+25365+25197.22+6436.04+182.61+264+8505+5205.03</f>
        <v>250100.56</v>
      </c>
      <c r="I208" s="18">
        <f>12435.62+235.25+18.98+175.27+1655.46+67277.73+38781.22</f>
        <v>120579.53</v>
      </c>
      <c r="J208" s="18">
        <f>4858.74+28006.3+4763.99</f>
        <v>37629.03</v>
      </c>
      <c r="K208" s="18"/>
      <c r="L208" s="13">
        <f t="shared" si="0"/>
        <v>595681.41</v>
      </c>
      <c r="M208" s="8"/>
      <c r="N208" s="165"/>
    </row>
    <row r="209" spans="1:14" s="3" customFormat="1" ht="12.2" customHeight="1" x14ac:dyDescent="0.15">
      <c r="A209" s="1" t="s">
        <v>448</v>
      </c>
      <c r="B209" s="2" t="s">
        <v>341</v>
      </c>
      <c r="C209" s="2" t="s">
        <v>300</v>
      </c>
      <c r="D209" s="2" t="s">
        <v>431</v>
      </c>
      <c r="E209" s="6">
        <v>2700</v>
      </c>
      <c r="F209" s="18"/>
      <c r="G209" s="18"/>
      <c r="H209" s="18">
        <f>-35718.46-38138.5+640197.05</f>
        <v>566340.09000000008</v>
      </c>
      <c r="I209" s="18"/>
      <c r="J209" s="18"/>
      <c r="K209" s="18"/>
      <c r="L209" s="13">
        <f t="shared" si="0"/>
        <v>566340.09000000008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3452812.16</v>
      </c>
      <c r="G212" s="38">
        <f t="shared" si="1"/>
        <v>2007826.6899999997</v>
      </c>
      <c r="H212" s="38">
        <f t="shared" si="1"/>
        <v>1189200.83</v>
      </c>
      <c r="I212" s="38">
        <f t="shared" si="1"/>
        <v>244531.91999999998</v>
      </c>
      <c r="J212" s="38">
        <f t="shared" si="1"/>
        <v>126843.45</v>
      </c>
      <c r="K212" s="38">
        <f t="shared" si="1"/>
        <v>26391.370000000003</v>
      </c>
      <c r="L212" s="38">
        <f t="shared" si="1"/>
        <v>7047606.419999999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40412.7+3728029.84</f>
        <v>3768442.54</v>
      </c>
      <c r="I234" s="18"/>
      <c r="J234" s="18"/>
      <c r="K234" s="18"/>
      <c r="L234" s="13">
        <f>SUM(F234:K234)</f>
        <v>3768442.54</v>
      </c>
      <c r="M234" s="8"/>
      <c r="N234" s="165"/>
    </row>
    <row r="235" spans="1:14" s="3" customFormat="1" ht="12.2" customHeight="1" x14ac:dyDescent="0.15">
      <c r="A235" s="1" t="s">
        <v>439</v>
      </c>
      <c r="B235" s="2" t="s">
        <v>350</v>
      </c>
      <c r="C235" s="2" t="s">
        <v>291</v>
      </c>
      <c r="D235" s="2" t="s">
        <v>431</v>
      </c>
      <c r="E235" s="6">
        <v>1200</v>
      </c>
      <c r="F235" s="18">
        <v>139689.13</v>
      </c>
      <c r="G235" s="18"/>
      <c r="H235" s="18">
        <f>252211.36+57879+115690.3</f>
        <v>425780.66</v>
      </c>
      <c r="I235" s="18"/>
      <c r="J235" s="18"/>
      <c r="K235" s="18"/>
      <c r="L235" s="13">
        <f>SUM(F235:K235)</f>
        <v>565469.79</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35718.46+38138.5</f>
        <v>73856.959999999992</v>
      </c>
      <c r="I245" s="18"/>
      <c r="J245" s="18"/>
      <c r="K245" s="18"/>
      <c r="L245" s="13">
        <f t="shared" si="4"/>
        <v>73856.959999999992</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139689.13</v>
      </c>
      <c r="G248" s="38">
        <f t="shared" si="5"/>
        <v>0</v>
      </c>
      <c r="H248" s="38">
        <f t="shared" si="5"/>
        <v>4268080.16</v>
      </c>
      <c r="I248" s="38">
        <f t="shared" si="5"/>
        <v>0</v>
      </c>
      <c r="J248" s="38">
        <f t="shared" si="5"/>
        <v>0</v>
      </c>
      <c r="K248" s="38">
        <f t="shared" si="5"/>
        <v>0</v>
      </c>
      <c r="L248" s="38">
        <f t="shared" si="5"/>
        <v>4407769.29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3592501.29</v>
      </c>
      <c r="G258" s="38">
        <f t="shared" si="8"/>
        <v>2007826.6899999997</v>
      </c>
      <c r="H258" s="38">
        <f t="shared" si="8"/>
        <v>5457280.9900000002</v>
      </c>
      <c r="I258" s="38">
        <f t="shared" si="8"/>
        <v>244531.91999999998</v>
      </c>
      <c r="J258" s="38">
        <f t="shared" si="8"/>
        <v>126843.45</v>
      </c>
      <c r="K258" s="38">
        <f t="shared" si="8"/>
        <v>26391.370000000003</v>
      </c>
      <c r="L258" s="38">
        <f t="shared" si="8"/>
        <v>11455375.709999999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265000</v>
      </c>
      <c r="L261" s="13">
        <f>SUM(F261:K261)</f>
        <v>265000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121524.5</v>
      </c>
      <c r="L262" s="13">
        <f>SUM(F262:K262)</f>
        <v>121524.5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436524.5</v>
      </c>
      <c r="L271" s="38">
        <f t="shared" si="9"/>
        <v>436524.5</v>
      </c>
      <c r="M271" s="8"/>
      <c r="N271" s="165"/>
    </row>
    <row r="272" spans="1:14" s="33" customFormat="1" ht="12.2" customHeight="1" thickTop="1" x14ac:dyDescent="0.2">
      <c r="A272" s="40" t="s">
        <v>464</v>
      </c>
      <c r="B272" s="37">
        <v>10</v>
      </c>
      <c r="C272" s="37">
        <v>18</v>
      </c>
      <c r="D272" s="36" t="s">
        <v>431</v>
      </c>
      <c r="E272" s="37"/>
      <c r="F272" s="39">
        <f t="shared" ref="F272:L272" si="11">F258+F271</f>
        <v>3592501.29</v>
      </c>
      <c r="G272" s="39">
        <f t="shared" si="11"/>
        <v>2007826.6899999997</v>
      </c>
      <c r="H272" s="39">
        <f t="shared" si="11"/>
        <v>5457280.9900000002</v>
      </c>
      <c r="I272" s="39">
        <f t="shared" si="11"/>
        <v>244531.91999999998</v>
      </c>
      <c r="J272" s="39">
        <f t="shared" si="11"/>
        <v>126843.45</v>
      </c>
      <c r="K272" s="39">
        <f t="shared" si="11"/>
        <v>462915.87</v>
      </c>
      <c r="L272" s="39">
        <f t="shared" si="11"/>
        <v>11891900.209999999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f>68443.04+1000</f>
        <v>69443.039999999994</v>
      </c>
      <c r="I277" s="18"/>
      <c r="J277" s="18"/>
      <c r="K277" s="18"/>
      <c r="L277" s="13">
        <f>SUM(F277:K277)</f>
        <v>69443.039999999994</v>
      </c>
      <c r="M277" s="8"/>
      <c r="N277" s="165"/>
    </row>
    <row r="278" spans="1:14" s="3" customFormat="1" ht="12.2" customHeight="1" x14ac:dyDescent="0.15">
      <c r="A278" s="1" t="s">
        <v>439</v>
      </c>
      <c r="B278" s="2" t="s">
        <v>357</v>
      </c>
      <c r="C278" s="2" t="s">
        <v>291</v>
      </c>
      <c r="D278" s="2" t="s">
        <v>431</v>
      </c>
      <c r="E278" s="6">
        <v>1200</v>
      </c>
      <c r="F278" s="18"/>
      <c r="G278" s="18"/>
      <c r="H278" s="18">
        <f>2556+1059+77936.99+3101.28+0+600-16577.51</f>
        <v>68675.760000000009</v>
      </c>
      <c r="I278" s="18"/>
      <c r="J278" s="18">
        <f>1750+1260</f>
        <v>3010</v>
      </c>
      <c r="K278" s="18"/>
      <c r="L278" s="13">
        <f>SUM(F278:K278)</f>
        <v>71685.760000000009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5100</v>
      </c>
      <c r="G280" s="18">
        <v>113.51</v>
      </c>
      <c r="H280" s="18"/>
      <c r="I280" s="18"/>
      <c r="J280" s="18"/>
      <c r="K280" s="18"/>
      <c r="L280" s="13">
        <f>SUM(F280:K280)</f>
        <v>5213.51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4400</v>
      </c>
      <c r="G283" s="18"/>
      <c r="H283" s="18"/>
      <c r="I283" s="18"/>
      <c r="J283" s="18"/>
      <c r="K283" s="18"/>
      <c r="L283" s="13">
        <f t="shared" si="12"/>
        <v>4400</v>
      </c>
      <c r="M283" s="8"/>
      <c r="N283" s="165"/>
    </row>
    <row r="284" spans="1:14" s="3" customFormat="1" ht="12.2" customHeight="1" x14ac:dyDescent="0.15">
      <c r="A284" s="1" t="s">
        <v>444</v>
      </c>
      <c r="B284" s="2" t="s">
        <v>357</v>
      </c>
      <c r="C284" s="2" t="s">
        <v>296</v>
      </c>
      <c r="D284" s="2" t="s">
        <v>431</v>
      </c>
      <c r="E284" s="6">
        <v>2300</v>
      </c>
      <c r="F284" s="18">
        <v>40440.080000000002</v>
      </c>
      <c r="G284" s="18">
        <f>3003.66+7942.42</f>
        <v>10946.08</v>
      </c>
      <c r="H284" s="18">
        <v>25590.5</v>
      </c>
      <c r="I284" s="18"/>
      <c r="J284" s="18"/>
      <c r="K284" s="18"/>
      <c r="L284" s="13">
        <f t="shared" si="12"/>
        <v>76976.66</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49940.08</v>
      </c>
      <c r="G291" s="39">
        <f t="shared" si="13"/>
        <v>11059.59</v>
      </c>
      <c r="H291" s="39">
        <f t="shared" si="13"/>
        <v>163709.29999999999</v>
      </c>
      <c r="I291" s="39">
        <f t="shared" si="13"/>
        <v>0</v>
      </c>
      <c r="J291" s="39">
        <f t="shared" si="13"/>
        <v>3010</v>
      </c>
      <c r="K291" s="39">
        <f t="shared" si="13"/>
        <v>0</v>
      </c>
      <c r="L291" s="38">
        <f t="shared" si="13"/>
        <v>227718.97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49940.08</v>
      </c>
      <c r="G339" s="38">
        <f t="shared" si="20"/>
        <v>11059.59</v>
      </c>
      <c r="H339" s="38">
        <f t="shared" si="20"/>
        <v>163709.29999999999</v>
      </c>
      <c r="I339" s="38">
        <f t="shared" si="20"/>
        <v>0</v>
      </c>
      <c r="J339" s="38">
        <f t="shared" si="20"/>
        <v>3010</v>
      </c>
      <c r="K339" s="38">
        <f t="shared" si="20"/>
        <v>0</v>
      </c>
      <c r="L339" s="38">
        <f t="shared" si="20"/>
        <v>227718.97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49940.08</v>
      </c>
      <c r="G353" s="38">
        <f>G339</f>
        <v>11059.59</v>
      </c>
      <c r="H353" s="38">
        <f>H339</f>
        <v>163709.29999999999</v>
      </c>
      <c r="I353" s="38">
        <f>I339</f>
        <v>0</v>
      </c>
      <c r="J353" s="38">
        <f>J339</f>
        <v>3010</v>
      </c>
      <c r="K353" s="38">
        <f>K339+K352</f>
        <v>0</v>
      </c>
      <c r="L353" s="38">
        <f>L339+L352</f>
        <v>227718.97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199419.02</v>
      </c>
      <c r="I359" s="18"/>
      <c r="J359" s="18"/>
      <c r="K359" s="18">
        <v>4453.3500000000004</v>
      </c>
      <c r="L359" s="13">
        <f>SUM(F359:K359)</f>
        <v>203872.37</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199419.02</v>
      </c>
      <c r="I363" s="38">
        <f t="shared" si="22"/>
        <v>0</v>
      </c>
      <c r="J363" s="38">
        <f t="shared" si="22"/>
        <v>0</v>
      </c>
      <c r="K363" s="38">
        <f t="shared" si="22"/>
        <v>4453.3500000000004</v>
      </c>
      <c r="L363" s="38">
        <f t="shared" si="22"/>
        <v>203872.37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25000</v>
      </c>
      <c r="H390" s="18">
        <v>9053.99</v>
      </c>
      <c r="I390" s="18"/>
      <c r="J390" s="23" t="s">
        <v>288</v>
      </c>
      <c r="K390" s="23" t="s">
        <v>288</v>
      </c>
      <c r="L390" s="13">
        <f t="shared" si="25"/>
        <v>34053.99</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25000</v>
      </c>
      <c r="H394" s="97">
        <f>SUM(H388:H393)</f>
        <v>9053.99</v>
      </c>
      <c r="I394" s="54">
        <f>SUM(I388:I393)</f>
        <v>0</v>
      </c>
      <c r="J394" s="42" t="s">
        <v>288</v>
      </c>
      <c r="K394" s="42" t="s">
        <v>288</v>
      </c>
      <c r="L394" s="38">
        <f>SUM(L388:L393)</f>
        <v>34053.99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25000</v>
      </c>
      <c r="H398" s="18">
        <v>10362.09</v>
      </c>
      <c r="I398" s="18"/>
      <c r="J398" s="23" t="s">
        <v>288</v>
      </c>
      <c r="K398" s="23" t="s">
        <v>288</v>
      </c>
      <c r="L398" s="13">
        <f t="shared" si="26"/>
        <v>35362.089999999997</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25000</v>
      </c>
      <c r="H402" s="38">
        <f>SUM(H396:H401)</f>
        <v>10362.09</v>
      </c>
      <c r="I402" s="38">
        <f>SUM(I396:I401)</f>
        <v>0</v>
      </c>
      <c r="J402" s="42" t="s">
        <v>288</v>
      </c>
      <c r="K402" s="42" t="s">
        <v>288</v>
      </c>
      <c r="L402" s="38">
        <f>SUM(L396:L401)</f>
        <v>35362.089999999997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19416.080000000002</v>
      </c>
      <c r="I409" s="38">
        <f>I394+I402+I408</f>
        <v>0</v>
      </c>
      <c r="J409" s="23" t="s">
        <v>288</v>
      </c>
      <c r="K409" s="23" t="s">
        <v>288</v>
      </c>
      <c r="L409" s="38">
        <f>L394+L402+L408</f>
        <v>69416.079999999987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v>26544.67</v>
      </c>
      <c r="L416" s="13">
        <f t="shared" si="27"/>
        <v>26544.67</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26544.67</v>
      </c>
      <c r="L420" s="38">
        <f t="shared" si="28"/>
        <v>26544.67</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26544.67</v>
      </c>
      <c r="L435" s="38">
        <f t="shared" si="32"/>
        <v>26544.67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246809.88</v>
      </c>
      <c r="G441" s="18">
        <v>298110.43</v>
      </c>
      <c r="H441" s="18"/>
      <c r="I441" s="13">
        <f t="shared" si="33"/>
        <v>544920.31000000006</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246809.88</v>
      </c>
      <c r="G447" s="13">
        <f>SUM(G440:G446)</f>
        <v>298110.43</v>
      </c>
      <c r="H447" s="13">
        <f>SUM(H440:H446)</f>
        <v>0</v>
      </c>
      <c r="I447" s="13">
        <f>SUM(I440:I446)</f>
        <v>544920.31000000006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246809.88</v>
      </c>
      <c r="G460" s="18">
        <v>298110.43</v>
      </c>
      <c r="H460" s="18"/>
      <c r="I460" s="13">
        <f t="shared" si="34"/>
        <v>544920.31000000006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246809.88</v>
      </c>
      <c r="G461" s="65">
        <f>SUM(G455:G460)</f>
        <v>298110.43</v>
      </c>
      <c r="H461" s="65">
        <f>SUM(H455:H460)</f>
        <v>0</v>
      </c>
      <c r="I461" s="65">
        <f>SUM(I455:I460)</f>
        <v>544920.31000000006</v>
      </c>
      <c r="J461" s="23" t="s">
        <v>288</v>
      </c>
      <c r="K461" s="23" t="s">
        <v>288</v>
      </c>
      <c r="L461" s="23" t="s">
        <v>288</v>
      </c>
      <c r="N461" s="131"/>
    </row>
    <row r="462" spans="1:86" ht="12.2" customHeight="1" thickTop="1" x14ac:dyDescent="0.2">
      <c r="A462" s="40" t="s">
        <v>424</v>
      </c>
      <c r="B462" s="41">
        <v>18</v>
      </c>
      <c r="C462" s="64">
        <v>21</v>
      </c>
      <c r="D462" s="114" t="s">
        <v>432</v>
      </c>
      <c r="E462" s="64"/>
      <c r="F462" s="39">
        <f>F453+F461</f>
        <v>246809.88</v>
      </c>
      <c r="G462" s="39">
        <f>G453+G461</f>
        <v>298110.43</v>
      </c>
      <c r="H462" s="39">
        <f>H453+H461</f>
        <v>0</v>
      </c>
      <c r="I462" s="39">
        <f>I453+I461</f>
        <v>544920.31000000006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1013795.16</v>
      </c>
      <c r="G466" s="18">
        <v>51056.92</v>
      </c>
      <c r="H466" s="18"/>
      <c r="I466" s="18"/>
      <c r="J466" s="18">
        <v>502048.9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11500512.4</v>
      </c>
      <c r="G469" s="18">
        <f>107442.71+704.75+599.96+2970.63+90276.41-2341.27</f>
        <v>199653.19000000003</v>
      </c>
      <c r="H469" s="18">
        <v>227718.97</v>
      </c>
      <c r="I469" s="18"/>
      <c r="J469" s="18">
        <f>69416.08</f>
        <v>69416.08</v>
      </c>
      <c r="K469" s="23" t="s">
        <v>288</v>
      </c>
      <c r="L469" s="23" t="s">
        <v>288</v>
      </c>
      <c r="N469" s="131"/>
    </row>
    <row r="470" spans="1:14" ht="12.2" customHeight="1" x14ac:dyDescent="0.2">
      <c r="A470" s="71" t="s">
        <v>611</v>
      </c>
      <c r="B470" s="22">
        <v>19</v>
      </c>
      <c r="C470" s="31">
        <v>3</v>
      </c>
      <c r="D470" s="2" t="s">
        <v>432</v>
      </c>
      <c r="E470" s="31"/>
      <c r="F470" s="18"/>
      <c r="G470" s="18">
        <v>0</v>
      </c>
      <c r="H470" s="18"/>
      <c r="I470" s="18"/>
      <c r="J470" s="18"/>
      <c r="K470" s="23" t="s">
        <v>288</v>
      </c>
      <c r="L470" s="23" t="s">
        <v>288</v>
      </c>
      <c r="N470" s="131"/>
    </row>
    <row r="471" spans="1:14" ht="12.2" customHeight="1" x14ac:dyDescent="0.2">
      <c r="A471" s="32" t="s">
        <v>425</v>
      </c>
      <c r="B471" s="22">
        <v>19</v>
      </c>
      <c r="C471" s="31">
        <v>4</v>
      </c>
      <c r="D471" s="2" t="s">
        <v>432</v>
      </c>
      <c r="E471" s="31"/>
      <c r="F471" s="19">
        <f>SUM(F469:F470)</f>
        <v>11500512.4</v>
      </c>
      <c r="G471" s="19">
        <f>SUM(G469:G470)</f>
        <v>199653.19000000003</v>
      </c>
      <c r="H471" s="19">
        <f>SUM(H469:H470)</f>
        <v>227718.97</v>
      </c>
      <c r="I471" s="19">
        <f>SUM(I469:I470)</f>
        <v>0</v>
      </c>
      <c r="J471" s="19">
        <f>SUM(J469:J470)</f>
        <v>69416.08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11891900.209999999</v>
      </c>
      <c r="G473" s="18">
        <f>199419.02+4453.35</f>
        <v>203872.37</v>
      </c>
      <c r="H473" s="18">
        <v>227718.97</v>
      </c>
      <c r="I473" s="18"/>
      <c r="J473" s="18">
        <v>26544.67</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11891900.209999999</v>
      </c>
      <c r="G475" s="19">
        <f>SUM(G473:G474)</f>
        <v>203872.37</v>
      </c>
      <c r="H475" s="19">
        <f>SUM(H473:H474)</f>
        <v>227718.97</v>
      </c>
      <c r="I475" s="19">
        <f>SUM(I473:I474)</f>
        <v>0</v>
      </c>
      <c r="J475" s="19">
        <f>SUM(J473:J474)</f>
        <v>26544.67</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622407.35000000149</v>
      </c>
      <c r="G477" s="19">
        <f>(G466+G471)- G475</f>
        <v>46837.740000000049</v>
      </c>
      <c r="H477" s="19">
        <f>(H466+H471)- H475</f>
        <v>0</v>
      </c>
      <c r="I477" s="19">
        <f>(I466+I471)- I475</f>
        <v>0</v>
      </c>
      <c r="J477" s="19">
        <f>(J466+J471)- J475</f>
        <v>544920.30999999994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5600000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3.99</v>
      </c>
      <c r="G495" s="18"/>
      <c r="H495" s="18"/>
      <c r="I495" s="18"/>
      <c r="J495" s="18"/>
      <c r="K495" s="23" t="s">
        <v>288</v>
      </c>
      <c r="L495" s="23" t="s">
        <v>288</v>
      </c>
      <c r="N495" s="131"/>
    </row>
    <row r="496" spans="1:14" ht="12.2" customHeight="1" x14ac:dyDescent="0.2">
      <c r="A496" s="21" t="s">
        <v>619</v>
      </c>
      <c r="B496" s="22">
        <v>20</v>
      </c>
      <c r="C496" s="22">
        <v>6</v>
      </c>
      <c r="D496" s="2" t="s">
        <v>432</v>
      </c>
      <c r="E496" s="22"/>
      <c r="F496" s="18">
        <v>2945000</v>
      </c>
      <c r="G496" s="18"/>
      <c r="H496" s="18"/>
      <c r="I496" s="18"/>
      <c r="J496" s="18"/>
      <c r="K496" s="19">
        <f>SUM(F496:J496)</f>
        <v>2945000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265000</v>
      </c>
      <c r="G498" s="18"/>
      <c r="H498" s="18"/>
      <c r="I498" s="18"/>
      <c r="J498" s="18"/>
      <c r="K498" s="19">
        <f t="shared" si="35"/>
        <v>265000</v>
      </c>
      <c r="L498" s="23" t="s">
        <v>288</v>
      </c>
      <c r="N498" s="131"/>
    </row>
    <row r="499" spans="1:14" ht="12.2" customHeight="1" x14ac:dyDescent="0.2">
      <c r="A499" s="144" t="s">
        <v>622</v>
      </c>
      <c r="B499" s="145">
        <v>20</v>
      </c>
      <c r="C499" s="145">
        <v>9</v>
      </c>
      <c r="D499" s="146" t="s">
        <v>432</v>
      </c>
      <c r="E499" s="145"/>
      <c r="F499" s="147">
        <f>F496-F498</f>
        <v>2680000</v>
      </c>
      <c r="G499" s="147"/>
      <c r="H499" s="147"/>
      <c r="I499" s="147"/>
      <c r="J499" s="147"/>
      <c r="K499" s="148">
        <f t="shared" si="35"/>
        <v>2680000</v>
      </c>
      <c r="L499" s="149" t="s">
        <v>288</v>
      </c>
      <c r="N499" s="131"/>
    </row>
    <row r="500" spans="1:14" ht="12.2" customHeight="1" thickBot="1" x14ac:dyDescent="0.25">
      <c r="A500" s="21" t="s">
        <v>623</v>
      </c>
      <c r="B500" s="22">
        <v>20</v>
      </c>
      <c r="C500" s="22">
        <v>10</v>
      </c>
      <c r="D500" s="2" t="s">
        <v>432</v>
      </c>
      <c r="E500" s="22"/>
      <c r="F500" s="18">
        <f>732320-121525</f>
        <v>610795</v>
      </c>
      <c r="G500" s="18"/>
      <c r="H500" s="18"/>
      <c r="I500" s="18"/>
      <c r="J500" s="18"/>
      <c r="K500" s="19">
        <f t="shared" si="35"/>
        <v>610795</v>
      </c>
      <c r="L500" s="23" t="s">
        <v>288</v>
      </c>
      <c r="N500" s="131"/>
    </row>
    <row r="501" spans="1:14" ht="12.2" customHeight="1" thickTop="1" x14ac:dyDescent="0.2">
      <c r="A501" s="97" t="s">
        <v>624</v>
      </c>
      <c r="B501" s="41">
        <v>20</v>
      </c>
      <c r="C501" s="41">
        <v>11</v>
      </c>
      <c r="D501" s="36" t="s">
        <v>432</v>
      </c>
      <c r="E501" s="41"/>
      <c r="F501" s="39">
        <f>SUM(F499:F500)</f>
        <v>3290795</v>
      </c>
      <c r="G501" s="39">
        <f>SUM(G499:G500)</f>
        <v>0</v>
      </c>
      <c r="H501" s="39">
        <f>SUM(H499:H500)</f>
        <v>0</v>
      </c>
      <c r="I501" s="39">
        <f>SUM(I499:I500)</f>
        <v>0</v>
      </c>
      <c r="J501" s="39">
        <f>SUM(J499:J500)</f>
        <v>0</v>
      </c>
      <c r="K501" s="39">
        <f t="shared" si="35"/>
        <v>3290795</v>
      </c>
      <c r="L501" s="42" t="s">
        <v>288</v>
      </c>
      <c r="N501" s="131"/>
    </row>
    <row r="502" spans="1:14" ht="12.2" customHeight="1" x14ac:dyDescent="0.2">
      <c r="A502" s="144" t="s">
        <v>651</v>
      </c>
      <c r="B502" s="145">
        <v>20</v>
      </c>
      <c r="C502" s="145">
        <v>12</v>
      </c>
      <c r="D502" s="146" t="s">
        <v>432</v>
      </c>
      <c r="E502" s="145"/>
      <c r="F502" s="147">
        <v>280000</v>
      </c>
      <c r="G502" s="147"/>
      <c r="H502" s="147"/>
      <c r="I502" s="147"/>
      <c r="J502" s="147"/>
      <c r="K502" s="148">
        <f t="shared" si="35"/>
        <v>280000</v>
      </c>
      <c r="L502" s="149" t="s">
        <v>288</v>
      </c>
      <c r="N502" s="131"/>
    </row>
    <row r="503" spans="1:14" ht="12.2" customHeight="1" thickBot="1" x14ac:dyDescent="0.25">
      <c r="A503" s="21" t="s">
        <v>625</v>
      </c>
      <c r="B503" s="22">
        <v>20</v>
      </c>
      <c r="C503" s="22">
        <v>13</v>
      </c>
      <c r="D503" s="2" t="s">
        <v>432</v>
      </c>
      <c r="E503" s="22"/>
      <c r="F503" s="18">
        <f>66168.75+59168.75</f>
        <v>125337.5</v>
      </c>
      <c r="G503" s="18"/>
      <c r="H503" s="18"/>
      <c r="I503" s="18"/>
      <c r="J503" s="18"/>
      <c r="K503" s="19">
        <f t="shared" si="35"/>
        <v>125337.5</v>
      </c>
      <c r="L503" s="23" t="s">
        <v>288</v>
      </c>
      <c r="N503" s="131"/>
    </row>
    <row r="504" spans="1:14" ht="12.2" customHeight="1" thickTop="1" x14ac:dyDescent="0.2">
      <c r="A504" s="97" t="s">
        <v>626</v>
      </c>
      <c r="B504" s="41">
        <v>20</v>
      </c>
      <c r="C504" s="41">
        <v>14</v>
      </c>
      <c r="D504" s="36" t="s">
        <v>432</v>
      </c>
      <c r="E504" s="41"/>
      <c r="F504" s="39">
        <f>SUM(F502:F503)</f>
        <v>405337.5</v>
      </c>
      <c r="G504" s="39">
        <f>SUM(G502:G503)</f>
        <v>0</v>
      </c>
      <c r="H504" s="39">
        <f>SUM(H502:H503)</f>
        <v>0</v>
      </c>
      <c r="I504" s="39">
        <f>SUM(I502:I503)</f>
        <v>0</v>
      </c>
      <c r="J504" s="39">
        <f>SUM(J502:J503)</f>
        <v>0</v>
      </c>
      <c r="K504" s="39">
        <f t="shared" si="35"/>
        <v>405337.5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168002.46+394821.4</f>
        <v>562823.86</v>
      </c>
      <c r="G522" s="18">
        <v>311619.43</v>
      </c>
      <c r="H522" s="18">
        <v>735</v>
      </c>
      <c r="I522" s="18">
        <v>4461.8500000000004</v>
      </c>
      <c r="J522" s="18">
        <v>1034</v>
      </c>
      <c r="K522" s="18"/>
      <c r="L522" s="69">
        <f>SUM(F522:K522)</f>
        <v>880674.14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139689.13</v>
      </c>
      <c r="G524" s="18"/>
      <c r="H524" s="18">
        <f>252211.36+57879+115690.3</f>
        <v>425780.66</v>
      </c>
      <c r="I524" s="18"/>
      <c r="J524" s="18"/>
      <c r="K524" s="18"/>
      <c r="L524" s="69">
        <f>SUM(F524:K524)</f>
        <v>565469.79</v>
      </c>
      <c r="N524" s="131"/>
    </row>
    <row r="525" spans="1:14" ht="12.2" customHeight="1" thickTop="1" x14ac:dyDescent="0.2">
      <c r="A525" s="97" t="s">
        <v>63</v>
      </c>
      <c r="B525" s="41">
        <v>21</v>
      </c>
      <c r="C525" s="41">
        <v>4</v>
      </c>
      <c r="D525" s="115" t="s">
        <v>432</v>
      </c>
      <c r="E525" s="41"/>
      <c r="F525" s="81">
        <f>SUM(F522:F524)</f>
        <v>702512.99</v>
      </c>
      <c r="G525" s="81">
        <f t="shared" ref="G525:L525" si="36">SUM(G522:G524)</f>
        <v>311619.43</v>
      </c>
      <c r="H525" s="81">
        <f t="shared" si="36"/>
        <v>426515.66</v>
      </c>
      <c r="I525" s="81">
        <f t="shared" si="36"/>
        <v>4461.8500000000004</v>
      </c>
      <c r="J525" s="81">
        <f t="shared" si="36"/>
        <v>1034</v>
      </c>
      <c r="K525" s="81">
        <f t="shared" si="36"/>
        <v>0</v>
      </c>
      <c r="L525" s="70">
        <f t="shared" si="36"/>
        <v>1446143.9300000002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120875.35</v>
      </c>
      <c r="I542" s="18"/>
      <c r="J542" s="18"/>
      <c r="K542" s="18"/>
      <c r="L542" s="69">
        <f>SUM(F542:K542)</f>
        <v>120875.35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38138.5</v>
      </c>
      <c r="I544" s="18"/>
      <c r="J544" s="18"/>
      <c r="K544" s="18"/>
      <c r="L544" s="69">
        <f>SUM(F544:K544)</f>
        <v>38138.5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159013.85</v>
      </c>
      <c r="I545" s="141">
        <f t="shared" si="40"/>
        <v>0</v>
      </c>
      <c r="J545" s="141">
        <f t="shared" si="40"/>
        <v>0</v>
      </c>
      <c r="K545" s="141">
        <f t="shared" si="40"/>
        <v>0</v>
      </c>
      <c r="L545" s="141">
        <f t="shared" si="40"/>
        <v>159013.85</v>
      </c>
      <c r="M545" s="8"/>
      <c r="N545" s="165"/>
    </row>
    <row r="546" spans="1:14" s="3" customFormat="1" ht="12.2" customHeight="1" thickTop="1" x14ac:dyDescent="0.15">
      <c r="A546" s="75" t="s">
        <v>72</v>
      </c>
      <c r="B546" s="41">
        <v>21</v>
      </c>
      <c r="C546" s="41">
        <v>21</v>
      </c>
      <c r="D546" s="115" t="s">
        <v>432</v>
      </c>
      <c r="E546" s="41"/>
      <c r="F546" s="70">
        <f>F525+F530+F535+F540+F545</f>
        <v>702512.99</v>
      </c>
      <c r="G546" s="70">
        <f t="shared" ref="G546:L546" si="41">G525+G530+G535+G540+G545</f>
        <v>311619.43</v>
      </c>
      <c r="H546" s="70">
        <f t="shared" si="41"/>
        <v>585529.51</v>
      </c>
      <c r="I546" s="70">
        <f t="shared" si="41"/>
        <v>4461.8500000000004</v>
      </c>
      <c r="J546" s="70">
        <f t="shared" si="41"/>
        <v>1034</v>
      </c>
      <c r="K546" s="70">
        <f t="shared" si="41"/>
        <v>0</v>
      </c>
      <c r="L546" s="70">
        <f t="shared" si="41"/>
        <v>1605157.7800000003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880674.14</v>
      </c>
      <c r="G550" s="69">
        <f>L527</f>
        <v>0</v>
      </c>
      <c r="H550" s="69">
        <f>L532</f>
        <v>0</v>
      </c>
      <c r="I550" s="69">
        <f>L537</f>
        <v>0</v>
      </c>
      <c r="J550" s="69">
        <f>L542</f>
        <v>120875.35</v>
      </c>
      <c r="K550" s="69">
        <f>SUM(F550:J550)</f>
        <v>1001549.49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565469.79</v>
      </c>
      <c r="G552" s="69">
        <f>L529</f>
        <v>0</v>
      </c>
      <c r="H552" s="69">
        <f>L534</f>
        <v>0</v>
      </c>
      <c r="I552" s="69">
        <f>L539</f>
        <v>0</v>
      </c>
      <c r="J552" s="69">
        <f>L544</f>
        <v>38138.5</v>
      </c>
      <c r="K552" s="69">
        <f>SUM(F552:J552)</f>
        <v>603608.29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1446143.9300000002</v>
      </c>
      <c r="G553" s="70">
        <f t="shared" si="42"/>
        <v>0</v>
      </c>
      <c r="H553" s="70">
        <f t="shared" si="42"/>
        <v>0</v>
      </c>
      <c r="I553" s="70">
        <f t="shared" si="42"/>
        <v>0</v>
      </c>
      <c r="J553" s="70">
        <f t="shared" si="42"/>
        <v>159013.85</v>
      </c>
      <c r="K553" s="70">
        <f t="shared" si="42"/>
        <v>1605157.78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40412.699999999997</v>
      </c>
      <c r="I576" s="69">
        <f>SUM(F576:H576)</f>
        <v>40412.699999999997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3728029.84</v>
      </c>
      <c r="I578" s="69">
        <f t="shared" si="47"/>
        <v>3728029.84</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66765.3</v>
      </c>
      <c r="G580" s="18"/>
      <c r="H580" s="18">
        <f>-66765.3+115690.3</f>
        <v>48925</v>
      </c>
      <c r="I580" s="69">
        <f t="shared" si="47"/>
        <v>115690.3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252211.36</v>
      </c>
      <c r="I582" s="69">
        <f t="shared" si="47"/>
        <v>252211.36</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57879</v>
      </c>
      <c r="I583" s="69">
        <f t="shared" si="47"/>
        <v>57879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426589.74</v>
      </c>
      <c r="I592" s="18"/>
      <c r="J592" s="18">
        <v>35718.46</v>
      </c>
      <c r="K592" s="80">
        <f t="shared" ref="K592:K598" si="48">SUM(H592:J592)</f>
        <v>462308.2</v>
      </c>
      <c r="L592" s="23" t="s">
        <v>288</v>
      </c>
      <c r="M592" s="8"/>
      <c r="N592" s="165"/>
    </row>
    <row r="593" spans="1:14" s="3" customFormat="1" ht="12.2" customHeight="1" x14ac:dyDescent="0.15">
      <c r="A593" s="3" t="s">
        <v>638</v>
      </c>
      <c r="B593" s="22">
        <v>23</v>
      </c>
      <c r="C593" s="22">
        <v>2</v>
      </c>
      <c r="D593" s="2" t="s">
        <v>432</v>
      </c>
      <c r="E593" s="22"/>
      <c r="F593" s="78">
        <v>2722</v>
      </c>
      <c r="G593" s="79" t="s">
        <v>97</v>
      </c>
      <c r="H593" s="18">
        <v>120875.35</v>
      </c>
      <c r="I593" s="18"/>
      <c r="J593" s="18">
        <v>38138.5</v>
      </c>
      <c r="K593" s="80">
        <f t="shared" si="48"/>
        <v>159013.85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18875</v>
      </c>
      <c r="I598" s="18"/>
      <c r="J598" s="18"/>
      <c r="K598" s="80">
        <f t="shared" si="48"/>
        <v>18875</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566340.09</v>
      </c>
      <c r="I599" s="81">
        <f>SUM(I592:I598)</f>
        <v>0</v>
      </c>
      <c r="J599" s="81">
        <f>SUM(J592:J598)</f>
        <v>73856.959999999992</v>
      </c>
      <c r="K599" s="81">
        <f>SUM(K592:K598)</f>
        <v>640197.05000000005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3010+126843.45</f>
        <v>129853.45</v>
      </c>
      <c r="I605" s="18"/>
      <c r="J605" s="18"/>
      <c r="K605" s="80">
        <f>SUM(H605:J605)</f>
        <v>129853.45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129853.45</v>
      </c>
      <c r="I606" s="81">
        <f>SUM(I603:I605)</f>
        <v>0</v>
      </c>
      <c r="J606" s="81">
        <f>SUM(J603:J605)</f>
        <v>0</v>
      </c>
      <c r="K606" s="81">
        <f>SUM(K603:K605)</f>
        <v>129853.45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2100924.42</v>
      </c>
      <c r="H618" s="80">
        <f>SUM(F52)</f>
        <v>2100924.42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52268.229999999996</v>
      </c>
      <c r="H619" s="80">
        <f>SUM(G52)</f>
        <v>52268.23</v>
      </c>
      <c r="I619" s="87" t="s">
        <v>875</v>
      </c>
      <c r="J619" s="80">
        <f>G619-H619</f>
        <v>0</v>
      </c>
      <c r="K619" s="80"/>
      <c r="L619" s="80"/>
      <c r="M619" s="8"/>
    </row>
    <row r="620" spans="1:14" s="3" customFormat="1" ht="12.2" customHeight="1" x14ac:dyDescent="0.15">
      <c r="A620" s="74"/>
      <c r="B620" s="22"/>
      <c r="C620" s="22"/>
      <c r="D620" s="22"/>
      <c r="E620" s="22"/>
      <c r="F620" s="87" t="s">
        <v>685</v>
      </c>
      <c r="G620" s="80">
        <f>SUM(H19)</f>
        <v>131852.84</v>
      </c>
      <c r="H620" s="80">
        <f>SUM(H52)</f>
        <v>131852.84</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544920.31000000006</v>
      </c>
      <c r="H622" s="80">
        <f>SUM(J52)</f>
        <v>544920.31000000006</v>
      </c>
      <c r="I622" s="87" t="s">
        <v>878</v>
      </c>
      <c r="J622" s="80">
        <f>G622-H622</f>
        <v>0</v>
      </c>
      <c r="K622" s="80"/>
      <c r="L622" s="80"/>
      <c r="M622" s="8"/>
    </row>
    <row r="623" spans="1:14" s="3" customFormat="1" ht="12.2" customHeight="1" x14ac:dyDescent="0.15">
      <c r="A623" s="74"/>
      <c r="B623" s="22"/>
      <c r="C623" s="22"/>
      <c r="D623" s="22"/>
      <c r="E623" s="22"/>
      <c r="F623" s="87" t="s">
        <v>864</v>
      </c>
      <c r="G623" s="80">
        <f>F51</f>
        <v>622407.34999999986</v>
      </c>
      <c r="H623" s="80">
        <f>F477</f>
        <v>622407.35000000149</v>
      </c>
      <c r="I623" s="87" t="s">
        <v>101</v>
      </c>
      <c r="J623" s="80">
        <f t="shared" ref="J623:J656" si="50">G623-H623</f>
        <v>-1.6298145055770874E-9</v>
      </c>
      <c r="K623" s="80"/>
      <c r="L623" s="80"/>
      <c r="M623" s="8"/>
    </row>
    <row r="624" spans="1:14" s="3" customFormat="1" ht="12.2" customHeight="1" x14ac:dyDescent="0.15">
      <c r="A624" s="74"/>
      <c r="B624" s="22"/>
      <c r="C624" s="85"/>
      <c r="D624" s="85"/>
      <c r="E624" s="85"/>
      <c r="F624" s="85" t="s">
        <v>865</v>
      </c>
      <c r="G624" s="80">
        <f>G51</f>
        <v>46837.740000000005</v>
      </c>
      <c r="H624" s="80">
        <f>G477</f>
        <v>46837.740000000049</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544920.31000000006</v>
      </c>
      <c r="H627" s="80">
        <f>J477</f>
        <v>544920.30999999994</v>
      </c>
      <c r="I627" s="87" t="s">
        <v>105</v>
      </c>
      <c r="J627" s="80">
        <f t="shared" si="50"/>
        <v>0</v>
      </c>
      <c r="K627" s="67"/>
      <c r="L627" s="69"/>
      <c r="M627" s="8"/>
    </row>
    <row r="628" spans="1:13" s="3" customFormat="1" ht="12.2" customHeight="1" x14ac:dyDescent="0.15">
      <c r="A628" s="21"/>
      <c r="B628" s="22"/>
      <c r="C628" s="22"/>
      <c r="D628" s="22"/>
      <c r="E628" s="22"/>
      <c r="F628" s="86" t="s">
        <v>658</v>
      </c>
      <c r="G628" s="80">
        <f>F194</f>
        <v>11500512.4</v>
      </c>
      <c r="H628" s="80">
        <f>SUM(F469)</f>
        <v>11500512.4</v>
      </c>
      <c r="I628" s="87" t="s">
        <v>106</v>
      </c>
      <c r="J628" s="80">
        <f>G628-H628</f>
        <v>0</v>
      </c>
      <c r="K628" s="67"/>
      <c r="L628" s="69"/>
      <c r="M628" s="8"/>
    </row>
    <row r="629" spans="1:13" s="3" customFormat="1" ht="12.2" customHeight="1" x14ac:dyDescent="0.15">
      <c r="A629" s="21"/>
      <c r="B629" s="22"/>
      <c r="C629" s="22"/>
      <c r="D629" s="22"/>
      <c r="E629" s="22"/>
      <c r="F629" s="86" t="s">
        <v>659</v>
      </c>
      <c r="G629" s="80">
        <f>G194</f>
        <v>199653.19</v>
      </c>
      <c r="H629" s="80">
        <f>SUM(G469)</f>
        <v>199653.19000000003</v>
      </c>
      <c r="I629" s="87" t="s">
        <v>107</v>
      </c>
      <c r="J629" s="80">
        <f>G629-H629</f>
        <v>0</v>
      </c>
      <c r="K629" s="67"/>
      <c r="L629" s="69"/>
      <c r="M629" s="8"/>
    </row>
    <row r="630" spans="1:13" s="3" customFormat="1" ht="12.2" customHeight="1" x14ac:dyDescent="0.15">
      <c r="A630" s="21"/>
      <c r="B630" s="22"/>
      <c r="C630" s="22"/>
      <c r="D630" s="22"/>
      <c r="E630" s="22"/>
      <c r="F630" s="86" t="s">
        <v>660</v>
      </c>
      <c r="G630" s="80">
        <f>H194</f>
        <v>227718.97</v>
      </c>
      <c r="H630" s="80">
        <f>SUM(H469)</f>
        <v>227718.97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69416.08</v>
      </c>
      <c r="H632" s="80">
        <f>SUM(J469)</f>
        <v>69416.08</v>
      </c>
      <c r="I632" s="87" t="s">
        <v>110</v>
      </c>
      <c r="J632" s="80">
        <f>G632-H632</f>
        <v>0</v>
      </c>
      <c r="K632" s="67"/>
      <c r="L632" s="69"/>
      <c r="M632" s="8"/>
    </row>
    <row r="633" spans="1:13" s="3" customFormat="1" ht="12.2" customHeight="1" x14ac:dyDescent="0.15">
      <c r="A633" s="21"/>
      <c r="B633" s="22"/>
      <c r="C633" s="22"/>
      <c r="D633" s="22"/>
      <c r="E633" s="22"/>
      <c r="F633" s="86" t="s">
        <v>394</v>
      </c>
      <c r="G633" s="80">
        <f>SUM(L272)</f>
        <v>11891900.209999999</v>
      </c>
      <c r="H633" s="80">
        <f>SUM(F473)</f>
        <v>11891900.209999999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227718.97</v>
      </c>
      <c r="H634" s="80">
        <f>SUM(H473)</f>
        <v>227718.97</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203872.37</v>
      </c>
      <c r="H636" s="80">
        <f>SUM(G473)</f>
        <v>203872.37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69416.079999999987</v>
      </c>
      <c r="H638" s="108">
        <f>SUM(J469)</f>
        <v>69416.08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26544.67</v>
      </c>
      <c r="H639" s="108">
        <f>SUM(J473)</f>
        <v>26544.67</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246809.88</v>
      </c>
      <c r="H640" s="80">
        <f>SUM(F462)</f>
        <v>246809.88</v>
      </c>
      <c r="I640" s="87" t="s">
        <v>840</v>
      </c>
      <c r="J640" s="80">
        <f t="shared" si="50"/>
        <v>0</v>
      </c>
      <c r="K640" s="67"/>
      <c r="L640" s="69"/>
      <c r="M640" s="8"/>
    </row>
    <row r="641" spans="1:13" s="3" customFormat="1" ht="12.2" customHeight="1" x14ac:dyDescent="0.15">
      <c r="A641" s="21"/>
      <c r="B641" s="22"/>
      <c r="C641" s="22"/>
      <c r="D641" s="22"/>
      <c r="E641" s="22"/>
      <c r="F641" s="86" t="s">
        <v>119</v>
      </c>
      <c r="G641" s="80">
        <f>SUM(G447)</f>
        <v>298110.43</v>
      </c>
      <c r="H641" s="80">
        <f>SUM(G462)</f>
        <v>298110.43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544920.31000000006</v>
      </c>
      <c r="H643" s="80">
        <f>SUM(I462)</f>
        <v>544920.31000000006</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19416.080000000002</v>
      </c>
      <c r="H645" s="80">
        <f>H409</f>
        <v>19416.080000000002</v>
      </c>
      <c r="I645" s="87" t="s">
        <v>480</v>
      </c>
      <c r="J645" s="80">
        <f t="shared" si="50"/>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69416.08</v>
      </c>
      <c r="H647" s="80">
        <f>L409</f>
        <v>69416.079999999987</v>
      </c>
      <c r="I647" s="87" t="s">
        <v>477</v>
      </c>
      <c r="J647" s="80">
        <f t="shared" si="50"/>
        <v>0</v>
      </c>
      <c r="K647" s="67"/>
      <c r="L647" s="69"/>
      <c r="M647" s="8"/>
    </row>
    <row r="648" spans="1:13" s="3" customFormat="1" ht="12.2" customHeight="1" x14ac:dyDescent="0.15">
      <c r="A648" s="21"/>
      <c r="B648" s="22"/>
      <c r="C648" s="22"/>
      <c r="D648" s="22"/>
      <c r="E648" s="22"/>
      <c r="F648" s="86" t="s">
        <v>51</v>
      </c>
      <c r="G648" s="80">
        <f>K599</f>
        <v>640197.05000000005</v>
      </c>
      <c r="H648" s="80">
        <f>L209+L227+L245</f>
        <v>640197.05000000005</v>
      </c>
      <c r="I648" s="87" t="s">
        <v>396</v>
      </c>
      <c r="J648" s="80">
        <f t="shared" si="50"/>
        <v>0</v>
      </c>
      <c r="K648" s="67"/>
      <c r="L648" s="69"/>
      <c r="M648" s="8"/>
    </row>
    <row r="649" spans="1:13" s="3" customFormat="1" ht="12.2" customHeight="1" x14ac:dyDescent="0.15">
      <c r="A649" s="21"/>
      <c r="B649" s="22"/>
      <c r="C649" s="22"/>
      <c r="D649" s="22"/>
      <c r="E649" s="22"/>
      <c r="F649" s="86" t="s">
        <v>52</v>
      </c>
      <c r="G649" s="80">
        <f>K606</f>
        <v>129853.45</v>
      </c>
      <c r="H649" s="80">
        <f>(J258+J339)-(J256+J337)</f>
        <v>129853.45</v>
      </c>
      <c r="I649" s="87" t="s">
        <v>699</v>
      </c>
      <c r="J649" s="80">
        <f t="shared" si="50"/>
        <v>0</v>
      </c>
      <c r="K649" s="67"/>
      <c r="L649" s="69"/>
      <c r="M649" s="8"/>
    </row>
    <row r="650" spans="1:13" s="3" customFormat="1" ht="12.2" customHeight="1" x14ac:dyDescent="0.15">
      <c r="A650" s="21"/>
      <c r="B650" s="22"/>
      <c r="C650" s="22"/>
      <c r="D650" s="22"/>
      <c r="E650" s="22"/>
      <c r="F650" s="86" t="s">
        <v>387</v>
      </c>
      <c r="G650" s="80">
        <f>L209</f>
        <v>566340.09000000008</v>
      </c>
      <c r="H650" s="80">
        <f>H599</f>
        <v>566340.09</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73856.959999999992</v>
      </c>
      <c r="H652" s="80">
        <f>J599</f>
        <v>73856.959999999992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7479197.7599999988</v>
      </c>
      <c r="G661" s="13">
        <f>(L230+L310+L360)</f>
        <v>0</v>
      </c>
      <c r="H661" s="13">
        <f>(L248+L329+L361)</f>
        <v>4407769.29</v>
      </c>
      <c r="I661" s="13">
        <f>SUM(F661:H661)</f>
        <v>11886967.049999999</v>
      </c>
      <c r="J661" s="13"/>
      <c r="K661" s="13"/>
      <c r="L661" s="13"/>
      <c r="M661" s="9"/>
    </row>
    <row r="662" spans="1:13" s="3" customFormat="1" ht="12.2" customHeight="1" x14ac:dyDescent="0.2">
      <c r="A662" s="1" t="s">
        <v>127</v>
      </c>
      <c r="F662" s="13">
        <f>(L359/IF(SUM(L359:L361)=0,1,SUM(L359:L361))*(SUM(G97:G110)))</f>
        <v>106406.15000000001</v>
      </c>
      <c r="G662" s="13">
        <f>(L360/IF(SUM(L359:L361)=0,1,SUM(L359:L361))*(SUM(G97:G110)))</f>
        <v>0</v>
      </c>
      <c r="H662" s="13">
        <f>(L361/IF(SUM(L359:L361)=0,1,SUM(L359:L361))*(SUM(G97:G110)))</f>
        <v>0</v>
      </c>
      <c r="I662" s="13">
        <f>SUM(F662:H662)</f>
        <v>106406.15000000001</v>
      </c>
      <c r="J662"/>
      <c r="K662" s="13"/>
      <c r="L662" s="13"/>
      <c r="M662" s="8"/>
    </row>
    <row r="663" spans="1:13" s="3" customFormat="1" ht="12.2" customHeight="1" x14ac:dyDescent="0.2">
      <c r="A663" s="1" t="s">
        <v>128</v>
      </c>
      <c r="F663" s="13">
        <f>(L209+L288)-(J209+J288)</f>
        <v>566340.09000000008</v>
      </c>
      <c r="G663" s="13">
        <f>(L227+L307)-(J227+J307)</f>
        <v>0</v>
      </c>
      <c r="H663" s="13">
        <f>(L245+L326)-(J245+J326)</f>
        <v>73856.959999999992</v>
      </c>
      <c r="I663" s="13">
        <f>SUM(F663:H663)</f>
        <v>640197.05000000005</v>
      </c>
      <c r="J663"/>
      <c r="K663" s="13"/>
      <c r="L663" s="13"/>
      <c r="M663" s="9"/>
    </row>
    <row r="664" spans="1:13" s="3" customFormat="1" ht="12.2" customHeight="1" x14ac:dyDescent="0.15">
      <c r="A664" s="142" t="s">
        <v>129</v>
      </c>
      <c r="B664" s="124"/>
      <c r="C664" s="124"/>
      <c r="D664" s="124"/>
      <c r="E664" s="124"/>
      <c r="F664" s="143">
        <f>SUM(F576:F588)+SUM(H603:H605)+SUM(L612)</f>
        <v>196618.75</v>
      </c>
      <c r="G664" s="143">
        <f>SUM(G576:G588)+SUM(I603:I605)+L613</f>
        <v>0</v>
      </c>
      <c r="H664" s="143">
        <f>SUM(H576:H588)+SUM(J603:J605)+L614</f>
        <v>4127457.9</v>
      </c>
      <c r="I664" s="13">
        <f>SUM(F664:H664)</f>
        <v>4324076.6500000004</v>
      </c>
      <c r="J664" s="13"/>
      <c r="K664" s="13"/>
      <c r="L664" s="13"/>
      <c r="M664" s="9"/>
    </row>
    <row r="665" spans="1:13" s="3" customFormat="1" ht="12.2" customHeight="1" x14ac:dyDescent="0.15">
      <c r="A665" s="1" t="s">
        <v>130</v>
      </c>
      <c r="F665" s="13">
        <f>F661-SUM(F662:F664)</f>
        <v>6609832.7699999986</v>
      </c>
      <c r="G665" s="13">
        <f>G661-SUM(G662:G664)</f>
        <v>0</v>
      </c>
      <c r="H665" s="13">
        <f>H661-SUM(H662:H664)</f>
        <v>206454.4299999997</v>
      </c>
      <c r="I665" s="13">
        <f>I661-SUM(I662:I664)</f>
        <v>6816287.1999999983</v>
      </c>
      <c r="J665" s="13"/>
      <c r="K665" s="13"/>
      <c r="L665" s="13"/>
      <c r="M665" s="8"/>
    </row>
    <row r="666" spans="1:13" s="3" customFormat="1" ht="12.2" customHeight="1" x14ac:dyDescent="0.2">
      <c r="A666" s="1" t="s">
        <v>131</v>
      </c>
      <c r="F666" s="183">
        <v>383.14</v>
      </c>
      <c r="G666" s="184"/>
      <c r="H666" s="184"/>
      <c r="I666" s="13">
        <f>SUM(F666:H666)</f>
        <v>383.14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17251.740000000002</v>
      </c>
      <c r="G668" s="13" t="e">
        <f>ROUND(G665/G666,2)</f>
        <v>#DIV/0!</v>
      </c>
      <c r="H668" s="13" t="e">
        <f>ROUND(H665/H666,2)</f>
        <v>#DIV/0!</v>
      </c>
      <c r="I668" s="13">
        <f>ROUND(I665/I666,2)</f>
        <v>17790.59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-206454.4299999997</v>
      </c>
      <c r="I670" s="13">
        <f>SUM(F670:H670)</f>
        <v>-206454.4299999997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17251.740000000002</v>
      </c>
      <c r="G673" s="13" t="e">
        <f>ROUND((G665+G670)/(G666+G671),2)</f>
        <v>#DIV/0!</v>
      </c>
      <c r="H673" s="13" t="e">
        <f>ROUND((H665+H670)/(H666+H671),2)</f>
        <v>#DIV/0!</v>
      </c>
      <c r="I673" s="13">
        <f>ROUND((I665+I670)/(I666+I671),2)</f>
        <v>17251.740000000002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5348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5348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10250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Strafford</v>
      </c>
      <c r="C5" s="317"/>
      <c r="D5" s="317"/>
      <c r="E5" s="317"/>
      <c r="F5" s="317"/>
    </row>
    <row r="8" spans="1:9" ht="18" x14ac:dyDescent="0.25">
      <c r="A8" s="240" t="s">
        <v>1560</v>
      </c>
      <c r="F8" s="247" t="s">
        <v>1578</v>
      </c>
    </row>
    <row r="9" spans="1:9" ht="15" x14ac:dyDescent="0.2">
      <c r="A9" s="238" t="s">
        <v>1561</v>
      </c>
      <c r="B9" s="241">
        <f>'DOE25'!G97</f>
        <v>105101.44</v>
      </c>
      <c r="F9" s="238" t="s">
        <v>1574</v>
      </c>
    </row>
    <row r="10" spans="1:9" ht="15" x14ac:dyDescent="0.2">
      <c r="A10" s="238" t="s">
        <v>1562</v>
      </c>
      <c r="B10" s="241">
        <f>'DOE25'!G112-'DOE25'!G97</f>
        <v>1304.7100000000064</v>
      </c>
      <c r="F10" s="238" t="s">
        <v>1575</v>
      </c>
    </row>
    <row r="11" spans="1:9" ht="15" x14ac:dyDescent="0.2">
      <c r="A11" s="238" t="s">
        <v>1563</v>
      </c>
      <c r="B11" s="241">
        <f>'DOE25'!G140</f>
        <v>2970.63</v>
      </c>
      <c r="F11" s="238" t="s">
        <v>1576</v>
      </c>
    </row>
    <row r="12" spans="1:9" ht="15" x14ac:dyDescent="0.2">
      <c r="A12" s="238" t="s">
        <v>1564</v>
      </c>
      <c r="B12" s="241">
        <f>'DOE25'!G170</f>
        <v>90276.41</v>
      </c>
      <c r="F12" s="238" t="s">
        <v>1577</v>
      </c>
    </row>
    <row r="13" spans="1:9" ht="15" x14ac:dyDescent="0.2">
      <c r="A13" s="238" t="s">
        <v>1565</v>
      </c>
      <c r="B13" s="241">
        <f>'DOE25'!G193-'DOE25'!G180</f>
        <v>0</v>
      </c>
      <c r="F13" s="238" t="s">
        <v>1587</v>
      </c>
    </row>
    <row r="14" spans="1:9" ht="18" x14ac:dyDescent="0.25">
      <c r="A14" s="240" t="s">
        <v>732</v>
      </c>
      <c r="B14" s="242">
        <f>SUM(B9:B13)</f>
        <v>199653.19</v>
      </c>
    </row>
    <row r="16" spans="1:9" ht="18" x14ac:dyDescent="0.25">
      <c r="A16" s="240" t="s">
        <v>786</v>
      </c>
      <c r="F16" s="247" t="s">
        <v>1579</v>
      </c>
    </row>
    <row r="17" spans="1:6" ht="15" x14ac:dyDescent="0.2">
      <c r="A17" s="238" t="s">
        <v>1566</v>
      </c>
      <c r="B17" s="241">
        <f>'DOE25'!L363-'DOE25'!L362</f>
        <v>203872.37</v>
      </c>
      <c r="F17" s="238" t="s">
        <v>1580</v>
      </c>
    </row>
    <row r="18" spans="1:6" ht="15" x14ac:dyDescent="0.2">
      <c r="A18" s="238" t="s">
        <v>1567</v>
      </c>
      <c r="B18" s="251"/>
      <c r="F18" s="247" t="s">
        <v>1604</v>
      </c>
    </row>
    <row r="19" spans="1:6" ht="18" x14ac:dyDescent="0.25">
      <c r="A19" s="240" t="s">
        <v>725</v>
      </c>
      <c r="B19" s="242">
        <f>SUM(B17:B18)</f>
        <v>203872.37</v>
      </c>
    </row>
    <row r="21" spans="1:6" ht="18.75" thickBot="1" x14ac:dyDescent="0.3">
      <c r="A21" s="240" t="s">
        <v>1568</v>
      </c>
    </row>
    <row r="22" spans="1:6" ht="18.75" thickTop="1" x14ac:dyDescent="0.25">
      <c r="A22" s="240" t="s">
        <v>1569</v>
      </c>
      <c r="B22" s="246">
        <f>B14-B19</f>
        <v>-4219.179999999993</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51056.92</v>
      </c>
      <c r="F31" s="238" t="s">
        <v>1584</v>
      </c>
    </row>
    <row r="33" spans="1:6" ht="15" x14ac:dyDescent="0.2">
      <c r="A33" s="238" t="s">
        <v>1798</v>
      </c>
      <c r="B33" s="241">
        <f>'DOE25'!G477</f>
        <v>46837.740000000049</v>
      </c>
      <c r="F33" s="238" t="s">
        <v>1585</v>
      </c>
    </row>
    <row r="36" spans="1:6" ht="15" x14ac:dyDescent="0.2">
      <c r="A36" s="238" t="s">
        <v>1571</v>
      </c>
      <c r="B36" s="252">
        <f>18875+15250</f>
        <v>34125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58" sqref="B5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Strafford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1709221.4900000002</v>
      </c>
      <c r="C9" s="167">
        <f>'DOE25'!G198+'DOE25'!G216+'DOE25'!G234+'DOE25'!G277+'DOE25'!G296+'DOE25'!G315</f>
        <v>1180268.23</v>
      </c>
    </row>
    <row r="10" spans="1:3" x14ac:dyDescent="0.2">
      <c r="A10" t="s">
        <v>775</v>
      </c>
      <c r="B10" s="177">
        <v>1530728.56</v>
      </c>
      <c r="C10" s="177">
        <f>0.895571*C9</f>
        <v>1057013.9990093301</v>
      </c>
    </row>
    <row r="11" spans="1:3" x14ac:dyDescent="0.2">
      <c r="A11" t="s">
        <v>776</v>
      </c>
      <c r="B11" s="177">
        <v>94608.05</v>
      </c>
      <c r="C11" s="177">
        <f>+C9*0.055352</f>
        <v>65330.20706696</v>
      </c>
    </row>
    <row r="12" spans="1:3" x14ac:dyDescent="0.2">
      <c r="A12" t="s">
        <v>777</v>
      </c>
      <c r="B12" s="177">
        <f>83794.88+90</f>
        <v>83884.88</v>
      </c>
      <c r="C12" s="177">
        <f>+C9-C10-C11</f>
        <v>57924.023923709923</v>
      </c>
    </row>
    <row r="13" spans="1:3" x14ac:dyDescent="0.2">
      <c r="A13" t="str">
        <f>IF(B9=B13,IF(C9=C13,"Check Total OK","Check Total Error"),"Check Total Error")</f>
        <v>Check Total OK</v>
      </c>
      <c r="B13" s="169">
        <f>SUM(B10:B12)</f>
        <v>1709221.4900000002</v>
      </c>
      <c r="C13" s="169">
        <f>SUM(C10:C12)</f>
        <v>1180268.23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732769.00999999989</v>
      </c>
      <c r="C18" s="167">
        <f>'DOE25'!G199+'DOE25'!G217+'DOE25'!G235+'DOE25'!G278+'DOE25'!G297+'DOE25'!G316</f>
        <v>311619.43</v>
      </c>
    </row>
    <row r="19" spans="1:3" x14ac:dyDescent="0.2">
      <c r="A19" t="s">
        <v>775</v>
      </c>
      <c r="B19" s="177">
        <v>168002.46</v>
      </c>
      <c r="C19" s="177">
        <f>+C18*0.23</f>
        <v>71672.468900000007</v>
      </c>
    </row>
    <row r="20" spans="1:3" x14ac:dyDescent="0.2">
      <c r="A20" t="s">
        <v>776</v>
      </c>
      <c r="B20" s="177">
        <f>394821.4+139689.13</f>
        <v>534510.53</v>
      </c>
      <c r="C20" s="177">
        <f>+C18*0.73</f>
        <v>227482.1839</v>
      </c>
    </row>
    <row r="21" spans="1:3" x14ac:dyDescent="0.2">
      <c r="A21" t="s">
        <v>777</v>
      </c>
      <c r="B21" s="177">
        <f>6470.08+732769.01-708983.07</f>
        <v>30256.020000000019</v>
      </c>
      <c r="C21" s="177">
        <f>+C18-C19-C20</f>
        <v>12464.777199999982</v>
      </c>
    </row>
    <row r="22" spans="1:3" x14ac:dyDescent="0.2">
      <c r="A22" t="str">
        <f>IF(B18=B22,IF(C18=C22,"Check Total OK","Check Total Error"),"Check Total Error")</f>
        <v>Check Total OK</v>
      </c>
      <c r="B22" s="169">
        <f>SUM(B19:B21)</f>
        <v>732769.01</v>
      </c>
      <c r="C22" s="169">
        <f>SUM(C19:C21)</f>
        <v>311619.43000000005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35828.380000000005</v>
      </c>
      <c r="C36" s="173">
        <f>'DOE25'!G201+'DOE25'!G219+'DOE25'!G237+'DOE25'!G280+'DOE25'!G299+'DOE25'!G318</f>
        <v>4007.9600000000005</v>
      </c>
    </row>
    <row r="37" spans="1:3" x14ac:dyDescent="0.2">
      <c r="A37" t="s">
        <v>775</v>
      </c>
      <c r="B37" s="177"/>
      <c r="C37" s="177"/>
    </row>
    <row r="38" spans="1:3" x14ac:dyDescent="0.2">
      <c r="A38" t="s">
        <v>776</v>
      </c>
      <c r="B38" s="177"/>
      <c r="C38" s="177"/>
    </row>
    <row r="39" spans="1:3" x14ac:dyDescent="0.2">
      <c r="A39" t="s">
        <v>777</v>
      </c>
      <c r="B39" s="177">
        <v>35828.379999999997</v>
      </c>
      <c r="C39" s="177">
        <v>4007.96</v>
      </c>
    </row>
    <row r="40" spans="1:3" x14ac:dyDescent="0.2">
      <c r="A40" t="str">
        <f>IF(B36=B40,IF(C36=C40,"Check Total OK","Check Total Error"),"Check Total Error")</f>
        <v>Check Total OK</v>
      </c>
      <c r="B40" s="169">
        <f>SUM(B37:B39)</f>
        <v>35828.379999999997</v>
      </c>
      <c r="C40" s="169">
        <f>SUM(C37:C39)</f>
        <v>4007.96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M21" sqref="M2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Strafford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8222709.79</v>
      </c>
      <c r="D5" s="19">
        <f>SUM('DOE25'!L198:L201)+SUM('DOE25'!L216:L219)+SUM('DOE25'!L234:L237)-F5-G5-H5</f>
        <v>8221498.2199999997</v>
      </c>
      <c r="E5" s="180"/>
      <c r="F5" s="181"/>
      <c r="G5" s="19">
        <f>SUM('DOE25'!J198:J201)+SUM('DOE25'!J216:J219)+SUM('DOE25'!J234:J237)</f>
        <v>1053.99</v>
      </c>
      <c r="H5" s="19">
        <f>SUM('DOE25'!K198:K201)+SUM('DOE25'!K216:K219)+SUM('DOE25'!K234:K237)</f>
        <v>157.58000000000001</v>
      </c>
      <c r="I5" s="192"/>
    </row>
    <row r="6" spans="1:9" x14ac:dyDescent="0.2">
      <c r="A6" s="31">
        <v>2100</v>
      </c>
      <c r="B6" t="s">
        <v>796</v>
      </c>
      <c r="C6" s="206">
        <f t="shared" si="0"/>
        <v>564217.18000000005</v>
      </c>
      <c r="D6" s="19">
        <f>'DOE25'!L203+'DOE25'!L221+'DOE25'!L239-F6-G6-H6</f>
        <v>553546.77</v>
      </c>
      <c r="E6" s="180"/>
      <c r="F6" s="181"/>
      <c r="G6" s="19">
        <f>'DOE25'!J203+'DOE25'!J221+'DOE25'!J239</f>
        <v>10670.41</v>
      </c>
      <c r="H6" s="19">
        <f>'DOE25'!K203+'DOE25'!K221+'DOE25'!K239</f>
        <v>0</v>
      </c>
      <c r="I6" s="192"/>
    </row>
    <row r="7" spans="1:9" x14ac:dyDescent="0.2">
      <c r="A7" s="31">
        <v>2200</v>
      </c>
      <c r="B7" t="s">
        <v>820</v>
      </c>
      <c r="C7" s="206">
        <f t="shared" si="0"/>
        <v>418517.76999999996</v>
      </c>
      <c r="D7" s="19">
        <f>'DOE25'!L204+'DOE25'!L222+'DOE25'!L240-F7-G7-H7</f>
        <v>341027.74999999994</v>
      </c>
      <c r="E7" s="180"/>
      <c r="F7" s="181"/>
      <c r="G7" s="19">
        <f>'DOE25'!J204+'DOE25'!J222+'DOE25'!J240</f>
        <v>77490.02</v>
      </c>
      <c r="H7" s="19">
        <f>'DOE25'!K204+'DOE25'!K222+'DOE25'!K240</f>
        <v>0</v>
      </c>
      <c r="I7" s="192"/>
    </row>
    <row r="8" spans="1:9" x14ac:dyDescent="0.2">
      <c r="A8" s="31">
        <v>2300</v>
      </c>
      <c r="B8" t="s">
        <v>797</v>
      </c>
      <c r="C8" s="206">
        <f t="shared" si="0"/>
        <v>446545.06999999995</v>
      </c>
      <c r="D8" s="180"/>
      <c r="E8" s="19">
        <f>'DOE25'!L205+'DOE25'!L223+'DOE25'!L241-F8-G8-H8-D9-D11</f>
        <v>420511.27999999997</v>
      </c>
      <c r="F8" s="181"/>
      <c r="G8" s="19">
        <f>'DOE25'!J205+'DOE25'!J223+'DOE25'!J241</f>
        <v>0</v>
      </c>
      <c r="H8" s="19">
        <f>'DOE25'!K205+'DOE25'!K223+'DOE25'!K241</f>
        <v>26033.79</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453172.17</v>
      </c>
      <c r="D12" s="19">
        <f>'DOE25'!L206+'DOE25'!L224+'DOE25'!L242-F12-G12-H12</f>
        <v>453172.17</v>
      </c>
      <c r="E12" s="180"/>
      <c r="F12" s="181"/>
      <c r="G12" s="19">
        <f>'DOE25'!J206+'DOE25'!J224+'DOE25'!J242</f>
        <v>0</v>
      </c>
      <c r="H12" s="19">
        <f>'DOE25'!K206+'DOE25'!K224+'DOE25'!K242</f>
        <v>0</v>
      </c>
      <c r="I12" s="192"/>
    </row>
    <row r="13" spans="1:9" x14ac:dyDescent="0.2">
      <c r="A13" s="31">
        <v>2500</v>
      </c>
      <c r="B13" t="s">
        <v>798</v>
      </c>
      <c r="C13" s="206">
        <f t="shared" si="0"/>
        <v>114335.27</v>
      </c>
      <c r="D13" s="180"/>
      <c r="E13" s="19">
        <f>'DOE25'!L207+'DOE25'!L225+'DOE25'!L243-F13-G13-H13</f>
        <v>114135.27</v>
      </c>
      <c r="F13" s="181"/>
      <c r="G13" s="19">
        <f>'DOE25'!J207+'DOE25'!J225+'DOE25'!J243</f>
        <v>0</v>
      </c>
      <c r="H13" s="19">
        <f>'DOE25'!K207+'DOE25'!K225+'DOE25'!K243</f>
        <v>200</v>
      </c>
      <c r="I13" s="192"/>
    </row>
    <row r="14" spans="1:9" x14ac:dyDescent="0.2">
      <c r="A14" s="31">
        <v>2600</v>
      </c>
      <c r="B14" t="s">
        <v>818</v>
      </c>
      <c r="C14" s="206">
        <f t="shared" si="0"/>
        <v>595681.41</v>
      </c>
      <c r="D14" s="19">
        <f>'DOE25'!L208+'DOE25'!L226+'DOE25'!L244-F14-G14-H14</f>
        <v>558052.38</v>
      </c>
      <c r="E14" s="180"/>
      <c r="F14" s="181"/>
      <c r="G14" s="19">
        <f>'DOE25'!J208+'DOE25'!J226+'DOE25'!J244</f>
        <v>37629.03</v>
      </c>
      <c r="H14" s="19">
        <f>'DOE25'!K208+'DOE25'!K226+'DOE25'!K244</f>
        <v>0</v>
      </c>
      <c r="I14" s="192"/>
    </row>
    <row r="15" spans="1:9" x14ac:dyDescent="0.2">
      <c r="A15" s="31">
        <v>2700</v>
      </c>
      <c r="B15" t="s">
        <v>799</v>
      </c>
      <c r="C15" s="206">
        <f t="shared" si="0"/>
        <v>640197.05000000005</v>
      </c>
      <c r="D15" s="19">
        <f>'DOE25'!L209+'DOE25'!L227+'DOE25'!L245-F15-G15-H15</f>
        <v>640197.05000000005</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386524.5</v>
      </c>
      <c r="D25" s="180"/>
      <c r="E25" s="180"/>
      <c r="F25" s="191"/>
      <c r="G25" s="180"/>
      <c r="H25" s="180"/>
      <c r="I25" s="190">
        <f>'DOE25'!L261+'DOE25'!L262+'DOE25'!L342+'DOE25'!L343</f>
        <v>386524.5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203872.37</v>
      </c>
      <c r="D29" s="212">
        <f>'DOE25'!L359+'DOE25'!L360+'DOE25'!L361-'DOE25'!I368-F29-G29-H29-F39</f>
        <v>199419.02</v>
      </c>
      <c r="E29" s="180"/>
      <c r="F29" s="180"/>
      <c r="G29" s="19">
        <f>'DOE25'!J359+'DOE25'!J360+'DOE25'!J361</f>
        <v>0</v>
      </c>
      <c r="H29" s="19">
        <f>'DOE25'!K359+'DOE25'!K360+'DOE25'!K361</f>
        <v>4453.3500000000004</v>
      </c>
      <c r="I29" s="192"/>
    </row>
    <row r="30" spans="1:9" x14ac:dyDescent="0.2">
      <c r="A30" s="31"/>
      <c r="C30" s="207"/>
      <c r="D30" s="19"/>
      <c r="F30" s="201"/>
      <c r="G30" s="19"/>
      <c r="H30" s="19"/>
      <c r="I30" s="192"/>
    </row>
    <row r="31" spans="1:9" x14ac:dyDescent="0.2">
      <c r="A31" s="31" t="s">
        <v>817</v>
      </c>
      <c r="B31" t="s">
        <v>816</v>
      </c>
      <c r="C31" s="206">
        <f>SUM(D31:I31)</f>
        <v>227718.97</v>
      </c>
      <c r="D31" s="19">
        <f>'DOE25'!L291+'DOE25'!L310+'DOE25'!L329+'DOE25'!L334+'DOE25'!L335+'DOE25'!L336-F31-G31-H31</f>
        <v>224708.97</v>
      </c>
      <c r="E31" s="180"/>
      <c r="F31" s="181"/>
      <c r="G31" s="19">
        <f>'DOE25'!J291+'DOE25'!J310+'DOE25'!J329+'DOE25'!J334+'DOE25'!J335+'DOE25'!J336</f>
        <v>3010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11191622.330000002</v>
      </c>
      <c r="E33" s="182">
        <f t="shared" si="1"/>
        <v>534646.54999999993</v>
      </c>
      <c r="F33" s="182">
        <f t="shared" si="1"/>
        <v>0</v>
      </c>
      <c r="G33" s="182">
        <f t="shared" si="1"/>
        <v>129853.45</v>
      </c>
      <c r="H33" s="182">
        <f t="shared" si="1"/>
        <v>30844.720000000001</v>
      </c>
      <c r="I33" s="182">
        <f t="shared" si="1"/>
        <v>386524.5</v>
      </c>
    </row>
    <row r="34" spans="1:9" ht="12" thickBot="1" x14ac:dyDescent="0.25"/>
    <row r="35" spans="1:9" ht="12" thickBot="1" x14ac:dyDescent="0.25">
      <c r="B35" s="188" t="s">
        <v>830</v>
      </c>
      <c r="D35" s="189">
        <f>E33</f>
        <v>534646.54999999993</v>
      </c>
      <c r="E35" s="185"/>
      <c r="F35" s="295" t="s">
        <v>1608</v>
      </c>
      <c r="G35" s="296"/>
      <c r="H35" s="296"/>
      <c r="I35" s="297"/>
    </row>
    <row r="36" spans="1:9" ht="12" thickTop="1" x14ac:dyDescent="0.2">
      <c r="B36" t="s">
        <v>810</v>
      </c>
      <c r="D36" s="19">
        <f>D33</f>
        <v>11191622.330000002</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Strafford</v>
      </c>
      <c r="B2">
        <f>'DOE25'!B2</f>
        <v>507</v>
      </c>
      <c r="J2" s="224" t="s">
        <v>1808</v>
      </c>
      <c r="K2" s="309">
        <f>SUM('DOE25'!L198:L201)+SUM('DOE25'!L216:L219)+SUM('DOE25'!L234:L237)+SUM('DOE25'!L277:L280)+SUM('DOE25'!L296:L299)+SUM('DOE25'!L315:L318)</f>
        <v>8369052.0999999996</v>
      </c>
      <c r="L2" s="309">
        <f>'DOE25'!L203+'DOE25'!L221+'DOE25'!L239+'DOE25'!L282+'DOE25'!L301+'DOE25'!L320</f>
        <v>564217.18000000005</v>
      </c>
      <c r="M2" s="309">
        <f>'DOE25'!L204+'DOE25'!L222+'DOE25'!L240+'DOE25'!L283+'DOE25'!L302+'DOE25'!L321</f>
        <v>422917.76999999996</v>
      </c>
      <c r="N2" s="309">
        <f>'DOE25'!L206+'DOE25'!L224+'DOE25'!L242+'DOE25'!L285+'DOE25'!L304+'DOE25'!L323</f>
        <v>453172.17</v>
      </c>
      <c r="O2" s="309">
        <f>'Salaries-Benefits'!B10+'Salaries-Benefits'!B12+'Salaries-Benefits'!B19+'Salaries-Benefits'!B21+'Salaries-Benefits'!B28+'Salaries-Benefits'!B30+'Salaries-Benefits'!B37+'Salaries-Benefits'!B39</f>
        <v>1848700.2999999998</v>
      </c>
      <c r="P2" s="309">
        <f>'Salaries-Benefits'!B11+'Salaries-Benefits'!B20+'Salaries-Benefits'!B29+'Salaries-Benefits'!B38</f>
        <v>629118.58000000007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-8369052.0999999996</v>
      </c>
      <c r="L3" s="311">
        <f t="shared" ref="L3:P3" si="0">L21+L33+L43-L2</f>
        <v>-564217.18000000005</v>
      </c>
      <c r="M3" s="311">
        <f t="shared" si="0"/>
        <v>-422917.76999999996</v>
      </c>
      <c r="N3" s="311">
        <f t="shared" si="0"/>
        <v>-453172.17</v>
      </c>
      <c r="O3" s="311">
        <f t="shared" si="0"/>
        <v>-1848700.2999999998</v>
      </c>
      <c r="P3" s="311">
        <f t="shared" si="0"/>
        <v>-629118.58000000007</v>
      </c>
      <c r="Q3" s="310"/>
      <c r="R3" s="306"/>
      <c r="S3" s="215"/>
      <c r="T3" s="215"/>
      <c r="U3" s="216"/>
    </row>
    <row r="4" spans="1:21" ht="55.5" customHeight="1" thickBot="1" x14ac:dyDescent="0.25">
      <c r="A4" s="224" t="s">
        <v>1522</v>
      </c>
      <c r="B4" s="224" t="s">
        <v>1523</v>
      </c>
      <c r="C4" s="224" t="s">
        <v>896</v>
      </c>
      <c r="D4" s="224" t="s">
        <v>786</v>
      </c>
      <c r="E4" s="224" t="s">
        <v>786</v>
      </c>
      <c r="F4" s="228">
        <f>SUM(F5:F20)</f>
        <v>7275325.3899999997</v>
      </c>
      <c r="G4" s="229">
        <f>'DOE25'!L212+'DOE25'!L291</f>
        <v>7275325.3899999987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v>0</v>
      </c>
      <c r="F5" s="232">
        <f>D5+E5</f>
        <v>0</v>
      </c>
      <c r="G5" s="223"/>
      <c r="H5" s="223"/>
      <c r="J5" s="223"/>
      <c r="K5" s="223"/>
      <c r="L5" s="223"/>
      <c r="M5" s="223"/>
      <c r="N5" s="223"/>
      <c r="O5" s="223"/>
      <c r="P5" s="223"/>
      <c r="Q5" s="223"/>
    </row>
    <row r="6" spans="1:21" x14ac:dyDescent="0.2">
      <c r="A6" t="str" cm="1">
        <f t="array" ref="A6">IFERROR(INDEX('School Tables'!$A$4:$G$325,'School Tables'!$J4,3),"")</f>
        <v>Strafford School</v>
      </c>
      <c r="B6" s="230">
        <f>IFERROR(VLOOKUP(A6,'School Tables'!$C$3:$D$365,2,FALSE),"")</f>
        <v>22100</v>
      </c>
      <c r="C6" s="223" t="str">
        <f>IFERROR(INDEX('School Tables'!$B$3:$B$365,MATCH('School Level Expenditures'!B6,'School Tables'!$D$3:$D$365,0)),"")</f>
        <v>Strafford</v>
      </c>
      <c r="D6" s="220">
        <v>6921656.46</v>
      </c>
      <c r="E6" s="220">
        <v>353668.93</v>
      </c>
      <c r="F6" s="232">
        <f t="shared" ref="F6:F20" si="1">D6+E6</f>
        <v>7275325.3899999997</v>
      </c>
      <c r="G6" s="223"/>
      <c r="H6" s="223"/>
      <c r="J6" t="str">
        <f>A6</f>
        <v>Strafford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6921656.46</v>
      </c>
      <c r="E21" s="262">
        <f>SUM(E5:E20)</f>
        <v>353668.93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4407769.29</v>
      </c>
      <c r="G36" s="229">
        <f>'DOE25'!L248+'DOE25'!L329</f>
        <v>4407769.29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4407769.29</v>
      </c>
      <c r="E37" s="220"/>
      <c r="F37" s="232">
        <f t="shared" ref="F37:F42" si="7">D37+E37</f>
        <v>4407769.29</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4407769.29</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Strafford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1803469.26</v>
      </c>
      <c r="D8" s="73">
        <f>'DOE25'!G9</f>
        <v>0</v>
      </c>
      <c r="E8" s="73">
        <f>'DOE25'!H9</f>
        <v>0</v>
      </c>
      <c r="F8" s="73">
        <f>'DOE25'!I9</f>
        <v>0</v>
      </c>
      <c r="G8" s="73">
        <f>'DOE25'!J9</f>
        <v>0</v>
      </c>
      <c r="H8" s="13">
        <f>SUM(C8:G8)</f>
        <v>1803469.26</v>
      </c>
      <c r="I8" s="90"/>
    </row>
    <row r="9" spans="1:9" x14ac:dyDescent="0.2">
      <c r="A9" s="1" t="s">
        <v>140</v>
      </c>
      <c r="B9" s="6">
        <v>110</v>
      </c>
      <c r="C9" s="73">
        <f>'DOE25'!F10</f>
        <v>0</v>
      </c>
      <c r="D9" s="73">
        <f>'DOE25'!G10</f>
        <v>0</v>
      </c>
      <c r="E9" s="73">
        <f>'DOE25'!H10</f>
        <v>0</v>
      </c>
      <c r="F9" s="73">
        <f>'DOE25'!I10</f>
        <v>0</v>
      </c>
      <c r="G9" s="73">
        <f>'DOE25'!J10</f>
        <v>544920.31000000006</v>
      </c>
      <c r="H9" s="13">
        <f t="shared" ref="H9:H18" si="0">SUM(C9:G9)</f>
        <v>544920.31000000006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131852.84</v>
      </c>
      <c r="D11" s="73">
        <f>'DOE25'!G12</f>
        <v>27922.559999999998</v>
      </c>
      <c r="E11" s="73">
        <f>'DOE25'!H12</f>
        <v>131852.84</v>
      </c>
      <c r="F11" s="73">
        <f>'DOE25'!I12</f>
        <v>0</v>
      </c>
      <c r="G11" s="73">
        <f>'DOE25'!J12</f>
        <v>0</v>
      </c>
      <c r="H11" s="13">
        <f t="shared" si="0"/>
        <v>291628.24</v>
      </c>
      <c r="I11" s="90"/>
    </row>
    <row r="12" spans="1:9" x14ac:dyDescent="0.2">
      <c r="A12" s="1" t="s">
        <v>143</v>
      </c>
      <c r="B12" s="6">
        <v>140</v>
      </c>
      <c r="C12" s="73">
        <f>'DOE25'!F13</f>
        <v>165478.32</v>
      </c>
      <c r="D12" s="73">
        <f>'DOE25'!G13</f>
        <v>14302.67</v>
      </c>
      <c r="E12" s="73">
        <f>'DOE25'!H13</f>
        <v>0</v>
      </c>
      <c r="F12" s="73">
        <f>'DOE25'!I13</f>
        <v>0</v>
      </c>
      <c r="G12" s="73">
        <f>'DOE25'!J13</f>
        <v>0</v>
      </c>
      <c r="H12" s="13">
        <f t="shared" si="0"/>
        <v>179780.99000000002</v>
      </c>
      <c r="I12" s="90"/>
    </row>
    <row r="13" spans="1:9" x14ac:dyDescent="0.2">
      <c r="A13" s="1" t="s">
        <v>144</v>
      </c>
      <c r="B13" s="6">
        <v>150</v>
      </c>
      <c r="C13" s="73">
        <f>'DOE25'!F14</f>
        <v>0</v>
      </c>
      <c r="D13" s="73">
        <f>'DOE25'!G14</f>
        <v>4713</v>
      </c>
      <c r="E13" s="73">
        <f>'DOE25'!H14</f>
        <v>0</v>
      </c>
      <c r="F13" s="73">
        <f>'DOE25'!I14</f>
        <v>0</v>
      </c>
      <c r="G13" s="73">
        <f>'DOE25'!J14</f>
        <v>0</v>
      </c>
      <c r="H13" s="13">
        <f t="shared" si="0"/>
        <v>4713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5330</v>
      </c>
      <c r="E15" s="73">
        <f>'DOE25'!H16</f>
        <v>0</v>
      </c>
      <c r="F15" s="73">
        <f>'DOE25'!I16</f>
        <v>0</v>
      </c>
      <c r="G15" s="23" t="s">
        <v>288</v>
      </c>
      <c r="H15" s="13">
        <f t="shared" si="0"/>
        <v>5330</v>
      </c>
      <c r="I15" s="90"/>
    </row>
    <row r="16" spans="1:9" x14ac:dyDescent="0.2">
      <c r="A16" s="1" t="s">
        <v>147</v>
      </c>
      <c r="B16" s="6">
        <v>180</v>
      </c>
      <c r="C16" s="73">
        <f>'DOE25'!F17</f>
        <v>124</v>
      </c>
      <c r="D16" s="73">
        <f>'DOE25'!G17</f>
        <v>0</v>
      </c>
      <c r="E16" s="73">
        <f>'DOE25'!H17</f>
        <v>0</v>
      </c>
      <c r="F16" s="73">
        <f>'DOE25'!I17</f>
        <v>0</v>
      </c>
      <c r="G16" s="73">
        <f>'DOE25'!J17</f>
        <v>0</v>
      </c>
      <c r="H16" s="13">
        <f t="shared" si="0"/>
        <v>124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2100924.42</v>
      </c>
      <c r="D18" s="38">
        <f>SUM(D8:D17)</f>
        <v>52268.229999999996</v>
      </c>
      <c r="E18" s="38">
        <f>SUM(E8:E17)</f>
        <v>131852.84</v>
      </c>
      <c r="F18" s="38">
        <f>SUM(F8:F17)</f>
        <v>0</v>
      </c>
      <c r="G18" s="38">
        <f>SUM(G8:G17)</f>
        <v>544920.31000000006</v>
      </c>
      <c r="H18" s="38">
        <f t="shared" si="0"/>
        <v>2829965.8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27922.560000000001</v>
      </c>
      <c r="D21" s="73">
        <f>'DOE25'!G22</f>
        <v>0</v>
      </c>
      <c r="E21" s="73">
        <f>'DOE25'!H22</f>
        <v>131852.84</v>
      </c>
      <c r="F21" s="73">
        <f>'DOE25'!I22</f>
        <v>0</v>
      </c>
      <c r="G21" s="73">
        <f>'DOE25'!J22</f>
        <v>0</v>
      </c>
      <c r="H21" s="13">
        <f t="shared" ref="H21:H31" si="1">SUM(C21:G21)</f>
        <v>159775.4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1243056.1299999999</v>
      </c>
      <c r="D23" s="73">
        <f>'DOE25'!G24</f>
        <v>0</v>
      </c>
      <c r="E23" s="73">
        <f>'DOE25'!H24</f>
        <v>0</v>
      </c>
      <c r="F23" s="73">
        <f>'DOE25'!I24</f>
        <v>0</v>
      </c>
      <c r="G23" s="73">
        <f>'DOE25'!J24</f>
        <v>0</v>
      </c>
      <c r="H23" s="13">
        <f t="shared" si="1"/>
        <v>1243056.1299999999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207538.38</v>
      </c>
      <c r="D27" s="73">
        <f>'DOE25'!G28</f>
        <v>0</v>
      </c>
      <c r="E27" s="73">
        <f>'DOE25'!H28</f>
        <v>0</v>
      </c>
      <c r="F27" s="73">
        <f>'DOE25'!I28</f>
        <v>0</v>
      </c>
      <c r="G27" s="23" t="s">
        <v>288</v>
      </c>
      <c r="H27" s="13">
        <f t="shared" si="1"/>
        <v>207538.38</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5430.49</v>
      </c>
      <c r="E30" s="73">
        <f>'DOE25'!H31</f>
        <v>0</v>
      </c>
      <c r="F30" s="73">
        <f>'DOE25'!I31</f>
        <v>0</v>
      </c>
      <c r="G30" s="73">
        <f>'DOE25'!J31</f>
        <v>0</v>
      </c>
      <c r="H30" s="13">
        <f t="shared" si="1"/>
        <v>5430.49</v>
      </c>
      <c r="I30" s="90"/>
    </row>
    <row r="31" spans="1:9" ht="12" thickTop="1" x14ac:dyDescent="0.2">
      <c r="A31" s="35" t="s">
        <v>160</v>
      </c>
      <c r="B31" s="2"/>
      <c r="C31" s="38">
        <f>SUM(C21:C30)</f>
        <v>1478517.0699999998</v>
      </c>
      <c r="D31" s="38">
        <f>SUM(D21:D30)</f>
        <v>5430.49</v>
      </c>
      <c r="E31" s="38">
        <f>SUM(E21:E30)</f>
        <v>131852.84</v>
      </c>
      <c r="F31" s="38">
        <f>SUM(F21:F30)</f>
        <v>0</v>
      </c>
      <c r="G31" s="38">
        <f>SUM(G21:G30)</f>
        <v>0</v>
      </c>
      <c r="H31" s="38">
        <f t="shared" si="1"/>
        <v>1615800.4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5330</v>
      </c>
      <c r="E34" s="73">
        <f>'DOE25'!H35</f>
        <v>0</v>
      </c>
      <c r="F34" s="73">
        <f>'DOE25'!I35</f>
        <v>0</v>
      </c>
      <c r="G34" s="23" t="s">
        <v>288</v>
      </c>
      <c r="H34" s="13">
        <f t="shared" ref="H34:H51" si="2">SUM(C34:G34)</f>
        <v>5330</v>
      </c>
      <c r="I34" s="90"/>
    </row>
    <row r="35" spans="1:9" x14ac:dyDescent="0.2">
      <c r="A35" s="1" t="s">
        <v>849</v>
      </c>
      <c r="B35" s="6">
        <v>752</v>
      </c>
      <c r="C35" s="73">
        <f>'DOE25'!F36</f>
        <v>124</v>
      </c>
      <c r="D35" s="73">
        <f>'DOE25'!G36</f>
        <v>0</v>
      </c>
      <c r="E35" s="73">
        <f>'DOE25'!H36</f>
        <v>0</v>
      </c>
      <c r="F35" s="73">
        <f>'DOE25'!I36</f>
        <v>0</v>
      </c>
      <c r="G35" s="23" t="s">
        <v>288</v>
      </c>
      <c r="H35" s="13">
        <f t="shared" si="2"/>
        <v>124</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41507.740000000005</v>
      </c>
      <c r="E39" s="23" t="s">
        <v>288</v>
      </c>
      <c r="F39" s="23" t="s">
        <v>288</v>
      </c>
      <c r="G39" s="23" t="s">
        <v>288</v>
      </c>
      <c r="H39" s="13">
        <f t="shared" si="2"/>
        <v>41507.740000000005</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50000</v>
      </c>
      <c r="D43" s="73">
        <f>'DOE25'!G44</f>
        <v>0</v>
      </c>
      <c r="E43" s="73">
        <f>'DOE25'!H44</f>
        <v>0</v>
      </c>
      <c r="F43" s="73">
        <f>'DOE25'!I44</f>
        <v>0</v>
      </c>
      <c r="G43" s="23" t="s">
        <v>288</v>
      </c>
      <c r="H43" s="13">
        <f t="shared" si="2"/>
        <v>50000</v>
      </c>
      <c r="I43" s="90"/>
    </row>
    <row r="44" spans="1:9" x14ac:dyDescent="0.2">
      <c r="A44" s="1" t="s">
        <v>863</v>
      </c>
      <c r="B44" s="6">
        <v>753</v>
      </c>
      <c r="C44" s="73">
        <f>'DOE25'!F45</f>
        <v>72555</v>
      </c>
      <c r="D44" s="73">
        <f>'DOE25'!G45</f>
        <v>0</v>
      </c>
      <c r="E44" s="73">
        <f>'DOE25'!H45</f>
        <v>0</v>
      </c>
      <c r="F44" s="73">
        <f>'DOE25'!I45</f>
        <v>0</v>
      </c>
      <c r="G44" s="73">
        <f>'DOE25'!J45</f>
        <v>0</v>
      </c>
      <c r="H44" s="13">
        <f t="shared" si="2"/>
        <v>72555</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544920.31000000006</v>
      </c>
      <c r="H47" s="13">
        <f t="shared" si="2"/>
        <v>544920.31000000006</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499728.34999999986</v>
      </c>
      <c r="D49" s="23" t="s">
        <v>288</v>
      </c>
      <c r="E49" s="23" t="s">
        <v>288</v>
      </c>
      <c r="F49" s="23" t="s">
        <v>288</v>
      </c>
      <c r="G49" s="23" t="s">
        <v>288</v>
      </c>
      <c r="H49" s="13">
        <f t="shared" si="2"/>
        <v>499728.34999999986</v>
      </c>
      <c r="I49" s="90"/>
    </row>
    <row r="50" spans="1:9" ht="12.75" thickTop="1" thickBot="1" x14ac:dyDescent="0.25">
      <c r="A50" s="35" t="s">
        <v>883</v>
      </c>
      <c r="B50" s="44"/>
      <c r="C50" s="38">
        <f>SUM(C34:C49)</f>
        <v>622407.34999999986</v>
      </c>
      <c r="D50" s="38">
        <f>SUM(D34:D49)</f>
        <v>46837.740000000005</v>
      </c>
      <c r="E50" s="38">
        <f>SUM(E34:E49)</f>
        <v>0</v>
      </c>
      <c r="F50" s="38">
        <f>SUM(F34:F49)</f>
        <v>0</v>
      </c>
      <c r="G50" s="38">
        <f>SUM(G34:G49)</f>
        <v>544920.31000000006</v>
      </c>
      <c r="H50" s="38">
        <f t="shared" si="2"/>
        <v>1214165.3999999999</v>
      </c>
      <c r="I50" s="90"/>
    </row>
    <row r="51" spans="1:9" ht="12" thickTop="1" x14ac:dyDescent="0.2">
      <c r="A51" s="35" t="s">
        <v>884</v>
      </c>
      <c r="B51" s="2"/>
      <c r="C51" s="38">
        <f>C50+C31</f>
        <v>2100924.42</v>
      </c>
      <c r="D51" s="38">
        <f>D50+D31</f>
        <v>52268.23</v>
      </c>
      <c r="E51" s="38">
        <f>E50+E31</f>
        <v>131852.84</v>
      </c>
      <c r="F51" s="38">
        <f>F50+F31</f>
        <v>0</v>
      </c>
      <c r="G51" s="38">
        <f>G50+G31</f>
        <v>544920.31000000006</v>
      </c>
      <c r="H51" s="38">
        <f t="shared" si="2"/>
        <v>2829965.8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7909260</v>
      </c>
      <c r="D56" s="73">
        <f>'DOE25'!G60</f>
        <v>0</v>
      </c>
      <c r="E56" s="73">
        <f>'DOE25'!H60</f>
        <v>0</v>
      </c>
      <c r="F56" s="73">
        <f>'DOE25'!I60</f>
        <v>0</v>
      </c>
      <c r="G56" s="73">
        <f>'DOE25'!J60</f>
        <v>0</v>
      </c>
      <c r="H56" s="13">
        <f t="shared" ref="H56:H63" si="3">SUM(C56:G56)</f>
        <v>7909260</v>
      </c>
      <c r="I56"/>
    </row>
    <row r="57" spans="1:9" x14ac:dyDescent="0.2">
      <c r="A57" s="1" t="s">
        <v>164</v>
      </c>
      <c r="B57" s="6" t="s">
        <v>165</v>
      </c>
      <c r="C57" s="73">
        <f>'DOE25'!F79</f>
        <v>15419.95</v>
      </c>
      <c r="D57" s="23" t="s">
        <v>288</v>
      </c>
      <c r="E57" s="73">
        <f>'DOE25'!H79</f>
        <v>0</v>
      </c>
      <c r="F57" s="23" t="s">
        <v>288</v>
      </c>
      <c r="G57" s="23" t="s">
        <v>288</v>
      </c>
      <c r="H57" s="13">
        <f t="shared" si="3"/>
        <v>15419.95</v>
      </c>
      <c r="I57"/>
    </row>
    <row r="58" spans="1:9" x14ac:dyDescent="0.2">
      <c r="A58" s="1" t="s">
        <v>166</v>
      </c>
      <c r="B58" s="6" t="s">
        <v>167</v>
      </c>
      <c r="C58" s="73">
        <f>'DOE25'!F94</f>
        <v>9175</v>
      </c>
      <c r="D58" s="23" t="s">
        <v>288</v>
      </c>
      <c r="E58" s="73">
        <f>'DOE25'!H94</f>
        <v>0</v>
      </c>
      <c r="F58" s="23" t="s">
        <v>288</v>
      </c>
      <c r="G58" s="23" t="s">
        <v>288</v>
      </c>
      <c r="H58" s="13">
        <f t="shared" si="3"/>
        <v>9175</v>
      </c>
      <c r="I58"/>
    </row>
    <row r="59" spans="1:9" x14ac:dyDescent="0.2">
      <c r="A59" s="1" t="s">
        <v>168</v>
      </c>
      <c r="B59" s="6" t="s">
        <v>169</v>
      </c>
      <c r="C59" s="73">
        <f>'DOE25'!F96</f>
        <v>31669.17</v>
      </c>
      <c r="D59" s="73">
        <f>'DOE25'!G96</f>
        <v>0</v>
      </c>
      <c r="E59" s="73">
        <f>'DOE25'!H96</f>
        <v>0</v>
      </c>
      <c r="F59" s="73">
        <f>'DOE25'!I96</f>
        <v>0</v>
      </c>
      <c r="G59" s="73">
        <f>'DOE25'!J96</f>
        <v>19416.080000000002</v>
      </c>
      <c r="H59" s="13">
        <f t="shared" si="3"/>
        <v>51085.25</v>
      </c>
      <c r="I59"/>
    </row>
    <row r="60" spans="1:9" x14ac:dyDescent="0.2">
      <c r="A60" s="1" t="s">
        <v>170</v>
      </c>
      <c r="B60" s="22" t="s">
        <v>171</v>
      </c>
      <c r="C60" s="23" t="s">
        <v>288</v>
      </c>
      <c r="D60" s="73">
        <f>'DOE25'!G97</f>
        <v>105101.44</v>
      </c>
      <c r="E60" s="23" t="s">
        <v>288</v>
      </c>
      <c r="F60" s="23" t="s">
        <v>288</v>
      </c>
      <c r="G60" s="23" t="s">
        <v>288</v>
      </c>
      <c r="H60" s="13">
        <f t="shared" si="3"/>
        <v>105101.44</v>
      </c>
      <c r="I60"/>
    </row>
    <row r="61" spans="1:9" ht="12" thickBot="1" x14ac:dyDescent="0.25">
      <c r="A61" s="1" t="s">
        <v>172</v>
      </c>
      <c r="B61" s="22" t="s">
        <v>173</v>
      </c>
      <c r="C61" s="73">
        <f>SUM('DOE25'!F98:F110)</f>
        <v>12550.29</v>
      </c>
      <c r="D61" s="73">
        <f>SUM('DOE25'!G98:G110)</f>
        <v>1304.71</v>
      </c>
      <c r="E61" s="73">
        <f>SUM('DOE25'!H98:H110)</f>
        <v>0</v>
      </c>
      <c r="F61" s="73">
        <f>SUM('DOE25'!I98:I110)</f>
        <v>0</v>
      </c>
      <c r="G61" s="73">
        <f>SUM('DOE25'!J98:J110)</f>
        <v>0</v>
      </c>
      <c r="H61" s="13">
        <f t="shared" si="3"/>
        <v>13855</v>
      </c>
      <c r="I61"/>
    </row>
    <row r="62" spans="1:9" ht="12.75" thickTop="1" thickBot="1" x14ac:dyDescent="0.25">
      <c r="A62" s="28" t="s">
        <v>174</v>
      </c>
      <c r="B62" s="6"/>
      <c r="C62" s="93">
        <f>SUM(C57:C61)</f>
        <v>68814.41</v>
      </c>
      <c r="D62" s="93">
        <f>SUM(D57:D61)</f>
        <v>106406.15000000001</v>
      </c>
      <c r="E62" s="93">
        <f>SUM(E57:E61)</f>
        <v>0</v>
      </c>
      <c r="F62" s="93">
        <f>SUM(F57:F61)</f>
        <v>0</v>
      </c>
      <c r="G62" s="93">
        <f>SUM(G57:G61)</f>
        <v>19416.080000000002</v>
      </c>
      <c r="H62" s="13">
        <f t="shared" si="3"/>
        <v>194636.64</v>
      </c>
      <c r="I62"/>
    </row>
    <row r="63" spans="1:9" ht="12" thickTop="1" x14ac:dyDescent="0.2">
      <c r="A63" s="28" t="s">
        <v>175</v>
      </c>
      <c r="B63" s="6"/>
      <c r="C63" s="21">
        <f>C56+C62</f>
        <v>7978074.4100000001</v>
      </c>
      <c r="D63" s="21">
        <f>D56+D62</f>
        <v>106406.15000000001</v>
      </c>
      <c r="E63" s="21">
        <f>E56+E62</f>
        <v>0</v>
      </c>
      <c r="F63" s="21">
        <f>F56+F62</f>
        <v>0</v>
      </c>
      <c r="G63" s="21">
        <f>G56+G62</f>
        <v>19416.080000000002</v>
      </c>
      <c r="H63" s="13">
        <f t="shared" si="3"/>
        <v>8103896.6400000006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2520439.23</v>
      </c>
      <c r="D66" s="23" t="s">
        <v>288</v>
      </c>
      <c r="E66" s="23" t="s">
        <v>288</v>
      </c>
      <c r="F66" s="23" t="s">
        <v>288</v>
      </c>
      <c r="G66" s="23" t="s">
        <v>288</v>
      </c>
      <c r="H66" s="13">
        <f t="shared" ref="H66:H81" si="4">SUM(C66:G66)</f>
        <v>2520439.23</v>
      </c>
      <c r="I66"/>
    </row>
    <row r="67" spans="1:9" x14ac:dyDescent="0.2">
      <c r="A67" s="1" t="s">
        <v>770</v>
      </c>
      <c r="B67" s="6">
        <v>3112</v>
      </c>
      <c r="C67" s="73">
        <f>'DOE25'!F118</f>
        <v>805900</v>
      </c>
      <c r="D67" s="23"/>
      <c r="E67" s="23"/>
      <c r="F67" s="23"/>
      <c r="G67" s="23"/>
      <c r="H67" s="13">
        <f t="shared" si="4"/>
        <v>805900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35091.230000000003</v>
      </c>
      <c r="D69" s="73">
        <f>'DOE25'!G120</f>
        <v>0</v>
      </c>
      <c r="E69" s="73">
        <f>'DOE25'!H120</f>
        <v>0</v>
      </c>
      <c r="F69" s="73">
        <f>'DOE25'!I120</f>
        <v>0</v>
      </c>
      <c r="G69" s="73">
        <f>'DOE25'!J120</f>
        <v>0</v>
      </c>
      <c r="H69" s="13">
        <f t="shared" si="4"/>
        <v>35091.230000000003</v>
      </c>
      <c r="I69"/>
    </row>
    <row r="70" spans="1:9" ht="12" thickTop="1" x14ac:dyDescent="0.2">
      <c r="A70" s="28" t="s">
        <v>252</v>
      </c>
      <c r="B70" s="2"/>
      <c r="C70" s="97">
        <f>SUM(C66:C69)</f>
        <v>3361430.46</v>
      </c>
      <c r="D70" s="97">
        <f>D69</f>
        <v>0</v>
      </c>
      <c r="E70" s="97">
        <f>E69</f>
        <v>0</v>
      </c>
      <c r="F70" s="97">
        <f>F69</f>
        <v>0</v>
      </c>
      <c r="G70" s="97">
        <f>G69</f>
        <v>0</v>
      </c>
      <c r="H70" s="13">
        <f t="shared" si="4"/>
        <v>3361430.46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84982.5</v>
      </c>
      <c r="D72" s="23" t="s">
        <v>288</v>
      </c>
      <c r="E72" s="23" t="s">
        <v>288</v>
      </c>
      <c r="F72" s="73">
        <f>'DOE25'!I123</f>
        <v>0</v>
      </c>
      <c r="G72" s="23" t="s">
        <v>288</v>
      </c>
      <c r="H72" s="13">
        <f t="shared" si="4"/>
        <v>84982.5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13806.81</v>
      </c>
      <c r="D75" s="23" t="s">
        <v>288</v>
      </c>
      <c r="E75" s="23" t="s">
        <v>288</v>
      </c>
      <c r="F75" s="23" t="s">
        <v>288</v>
      </c>
      <c r="G75" s="23" t="s">
        <v>288</v>
      </c>
      <c r="H75" s="13">
        <f t="shared" si="4"/>
        <v>13806.81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2970.63</v>
      </c>
      <c r="E77" s="73">
        <f>SUM('DOE25'!H131:H135)</f>
        <v>0</v>
      </c>
      <c r="F77" s="73">
        <f>SUM('DOE25'!I131:I135)</f>
        <v>0</v>
      </c>
      <c r="G77" s="73">
        <f>SUM('DOE25'!J131:J135)</f>
        <v>0</v>
      </c>
      <c r="H77" s="13">
        <f t="shared" si="4"/>
        <v>2970.63</v>
      </c>
      <c r="I77"/>
    </row>
    <row r="78" spans="1:9" ht="12.75" thickTop="1" thickBot="1" x14ac:dyDescent="0.25">
      <c r="A78" s="28" t="s">
        <v>259</v>
      </c>
      <c r="B78" s="6"/>
      <c r="C78" s="93">
        <f>SUM(C72:C77)</f>
        <v>98789.31</v>
      </c>
      <c r="D78" s="93">
        <f>SUM(D72:D77)</f>
        <v>2970.63</v>
      </c>
      <c r="E78" s="93">
        <f>SUM(E72:E77)</f>
        <v>0</v>
      </c>
      <c r="F78" s="93">
        <f>SUM(F72:F77)</f>
        <v>0</v>
      </c>
      <c r="G78" s="93">
        <f>SUM(G72:G77)</f>
        <v>0</v>
      </c>
      <c r="H78" s="13">
        <f t="shared" si="4"/>
        <v>101759.94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3460219.77</v>
      </c>
      <c r="D81" s="93">
        <f>SUM(D79:D80)+D78+D70</f>
        <v>2970.63</v>
      </c>
      <c r="E81" s="93">
        <f>SUM(E79:E80)+E78+E70</f>
        <v>0</v>
      </c>
      <c r="F81" s="93">
        <f>SUM(F79:F80)+F78+F70</f>
        <v>0</v>
      </c>
      <c r="G81" s="93">
        <f>SUM(G79:G80)+G78+G70</f>
        <v>0</v>
      </c>
      <c r="H81" s="93">
        <f t="shared" si="4"/>
        <v>3463190.4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10250</v>
      </c>
      <c r="F87" s="73">
        <f>SUM('DOE25'!I149:I152)</f>
        <v>0</v>
      </c>
      <c r="G87" s="23" t="s">
        <v>288</v>
      </c>
      <c r="H87" s="13">
        <f t="shared" si="5"/>
        <v>10250</v>
      </c>
    </row>
    <row r="88" spans="1:9" x14ac:dyDescent="0.2">
      <c r="A88" s="217" t="s">
        <v>747</v>
      </c>
      <c r="B88" s="231" t="s">
        <v>184</v>
      </c>
      <c r="C88" s="253">
        <f>SUM('DOE25'!F153:F162)</f>
        <v>35673.550000000003</v>
      </c>
      <c r="D88" s="253">
        <f>SUM('DOE25'!G153:G162)</f>
        <v>90276.41</v>
      </c>
      <c r="E88" s="253">
        <f>SUM('DOE25'!H153:H162)</f>
        <v>217468.97</v>
      </c>
      <c r="F88" s="253">
        <f>SUM('DOE25'!I153:I162)</f>
        <v>0</v>
      </c>
      <c r="G88" s="23" t="s">
        <v>288</v>
      </c>
      <c r="H88" s="13">
        <f t="shared" si="5"/>
        <v>343418.93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35673.550000000003</v>
      </c>
      <c r="D91" s="94">
        <f>SUM(D85:D90)</f>
        <v>90276.41</v>
      </c>
      <c r="E91" s="94">
        <f>SUM(E85:E90)</f>
        <v>227718.97</v>
      </c>
      <c r="F91" s="94">
        <f>SUM(F85:F90)</f>
        <v>0</v>
      </c>
      <c r="G91" s="23" t="s">
        <v>288</v>
      </c>
      <c r="H91" s="13">
        <f t="shared" si="5"/>
        <v>353668.93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50000</v>
      </c>
      <c r="H96" s="13">
        <f t="shared" si="5"/>
        <v>50000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26544.67</v>
      </c>
      <c r="D99" s="73">
        <f>'DOE25'!G186</f>
        <v>0</v>
      </c>
      <c r="E99" s="73">
        <f>'DOE25'!H186</f>
        <v>0</v>
      </c>
      <c r="F99" s="73">
        <f>'DOE25'!I186</f>
        <v>0</v>
      </c>
      <c r="G99" s="23" t="s">
        <v>288</v>
      </c>
      <c r="H99" s="13">
        <f t="shared" si="5"/>
        <v>26544.67</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26544.67</v>
      </c>
      <c r="D103" s="68">
        <f>SUM(D93:D102)</f>
        <v>0</v>
      </c>
      <c r="E103" s="68">
        <f>SUM(E93:E102)</f>
        <v>0</v>
      </c>
      <c r="F103" s="68">
        <f>SUM(F93:F102)</f>
        <v>0</v>
      </c>
      <c r="G103" s="68">
        <f>SUM(G93:G102)</f>
        <v>50000</v>
      </c>
      <c r="H103" s="68">
        <f t="shared" si="5"/>
        <v>76544.67</v>
      </c>
    </row>
    <row r="104" spans="1:8" ht="12.75" thickTop="1" thickBot="1" x14ac:dyDescent="0.25">
      <c r="A104" s="32" t="s">
        <v>761</v>
      </c>
      <c r="C104" s="68">
        <f>C63+C81+C91+C103</f>
        <v>11500512.4</v>
      </c>
      <c r="D104" s="68">
        <f>D63+D81+D91+D103</f>
        <v>199653.19</v>
      </c>
      <c r="E104" s="68">
        <f>E63+E81+E91+E103</f>
        <v>227718.97</v>
      </c>
      <c r="F104" s="68">
        <f>F63+F81+F91+F103</f>
        <v>0</v>
      </c>
      <c r="G104" s="68">
        <f>G63+G81+G103</f>
        <v>69416.08</v>
      </c>
      <c r="H104" s="68">
        <f t="shared" si="5"/>
        <v>11997300.640000001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6705104.0200000005</v>
      </c>
      <c r="D109" s="23" t="s">
        <v>288</v>
      </c>
      <c r="E109" s="73">
        <f>('DOE25'!L277)+('DOE25'!L296)+('DOE25'!L315)</f>
        <v>69443.039999999994</v>
      </c>
      <c r="F109" s="23" t="s">
        <v>288</v>
      </c>
      <c r="G109" s="23" t="s">
        <v>288</v>
      </c>
      <c r="H109" s="13">
        <f t="shared" ref="H109:H115" si="6">SUM(C109:G109)</f>
        <v>6774547.0600000005</v>
      </c>
    </row>
    <row r="110" spans="1:8" x14ac:dyDescent="0.2">
      <c r="A110" t="s">
        <v>198</v>
      </c>
      <c r="B110" s="31" t="s">
        <v>199</v>
      </c>
      <c r="C110" s="73">
        <f>('DOE25'!L199)+('DOE25'!L217)+('DOE25'!L235)</f>
        <v>1476399.9499999997</v>
      </c>
      <c r="D110" s="23" t="s">
        <v>288</v>
      </c>
      <c r="E110" s="73">
        <f>('DOE25'!L278)+('DOE25'!L297)+('DOE25'!L316)</f>
        <v>71685.760000000009</v>
      </c>
      <c r="F110" s="23" t="s">
        <v>288</v>
      </c>
      <c r="G110" s="23" t="s">
        <v>288</v>
      </c>
      <c r="H110" s="13">
        <f t="shared" si="6"/>
        <v>1548085.7099999997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41205.82</v>
      </c>
      <c r="D112" s="23" t="s">
        <v>288</v>
      </c>
      <c r="E112" s="73">
        <f>+('DOE25'!L280)+('DOE25'!L299)+('DOE25'!L318)</f>
        <v>5213.51</v>
      </c>
      <c r="F112" s="23" t="s">
        <v>288</v>
      </c>
      <c r="G112" s="23" t="s">
        <v>288</v>
      </c>
      <c r="H112" s="13">
        <f t="shared" si="6"/>
        <v>46419.33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8222709.790000001</v>
      </c>
      <c r="D115" s="68">
        <f>SUM(D109:D114)</f>
        <v>0</v>
      </c>
      <c r="E115" s="68">
        <f>SUM(E109:E114)</f>
        <v>146342.31</v>
      </c>
      <c r="F115" s="68">
        <f>SUM(F109:F114)</f>
        <v>0</v>
      </c>
      <c r="G115" s="68">
        <f>SUM(G109:G114)</f>
        <v>0</v>
      </c>
      <c r="H115" s="68">
        <f t="shared" si="6"/>
        <v>8369052.1000000006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564217.18000000005</v>
      </c>
      <c r="D118" s="23" t="s">
        <v>288</v>
      </c>
      <c r="E118" s="73">
        <f>+('DOE25'!L282)+('DOE25'!L301)+('DOE25'!L320)</f>
        <v>0</v>
      </c>
      <c r="F118" s="23" t="s">
        <v>288</v>
      </c>
      <c r="G118" s="23" t="s">
        <v>288</v>
      </c>
      <c r="H118" s="13">
        <f t="shared" ref="H118:H145" si="7">SUM(C118:G118)</f>
        <v>564217.18000000005</v>
      </c>
    </row>
    <row r="119" spans="1:8" x14ac:dyDescent="0.2">
      <c r="A119" t="s">
        <v>208</v>
      </c>
      <c r="B119" s="31" t="s">
        <v>209</v>
      </c>
      <c r="C119" s="73">
        <f>('DOE25'!L204)+('DOE25'!L222)+('DOE25'!L240)</f>
        <v>418517.76999999996</v>
      </c>
      <c r="D119" s="23" t="s">
        <v>288</v>
      </c>
      <c r="E119" s="73">
        <f>+('DOE25'!L283)+('DOE25'!L302)+('DOE25'!L321)</f>
        <v>4400</v>
      </c>
      <c r="F119" s="23" t="s">
        <v>288</v>
      </c>
      <c r="G119" s="23" t="s">
        <v>288</v>
      </c>
      <c r="H119" s="13">
        <f t="shared" si="7"/>
        <v>422917.76999999996</v>
      </c>
    </row>
    <row r="120" spans="1:8" x14ac:dyDescent="0.2">
      <c r="A120" t="s">
        <v>210</v>
      </c>
      <c r="B120" s="31" t="s">
        <v>211</v>
      </c>
      <c r="C120" s="73">
        <f>('DOE25'!L205)+('DOE25'!L223)+('DOE25'!L241)</f>
        <v>446545.06999999995</v>
      </c>
      <c r="D120" s="23" t="s">
        <v>288</v>
      </c>
      <c r="E120" s="73">
        <f>+('DOE25'!L284)+('DOE25'!L303)+('DOE25'!L322)</f>
        <v>76976.66</v>
      </c>
      <c r="F120" s="23" t="s">
        <v>288</v>
      </c>
      <c r="G120" s="23" t="s">
        <v>288</v>
      </c>
      <c r="H120" s="13">
        <f t="shared" si="7"/>
        <v>523521.73</v>
      </c>
    </row>
    <row r="121" spans="1:8" x14ac:dyDescent="0.2">
      <c r="A121" t="s">
        <v>212</v>
      </c>
      <c r="B121" s="31" t="s">
        <v>213</v>
      </c>
      <c r="C121" s="73">
        <f>('DOE25'!L206)+('DOE25'!L224)+('DOE25'!L242)</f>
        <v>453172.17</v>
      </c>
      <c r="D121" s="23" t="s">
        <v>288</v>
      </c>
      <c r="E121" s="73">
        <f>+('DOE25'!L285)+('DOE25'!L304)+('DOE25'!L323)</f>
        <v>0</v>
      </c>
      <c r="F121" s="23" t="s">
        <v>288</v>
      </c>
      <c r="G121" s="23" t="s">
        <v>288</v>
      </c>
      <c r="H121" s="13">
        <f t="shared" si="7"/>
        <v>453172.17</v>
      </c>
    </row>
    <row r="122" spans="1:8" x14ac:dyDescent="0.2">
      <c r="A122" t="s">
        <v>214</v>
      </c>
      <c r="B122" s="31" t="s">
        <v>215</v>
      </c>
      <c r="C122" s="73">
        <f>('DOE25'!L207)+('DOE25'!L225)+('DOE25'!L243)</f>
        <v>114335.27</v>
      </c>
      <c r="D122" s="23" t="s">
        <v>288</v>
      </c>
      <c r="E122" s="73">
        <f>+('DOE25'!L286)+('DOE25'!L305)+('DOE25'!L324)</f>
        <v>0</v>
      </c>
      <c r="F122" s="23" t="s">
        <v>288</v>
      </c>
      <c r="G122" s="23" t="s">
        <v>288</v>
      </c>
      <c r="H122" s="13">
        <f t="shared" si="7"/>
        <v>114335.27</v>
      </c>
    </row>
    <row r="123" spans="1:8" x14ac:dyDescent="0.2">
      <c r="A123" t="s">
        <v>216</v>
      </c>
      <c r="B123" s="31" t="s">
        <v>217</v>
      </c>
      <c r="C123" s="73">
        <f>('DOE25'!L208)+('DOE25'!L226)+('DOE25'!L244)</f>
        <v>595681.41</v>
      </c>
      <c r="D123" s="23" t="s">
        <v>288</v>
      </c>
      <c r="E123" s="73">
        <f>+('DOE25'!L287)+('DOE25'!L306)+('DOE25'!L325)</f>
        <v>0</v>
      </c>
      <c r="F123" s="23" t="s">
        <v>288</v>
      </c>
      <c r="G123" s="23" t="s">
        <v>288</v>
      </c>
      <c r="H123" s="13">
        <f t="shared" si="7"/>
        <v>595681.41</v>
      </c>
    </row>
    <row r="124" spans="1:8" x14ac:dyDescent="0.2">
      <c r="A124" t="s">
        <v>218</v>
      </c>
      <c r="B124" s="31" t="s">
        <v>219</v>
      </c>
      <c r="C124" s="73">
        <f>('DOE25'!L209)+('DOE25'!L227)+('DOE25'!L245+'DOE25'!L255)</f>
        <v>640197.05000000005</v>
      </c>
      <c r="D124" s="23" t="s">
        <v>288</v>
      </c>
      <c r="E124" s="73">
        <f>+('DOE25'!L288)+('DOE25'!L307)+('DOE25'!L326)</f>
        <v>0</v>
      </c>
      <c r="F124" s="23" t="s">
        <v>288</v>
      </c>
      <c r="G124" s="23" t="s">
        <v>288</v>
      </c>
      <c r="H124" s="13">
        <f t="shared" si="7"/>
        <v>640197.05000000005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203872.37</v>
      </c>
      <c r="E127" s="23" t="s">
        <v>288</v>
      </c>
      <c r="F127" s="23" t="s">
        <v>288</v>
      </c>
      <c r="G127" s="23" t="s">
        <v>288</v>
      </c>
      <c r="H127" s="13">
        <f t="shared" si="7"/>
        <v>203872.37</v>
      </c>
    </row>
    <row r="128" spans="1:8" ht="12.75" thickTop="1" thickBot="1" x14ac:dyDescent="0.25">
      <c r="A128" s="32" t="s">
        <v>226</v>
      </c>
      <c r="C128" s="68">
        <f>SUM(C118:C127)</f>
        <v>3232665.92</v>
      </c>
      <c r="D128" s="68">
        <f>SUM(D118:D127)</f>
        <v>203872.37</v>
      </c>
      <c r="E128" s="68">
        <f>SUM(E118:E127)</f>
        <v>81376.66</v>
      </c>
      <c r="F128" s="68">
        <f>SUM(F118:F127)</f>
        <v>0</v>
      </c>
      <c r="G128" s="68">
        <f>SUM(G118:G127)</f>
        <v>0</v>
      </c>
      <c r="H128" s="68">
        <f t="shared" si="7"/>
        <v>3517914.95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265000</v>
      </c>
      <c r="D131" s="23" t="s">
        <v>288</v>
      </c>
      <c r="E131" s="92">
        <f>'DOE25'!L342</f>
        <v>0</v>
      </c>
      <c r="F131" s="23" t="s">
        <v>288</v>
      </c>
      <c r="G131" s="23" t="s">
        <v>288</v>
      </c>
      <c r="H131" s="13">
        <f t="shared" si="7"/>
        <v>265000</v>
      </c>
    </row>
    <row r="132" spans="1:8" x14ac:dyDescent="0.2">
      <c r="A132" t="s">
        <v>230</v>
      </c>
      <c r="B132" s="31">
        <v>5120</v>
      </c>
      <c r="C132" s="73">
        <f>'DOE25'!L262</f>
        <v>121524.5</v>
      </c>
      <c r="D132" s="23" t="s">
        <v>288</v>
      </c>
      <c r="E132" s="92">
        <f>'DOE25'!L343</f>
        <v>0</v>
      </c>
      <c r="F132" s="23" t="s">
        <v>288</v>
      </c>
      <c r="G132" s="23" t="s">
        <v>288</v>
      </c>
      <c r="H132" s="13">
        <f t="shared" si="7"/>
        <v>121524.5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26544.67</v>
      </c>
      <c r="H134" s="13">
        <f t="shared" si="7"/>
        <v>26544.67</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34053.99</v>
      </c>
      <c r="D138" s="23" t="s">
        <v>288</v>
      </c>
      <c r="E138" s="23" t="s">
        <v>288</v>
      </c>
      <c r="F138" s="23" t="s">
        <v>288</v>
      </c>
      <c r="G138" s="23" t="s">
        <v>288</v>
      </c>
      <c r="H138" s="13">
        <f t="shared" si="7"/>
        <v>34053.99</v>
      </c>
    </row>
    <row r="139" spans="1:8" x14ac:dyDescent="0.2">
      <c r="A139" t="s">
        <v>239</v>
      </c>
      <c r="B139" s="31">
        <v>5252</v>
      </c>
      <c r="C139" s="73">
        <f>'DOE25'!L402</f>
        <v>35362.089999999997</v>
      </c>
      <c r="D139" s="23" t="s">
        <v>288</v>
      </c>
      <c r="E139" s="23" t="s">
        <v>288</v>
      </c>
      <c r="F139" s="23" t="s">
        <v>288</v>
      </c>
      <c r="G139" s="23" t="s">
        <v>288</v>
      </c>
      <c r="H139" s="13">
        <f t="shared" si="7"/>
        <v>35362.089999999997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-19416.079999999987</v>
      </c>
      <c r="D141" s="23" t="s">
        <v>288</v>
      </c>
      <c r="E141" s="23" t="s">
        <v>288</v>
      </c>
      <c r="F141" s="23" t="s">
        <v>288</v>
      </c>
      <c r="G141" s="23" t="s">
        <v>288</v>
      </c>
      <c r="H141" s="13">
        <f t="shared" si="7"/>
        <v>-19416.079999999987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436524.5</v>
      </c>
      <c r="D144" s="98">
        <f>SUM(D130:D143)</f>
        <v>0</v>
      </c>
      <c r="E144" s="98">
        <f>SUM(E130:E143)</f>
        <v>0</v>
      </c>
      <c r="F144" s="98">
        <f>SUM(F130:F143)</f>
        <v>0</v>
      </c>
      <c r="G144" s="98">
        <f>SUM(G130:G143)</f>
        <v>26544.67</v>
      </c>
      <c r="H144" s="98">
        <f t="shared" si="7"/>
        <v>463069.17</v>
      </c>
    </row>
    <row r="145" spans="1:9" ht="12.75" thickTop="1" thickBot="1" x14ac:dyDescent="0.25">
      <c r="A145" s="32" t="s">
        <v>244</v>
      </c>
      <c r="C145" s="68">
        <f>(C115+C128+C144)</f>
        <v>11891900.210000001</v>
      </c>
      <c r="D145" s="68">
        <f>(D115+D128+D144)</f>
        <v>203872.37</v>
      </c>
      <c r="E145" s="68">
        <f>(E115+E128+E144)</f>
        <v>227718.97</v>
      </c>
      <c r="F145" s="68">
        <f>(F115+F128+F144)</f>
        <v>0</v>
      </c>
      <c r="G145" s="68">
        <f>(G115+G128+G144)</f>
        <v>26544.67</v>
      </c>
      <c r="H145" s="68">
        <f t="shared" si="7"/>
        <v>12350036.220000001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8/2010</v>
      </c>
      <c r="C152" s="109">
        <f>'DOE25'!G492</f>
        <v>0</v>
      </c>
      <c r="D152" s="109">
        <f>'DOE25'!H492</f>
        <v>0</v>
      </c>
      <c r="E152" s="109">
        <f>'DOE25'!I492</f>
        <v>0</v>
      </c>
      <c r="F152" s="109">
        <f>'DOE25'!J492</f>
        <v>0</v>
      </c>
      <c r="G152" s="23" t="s">
        <v>288</v>
      </c>
    </row>
    <row r="153" spans="1:9" x14ac:dyDescent="0.2">
      <c r="A153" s="21" t="s">
        <v>29</v>
      </c>
      <c r="B153" s="109" t="str">
        <f>'DOE25'!F493</f>
        <v>8/2030</v>
      </c>
      <c r="C153" s="109">
        <f>'DOE25'!G493</f>
        <v>0</v>
      </c>
      <c r="D153" s="109">
        <f>'DOE25'!H493</f>
        <v>0</v>
      </c>
      <c r="E153" s="109">
        <f>'DOE25'!I493</f>
        <v>0</v>
      </c>
      <c r="F153" s="109">
        <f>'DOE25'!J493</f>
        <v>0</v>
      </c>
      <c r="G153" s="23" t="s">
        <v>288</v>
      </c>
    </row>
    <row r="154" spans="1:9" x14ac:dyDescent="0.2">
      <c r="A154" s="21" t="s">
        <v>30</v>
      </c>
      <c r="B154" s="19">
        <f>'DOE25'!F494</f>
        <v>5600000</v>
      </c>
      <c r="C154" s="19">
        <f>'DOE25'!G494</f>
        <v>0</v>
      </c>
      <c r="D154" s="19">
        <f>'DOE25'!H494</f>
        <v>0</v>
      </c>
      <c r="E154" s="19">
        <f>'DOE25'!I494</f>
        <v>0</v>
      </c>
      <c r="F154" s="19">
        <f>'DOE25'!J494</f>
        <v>0</v>
      </c>
      <c r="G154" s="23" t="s">
        <v>288</v>
      </c>
    </row>
    <row r="155" spans="1:9" x14ac:dyDescent="0.2">
      <c r="A155" s="21" t="s">
        <v>31</v>
      </c>
      <c r="B155" s="19">
        <f>'DOE25'!F495</f>
        <v>3.99</v>
      </c>
      <c r="C155" s="19">
        <f>'DOE25'!G495</f>
        <v>0</v>
      </c>
      <c r="D155" s="19">
        <f>'DOE25'!H495</f>
        <v>0</v>
      </c>
      <c r="E155" s="19">
        <f>'DOE25'!I495</f>
        <v>0</v>
      </c>
      <c r="F155" s="19">
        <f>'DOE25'!J495</f>
        <v>0</v>
      </c>
      <c r="G155" s="23" t="s">
        <v>288</v>
      </c>
    </row>
    <row r="156" spans="1:9" x14ac:dyDescent="0.2">
      <c r="A156" s="21" t="s">
        <v>32</v>
      </c>
      <c r="B156" s="19">
        <f>'DOE25'!F496</f>
        <v>2945000</v>
      </c>
      <c r="C156" s="19">
        <f>'DOE25'!G496</f>
        <v>0</v>
      </c>
      <c r="D156" s="19">
        <f>'DOE25'!H496</f>
        <v>0</v>
      </c>
      <c r="E156" s="19">
        <f>'DOE25'!I496</f>
        <v>0</v>
      </c>
      <c r="F156" s="19">
        <f>'DOE25'!J496</f>
        <v>0</v>
      </c>
      <c r="G156" s="96">
        <f>SUM(B156:F156)</f>
        <v>2945000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265000</v>
      </c>
      <c r="C158" s="19">
        <f>'DOE25'!G498</f>
        <v>0</v>
      </c>
      <c r="D158" s="19">
        <f>'DOE25'!H498</f>
        <v>0</v>
      </c>
      <c r="E158" s="19">
        <f>'DOE25'!I498</f>
        <v>0</v>
      </c>
      <c r="F158" s="19">
        <f>'DOE25'!J498</f>
        <v>0</v>
      </c>
      <c r="G158" s="96">
        <f t="shared" si="8"/>
        <v>265000</v>
      </c>
    </row>
    <row r="159" spans="1:9" x14ac:dyDescent="0.2">
      <c r="A159" s="21" t="s">
        <v>35</v>
      </c>
      <c r="B159" s="19">
        <f>'DOE25'!F499</f>
        <v>2680000</v>
      </c>
      <c r="C159" s="19">
        <f>'DOE25'!G499</f>
        <v>0</v>
      </c>
      <c r="D159" s="19">
        <f>'DOE25'!H499</f>
        <v>0</v>
      </c>
      <c r="E159" s="19">
        <f>'DOE25'!I499</f>
        <v>0</v>
      </c>
      <c r="F159" s="19">
        <f>'DOE25'!J499</f>
        <v>0</v>
      </c>
      <c r="G159" s="96">
        <f t="shared" si="8"/>
        <v>2680000</v>
      </c>
    </row>
    <row r="160" spans="1:9" x14ac:dyDescent="0.2">
      <c r="A160" s="21" t="s">
        <v>36</v>
      </c>
      <c r="B160" s="19">
        <f>'DOE25'!F500</f>
        <v>610795</v>
      </c>
      <c r="C160" s="19">
        <f>'DOE25'!G500</f>
        <v>0</v>
      </c>
      <c r="D160" s="19">
        <f>'DOE25'!H500</f>
        <v>0</v>
      </c>
      <c r="E160" s="19">
        <f>'DOE25'!I500</f>
        <v>0</v>
      </c>
      <c r="F160" s="19">
        <f>'DOE25'!J500</f>
        <v>0</v>
      </c>
      <c r="G160" s="96">
        <f t="shared" si="8"/>
        <v>610795</v>
      </c>
    </row>
    <row r="161" spans="1:7" x14ac:dyDescent="0.2">
      <c r="A161" s="21" t="s">
        <v>37</v>
      </c>
      <c r="B161" s="19">
        <f>'DOE25'!F501</f>
        <v>3290795</v>
      </c>
      <c r="C161" s="19">
        <f>'DOE25'!G501</f>
        <v>0</v>
      </c>
      <c r="D161" s="19">
        <f>'DOE25'!H501</f>
        <v>0</v>
      </c>
      <c r="E161" s="19">
        <f>'DOE25'!I501</f>
        <v>0</v>
      </c>
      <c r="F161" s="19">
        <f>'DOE25'!J501</f>
        <v>0</v>
      </c>
      <c r="G161" s="96">
        <f t="shared" si="8"/>
        <v>3290795</v>
      </c>
    </row>
    <row r="162" spans="1:7" x14ac:dyDescent="0.2">
      <c r="A162" s="21" t="s">
        <v>38</v>
      </c>
      <c r="B162" s="19">
        <f>'DOE25'!F502</f>
        <v>280000</v>
      </c>
      <c r="C162" s="19">
        <f>'DOE25'!G502</f>
        <v>0</v>
      </c>
      <c r="D162" s="19">
        <f>'DOE25'!H502</f>
        <v>0</v>
      </c>
      <c r="E162" s="19">
        <f>'DOE25'!I502</f>
        <v>0</v>
      </c>
      <c r="F162" s="19">
        <f>'DOE25'!J502</f>
        <v>0</v>
      </c>
      <c r="G162" s="96">
        <f t="shared" si="8"/>
        <v>280000</v>
      </c>
    </row>
    <row r="163" spans="1:7" x14ac:dyDescent="0.2">
      <c r="A163" s="21" t="s">
        <v>39</v>
      </c>
      <c r="B163" s="19">
        <f>'DOE25'!F503</f>
        <v>125337.5</v>
      </c>
      <c r="C163" s="19">
        <f>'DOE25'!G503</f>
        <v>0</v>
      </c>
      <c r="D163" s="19">
        <f>'DOE25'!H503</f>
        <v>0</v>
      </c>
      <c r="E163" s="19">
        <f>'DOE25'!I503</f>
        <v>0</v>
      </c>
      <c r="F163" s="19">
        <f>'DOE25'!J503</f>
        <v>0</v>
      </c>
      <c r="G163" s="96">
        <f t="shared" si="8"/>
        <v>125337.5</v>
      </c>
    </row>
    <row r="164" spans="1:7" x14ac:dyDescent="0.2">
      <c r="A164" s="21" t="s">
        <v>246</v>
      </c>
      <c r="B164" s="19">
        <f>'DOE25'!F504</f>
        <v>405337.5</v>
      </c>
      <c r="C164" s="19">
        <f>'DOE25'!G504</f>
        <v>0</v>
      </c>
      <c r="D164" s="19">
        <f>'DOE25'!H504</f>
        <v>0</v>
      </c>
      <c r="E164" s="19">
        <f>'DOE25'!I504</f>
        <v>0</v>
      </c>
      <c r="F164" s="19">
        <f>'DOE25'!J504</f>
        <v>0</v>
      </c>
      <c r="G164" s="96">
        <f t="shared" si="8"/>
        <v>405337.5</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Strafford</v>
      </c>
    </row>
    <row r="3" spans="1:4" x14ac:dyDescent="0.2">
      <c r="B3" s="137" t="s">
        <v>1799</v>
      </c>
    </row>
    <row r="4" spans="1:4" x14ac:dyDescent="0.2">
      <c r="B4" t="s">
        <v>61</v>
      </c>
      <c r="C4" s="129">
        <f>IF('DOE25'!F666+'DOE25'!F671=0,0,ROUND('DOE25'!F673,0))</f>
        <v>17252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17252</v>
      </c>
    </row>
    <row r="9" spans="1:4" x14ac:dyDescent="0.2">
      <c r="A9" s="136" t="s">
        <v>94</v>
      </c>
      <c r="B9" s="137" t="s">
        <v>1800</v>
      </c>
      <c r="C9" s="131" t="s">
        <v>720</v>
      </c>
      <c r="D9" s="131" t="s">
        <v>721</v>
      </c>
    </row>
    <row r="10" spans="1:4" x14ac:dyDescent="0.2">
      <c r="A10">
        <v>1100</v>
      </c>
      <c r="B10" t="s">
        <v>702</v>
      </c>
      <c r="C10" s="129">
        <f>ROUND('DOE25'!L198+'DOE25'!L216+'DOE25'!L234+'DOE25'!L277+'DOE25'!L296+'DOE25'!L315,0)</f>
        <v>6774547</v>
      </c>
      <c r="D10" s="132">
        <f>ROUND((C10/$C$28)*100,1)</f>
        <v>56.9</v>
      </c>
    </row>
    <row r="11" spans="1:4" x14ac:dyDescent="0.2">
      <c r="A11">
        <v>1200</v>
      </c>
      <c r="B11" t="s">
        <v>703</v>
      </c>
      <c r="C11" s="129">
        <f>ROUND('DOE25'!L199+'DOE25'!L217+'DOE25'!L235+'DOE25'!L278+'DOE25'!L297+'DOE25'!L316,0)</f>
        <v>1548086</v>
      </c>
      <c r="D11" s="132">
        <f>ROUND((C11/$C$28)*100,1)</f>
        <v>13</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46419</v>
      </c>
      <c r="D13" s="132">
        <f>ROUND((C13/$C$28)*100,1)</f>
        <v>0.4</v>
      </c>
    </row>
    <row r="14" spans="1:4" x14ac:dyDescent="0.2">
      <c r="D14" s="132"/>
    </row>
    <row r="15" spans="1:4" x14ac:dyDescent="0.2">
      <c r="A15">
        <v>2100</v>
      </c>
      <c r="B15" t="s">
        <v>706</v>
      </c>
      <c r="C15" s="129">
        <f>ROUND('DOE25'!L203+'DOE25'!L221+'DOE25'!L239+'DOE25'!L282+'DOE25'!L301+'DOE25'!L320,0)</f>
        <v>564217</v>
      </c>
      <c r="D15" s="132">
        <f t="shared" ref="D15:D27" si="0">ROUND((C15/$C$28)*100,1)</f>
        <v>4.7</v>
      </c>
    </row>
    <row r="16" spans="1:4" x14ac:dyDescent="0.2">
      <c r="A16">
        <v>2200</v>
      </c>
      <c r="B16" t="s">
        <v>707</v>
      </c>
      <c r="C16" s="129">
        <f>ROUND('DOE25'!L204+'DOE25'!L222+'DOE25'!L240+'DOE25'!L283+'DOE25'!L302+'DOE25'!L321,0)</f>
        <v>422918</v>
      </c>
      <c r="D16" s="132">
        <f t="shared" si="0"/>
        <v>3.6</v>
      </c>
    </row>
    <row r="17" spans="1:4" x14ac:dyDescent="0.2">
      <c r="A17" s="133" t="s">
        <v>723</v>
      </c>
      <c r="B17" t="s">
        <v>738</v>
      </c>
      <c r="C17" s="129">
        <f>ROUND('DOE25'!L205+'DOE25'!L210+'DOE25'!L223+'DOE25'!L228+'DOE25'!L241+'DOE25'!L246+'DOE25'!L284+'DOE25'!L289+'DOE25'!L303+'DOE25'!L308+'DOE25'!L322+'DOE25'!L327,0)</f>
        <v>523522</v>
      </c>
      <c r="D17" s="132">
        <f t="shared" si="0"/>
        <v>4.4000000000000004</v>
      </c>
    </row>
    <row r="18" spans="1:4" x14ac:dyDescent="0.2">
      <c r="A18">
        <v>2400</v>
      </c>
      <c r="B18" t="s">
        <v>711</v>
      </c>
      <c r="C18" s="129">
        <f>ROUND('DOE25'!L206+'DOE25'!L224+'DOE25'!L242+'DOE25'!L285+'DOE25'!L304+'DOE25'!L323,0)</f>
        <v>453172</v>
      </c>
      <c r="D18" s="132">
        <f t="shared" si="0"/>
        <v>3.8</v>
      </c>
    </row>
    <row r="19" spans="1:4" x14ac:dyDescent="0.2">
      <c r="A19">
        <v>2500</v>
      </c>
      <c r="B19" t="s">
        <v>708</v>
      </c>
      <c r="C19" s="129">
        <f>ROUND('DOE25'!L207+'DOE25'!L225+'DOE25'!L243+'DOE25'!L286+'DOE25'!L305+'DOE25'!L324,0)</f>
        <v>114335</v>
      </c>
      <c r="D19" s="132">
        <f t="shared" si="0"/>
        <v>1</v>
      </c>
    </row>
    <row r="20" spans="1:4" x14ac:dyDescent="0.2">
      <c r="A20">
        <v>2600</v>
      </c>
      <c r="B20" t="s">
        <v>709</v>
      </c>
      <c r="C20" s="129">
        <f>ROUND('DOE25'!L208+'DOE25'!L226+'DOE25'!L244+'DOE25'!L287+'DOE25'!L306+'DOE25'!L325,0)</f>
        <v>595681</v>
      </c>
      <c r="D20" s="132">
        <f t="shared" si="0"/>
        <v>5</v>
      </c>
    </row>
    <row r="21" spans="1:4" x14ac:dyDescent="0.2">
      <c r="A21">
        <v>2700</v>
      </c>
      <c r="B21" t="s">
        <v>710</v>
      </c>
      <c r="C21" s="129">
        <f>ROUND('DOE25'!L209+'DOE25'!L227+'DOE25'!L245+'DOE25'!L288+'DOE25'!L307+'DOE25'!L326,0)</f>
        <v>640197</v>
      </c>
      <c r="D21" s="132">
        <f t="shared" si="0"/>
        <v>5.4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121525</v>
      </c>
      <c r="D25" s="132">
        <f t="shared" si="0"/>
        <v>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97465.849999999991</v>
      </c>
      <c r="D27" s="132">
        <f t="shared" si="0"/>
        <v>0.8</v>
      </c>
    </row>
    <row r="28" spans="1:4" x14ac:dyDescent="0.2">
      <c r="B28" s="136" t="s">
        <v>719</v>
      </c>
      <c r="C28" s="130">
        <f>SUM(C10:C27)</f>
        <v>11902084.85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11902084.85</v>
      </c>
    </row>
    <row r="31" spans="1:4" x14ac:dyDescent="0.2">
      <c r="B31" s="32"/>
      <c r="C31" s="130"/>
    </row>
    <row r="32" spans="1:4" x14ac:dyDescent="0.2">
      <c r="A32">
        <v>5100</v>
      </c>
      <c r="B32" s="32" t="s">
        <v>726</v>
      </c>
      <c r="C32" s="130">
        <f>ROUND('DOE25'!L261+'DOE25'!L342,0)</f>
        <v>265000</v>
      </c>
    </row>
    <row r="34" spans="1:4" x14ac:dyDescent="0.2">
      <c r="A34" s="136" t="s">
        <v>94</v>
      </c>
      <c r="B34" s="137" t="s">
        <v>1801</v>
      </c>
      <c r="C34" s="131" t="s">
        <v>720</v>
      </c>
      <c r="D34" s="131" t="s">
        <v>721</v>
      </c>
    </row>
    <row r="35" spans="1:4" x14ac:dyDescent="0.2">
      <c r="A35">
        <v>1100</v>
      </c>
      <c r="B35" s="71" t="s">
        <v>727</v>
      </c>
      <c r="C35" s="129">
        <f>ROUND('DOE25'!F60+'DOE25'!G60+'DOE25'!H60+'DOE25'!I60+'DOE25'!J60,0)</f>
        <v>7909260</v>
      </c>
      <c r="D35" s="132">
        <f t="shared" ref="D35:D40" si="1">ROUND((C35/$C$41)*100,1)</f>
        <v>66.900000000000006</v>
      </c>
    </row>
    <row r="36" spans="1:4" x14ac:dyDescent="0.2">
      <c r="B36" s="71" t="s">
        <v>739</v>
      </c>
      <c r="C36" s="129">
        <f>SUM('DOE25'!F112:J112)-SUM('DOE25'!G97:G110)+('DOE25'!F175+'DOE25'!F176+'DOE25'!I175+'DOE25'!I176)-C35</f>
        <v>88230.490000000224</v>
      </c>
      <c r="D36" s="132">
        <f t="shared" si="1"/>
        <v>0.7</v>
      </c>
    </row>
    <row r="37" spans="1:4" x14ac:dyDescent="0.2">
      <c r="A37" s="133" t="s">
        <v>834</v>
      </c>
      <c r="B37" s="71" t="s">
        <v>728</v>
      </c>
      <c r="C37" s="129">
        <f>ROUND('DOE25'!F117+'DOE25'!F118,0)</f>
        <v>3326339</v>
      </c>
      <c r="D37" s="132">
        <f t="shared" si="1"/>
        <v>28.2</v>
      </c>
    </row>
    <row r="38" spans="1:4" x14ac:dyDescent="0.2">
      <c r="A38" s="133" t="s">
        <v>734</v>
      </c>
      <c r="B38" s="71" t="s">
        <v>729</v>
      </c>
      <c r="C38" s="129">
        <f>ROUND(SUM('DOE25'!F140:J140)-SUM('DOE25'!F117:F119),0)</f>
        <v>136851</v>
      </c>
      <c r="D38" s="132">
        <f t="shared" si="1"/>
        <v>1.2</v>
      </c>
    </row>
    <row r="39" spans="1:4" x14ac:dyDescent="0.2">
      <c r="A39">
        <v>4000</v>
      </c>
      <c r="B39" s="71" t="s">
        <v>730</v>
      </c>
      <c r="C39" s="129">
        <f>ROUND('DOE25'!F170+'DOE25'!G170+'DOE25'!H170+'DOE25'!I170,0)</f>
        <v>353669</v>
      </c>
      <c r="D39" s="132">
        <f t="shared" si="1"/>
        <v>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11814349.49</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Strafford</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4</v>
      </c>
      <c r="B4" s="150">
        <v>4</v>
      </c>
      <c r="C4" s="327" t="s">
        <v>1814</v>
      </c>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278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f>IF('School Level Expenditures'!$B$2=A281,'School Tables'!H281,"")</f>
        <v>278</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2023-12-29T14:36:09Z</dcterms:modified>
</cp:coreProperties>
</file>