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D6609E1-A923-4988-B091-D9859189F678}"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'DOE25'!$A$274:$L$329</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8" i="14" l="1"/>
  <c r="M26" i="14"/>
  <c r="M6" i="14"/>
  <c r="G524" i="1"/>
  <c r="F524" i="1"/>
  <c r="I523" i="1"/>
  <c r="H523" i="1"/>
  <c r="G523" i="1"/>
  <c r="F523" i="1"/>
  <c r="G522" i="1"/>
  <c r="F522" i="1"/>
  <c r="J524" i="1" l="1"/>
  <c r="I524" i="1"/>
  <c r="H524" i="1"/>
  <c r="J522" i="1"/>
  <c r="I522" i="1"/>
  <c r="H522" i="1"/>
  <c r="J605" i="1" l="1"/>
  <c r="I605" i="1"/>
  <c r="H605" i="1"/>
  <c r="J592" i="1"/>
  <c r="I592" i="1"/>
  <c r="J594" i="1"/>
  <c r="H592" i="1"/>
  <c r="I594" i="1" l="1"/>
  <c r="J593" i="1"/>
  <c r="I593" i="1"/>
  <c r="H593" i="1"/>
  <c r="H278" i="1" l="1"/>
  <c r="I283" i="1"/>
  <c r="J287" i="1"/>
  <c r="H287" i="1"/>
  <c r="J283" i="1"/>
  <c r="J302" i="1"/>
  <c r="J321" i="1"/>
  <c r="I321" i="1"/>
  <c r="I302" i="1"/>
  <c r="F318" i="1"/>
  <c r="F299" i="1"/>
  <c r="F280" i="1"/>
  <c r="H283" i="1"/>
  <c r="H321" i="1"/>
  <c r="H302" i="1"/>
  <c r="K321" i="1"/>
  <c r="K302" i="1"/>
  <c r="K283" i="1"/>
  <c r="J316" i="1"/>
  <c r="J297" i="1"/>
  <c r="I316" i="1"/>
  <c r="I297" i="1"/>
  <c r="I278" i="1"/>
  <c r="H316" i="1"/>
  <c r="H297" i="1"/>
  <c r="F316" i="1"/>
  <c r="F297" i="1"/>
  <c r="F278" i="1"/>
  <c r="H315" i="1"/>
  <c r="H296" i="1"/>
  <c r="H277" i="1"/>
  <c r="F315" i="1"/>
  <c r="F296" i="1"/>
  <c r="F277" i="1"/>
  <c r="H244" i="1" l="1"/>
  <c r="H226" i="1"/>
  <c r="I244" i="1"/>
  <c r="I226" i="1"/>
  <c r="I208" i="1"/>
  <c r="H208" i="1"/>
  <c r="H241" i="1"/>
  <c r="H223" i="1"/>
  <c r="H205" i="1"/>
  <c r="J240" i="1"/>
  <c r="J222" i="1"/>
  <c r="J204" i="1"/>
  <c r="I235" i="1"/>
  <c r="I217" i="1"/>
  <c r="I205" i="1"/>
  <c r="I204" i="1"/>
  <c r="H235" i="1"/>
  <c r="H217" i="1"/>
  <c r="H199" i="1"/>
  <c r="J198" i="1"/>
  <c r="I198" i="1"/>
  <c r="F222" i="1"/>
  <c r="F204" i="1" l="1"/>
  <c r="F219" i="1"/>
  <c r="F235" i="1"/>
  <c r="F227" i="1"/>
  <c r="G245" i="1"/>
  <c r="G240" i="1"/>
  <c r="G227" i="1"/>
  <c r="G222" i="1"/>
  <c r="G209" i="1"/>
  <c r="G204" i="1"/>
  <c r="F199" i="1" l="1"/>
  <c r="F217" i="1"/>
  <c r="I234" i="1"/>
  <c r="K245" i="1" l="1"/>
  <c r="J245" i="1"/>
  <c r="K227" i="1"/>
  <c r="J227" i="1"/>
  <c r="K209" i="1"/>
  <c r="J209" i="1"/>
  <c r="I209" i="1"/>
  <c r="I227" i="1"/>
  <c r="I245" i="1"/>
  <c r="H245" i="1"/>
  <c r="H227" i="1"/>
  <c r="H209" i="1"/>
  <c r="F209" i="1"/>
  <c r="F245" i="1"/>
  <c r="J244" i="1"/>
  <c r="J226" i="1"/>
  <c r="F244" i="1"/>
  <c r="F226" i="1"/>
  <c r="F208" i="1"/>
  <c r="K242" i="1"/>
  <c r="K224" i="1"/>
  <c r="K206" i="1"/>
  <c r="I242" i="1"/>
  <c r="I224" i="1"/>
  <c r="I206" i="1"/>
  <c r="H206" i="1"/>
  <c r="H242" i="1"/>
  <c r="H224" i="1"/>
  <c r="F242" i="1"/>
  <c r="F224" i="1"/>
  <c r="F206" i="1"/>
  <c r="K241" i="1"/>
  <c r="K223" i="1"/>
  <c r="K205" i="1"/>
  <c r="J241" i="1"/>
  <c r="J223" i="1"/>
  <c r="J205" i="1"/>
  <c r="I241" i="1"/>
  <c r="I223" i="1"/>
  <c r="F241" i="1"/>
  <c r="F223" i="1"/>
  <c r="F205" i="1"/>
  <c r="I240" i="1"/>
  <c r="I222" i="1"/>
  <c r="H240" i="1"/>
  <c r="H222" i="1"/>
  <c r="H204" i="1"/>
  <c r="F240" i="1"/>
  <c r="I221" i="1"/>
  <c r="I203" i="1"/>
  <c r="F239" i="1"/>
  <c r="F221" i="1"/>
  <c r="F203" i="1"/>
  <c r="H239" i="1"/>
  <c r="H221" i="1"/>
  <c r="H203" i="1"/>
  <c r="I239" i="1"/>
  <c r="F237" i="1" l="1"/>
  <c r="F201" i="1"/>
  <c r="K237" i="1"/>
  <c r="K219" i="1"/>
  <c r="I237" i="1"/>
  <c r="I219" i="1"/>
  <c r="H237" i="1"/>
  <c r="H219" i="1"/>
  <c r="I201" i="1"/>
  <c r="H201" i="1"/>
  <c r="I199" i="1"/>
  <c r="K235" i="1"/>
  <c r="K217" i="1"/>
  <c r="K199" i="1"/>
  <c r="J235" i="1"/>
  <c r="J199" i="1"/>
  <c r="H234" i="1"/>
  <c r="H216" i="1"/>
  <c r="H198" i="1"/>
  <c r="J234" i="1"/>
  <c r="J216" i="1"/>
  <c r="I216" i="1"/>
  <c r="F234" i="1"/>
  <c r="F216" i="1"/>
  <c r="F19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E124" i="2" l="1"/>
  <c r="I170" i="1"/>
  <c r="J140" i="1"/>
  <c r="G646" i="1"/>
  <c r="H94" i="2"/>
  <c r="J112" i="1"/>
  <c r="J194" i="1" s="1"/>
  <c r="G647" i="1" s="1"/>
  <c r="F409" i="1"/>
  <c r="H644" i="1" s="1"/>
  <c r="I112" i="1"/>
  <c r="E120" i="2"/>
  <c r="H477" i="1"/>
  <c r="H625" i="1" s="1"/>
  <c r="C32" i="10"/>
  <c r="H79" i="2"/>
  <c r="H73" i="2"/>
  <c r="H36" i="2"/>
  <c r="H100" i="2"/>
  <c r="H61" i="2"/>
  <c r="H97" i="2"/>
  <c r="H72" i="2"/>
  <c r="H9" i="2"/>
  <c r="G663" i="1"/>
  <c r="H89" i="2"/>
  <c r="H30" i="2"/>
  <c r="H27" i="2"/>
  <c r="H140" i="1"/>
  <c r="G62" i="2"/>
  <c r="H137" i="2"/>
  <c r="H25" i="2"/>
  <c r="I409" i="1"/>
  <c r="H135" i="2"/>
  <c r="J652" i="1"/>
  <c r="C12" i="10"/>
  <c r="C119" i="2"/>
  <c r="D15" i="13"/>
  <c r="C15" i="13" s="1"/>
  <c r="G651" i="1"/>
  <c r="J651" i="1" s="1"/>
  <c r="C121" i="2"/>
  <c r="A40" i="12"/>
  <c r="C112" i="2"/>
  <c r="H112" i="2" s="1"/>
  <c r="C110" i="2"/>
  <c r="G477" i="1"/>
  <c r="H624" i="1" s="1"/>
  <c r="J624" i="1" s="1"/>
  <c r="G662" i="1"/>
  <c r="H12" i="2"/>
  <c r="H99" i="2"/>
  <c r="H15" i="2"/>
  <c r="H132" i="2"/>
  <c r="H48" i="2"/>
  <c r="H96" i="2"/>
  <c r="H87" i="2"/>
  <c r="H77" i="2"/>
  <c r="H26" i="2"/>
  <c r="N2" i="14"/>
  <c r="N3" i="14" s="1"/>
  <c r="H102" i="2"/>
  <c r="H23" i="2"/>
  <c r="H143" i="2"/>
  <c r="H59" i="2"/>
  <c r="H35" i="2"/>
  <c r="H29" i="2"/>
  <c r="H17" i="2"/>
  <c r="H8" i="2"/>
  <c r="K2" i="14"/>
  <c r="K3" i="14" s="1"/>
  <c r="D29" i="13"/>
  <c r="C29" i="13" s="1"/>
  <c r="C120" i="2"/>
  <c r="H120" i="2" s="1"/>
  <c r="D6" i="13"/>
  <c r="C6" i="13" s="1"/>
  <c r="L2" i="14"/>
  <c r="L3" i="14" s="1"/>
  <c r="C85" i="2"/>
  <c r="H101" i="2"/>
  <c r="H58" i="2"/>
  <c r="H11" i="2"/>
  <c r="H113" i="2"/>
  <c r="H38" i="2"/>
  <c r="H44" i="2"/>
  <c r="H98" i="2"/>
  <c r="D144" i="2"/>
  <c r="H93" i="2"/>
  <c r="H80" i="2"/>
  <c r="H22" i="2"/>
  <c r="C13" i="10"/>
  <c r="G409" i="1"/>
  <c r="H646" i="1" s="1"/>
  <c r="H34" i="2"/>
  <c r="H13" i="2"/>
  <c r="M2" i="14"/>
  <c r="M3" i="14" s="1"/>
  <c r="H69" i="2"/>
  <c r="H76" i="2"/>
  <c r="H28" i="2"/>
  <c r="H24" i="2"/>
  <c r="D18" i="13"/>
  <c r="C18" i="13" s="1"/>
  <c r="H47" i="2"/>
  <c r="E121"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E144" i="2" l="1"/>
  <c r="H119" i="2"/>
  <c r="B33" i="16"/>
  <c r="H85" i="2"/>
  <c r="E128" i="2"/>
  <c r="G24" i="14"/>
  <c r="H24" i="14" s="1"/>
  <c r="I24" i="14" s="1"/>
  <c r="H121" i="2"/>
  <c r="I663" i="1"/>
  <c r="H110" i="2"/>
  <c r="H103" i="2"/>
  <c r="D51" i="2"/>
  <c r="H18" i="2"/>
  <c r="C91" i="2"/>
  <c r="H91" i="2" s="1"/>
  <c r="H21" i="2"/>
  <c r="H31" i="2"/>
  <c r="H118" i="2"/>
  <c r="H62" i="2"/>
  <c r="H50" i="2"/>
  <c r="I662" i="1"/>
  <c r="H42" i="2"/>
  <c r="H134" i="2"/>
  <c r="E51" i="2"/>
  <c r="D128" i="2"/>
  <c r="D145" i="2" s="1"/>
  <c r="H127" i="2"/>
  <c r="L572" i="1"/>
  <c r="H16" i="2"/>
  <c r="H57" i="2"/>
  <c r="C81" i="2"/>
  <c r="H81" i="2" s="1"/>
  <c r="H78" i="2"/>
  <c r="F194" i="1"/>
  <c r="G628" i="1" s="1"/>
  <c r="J628" i="1" s="1"/>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H128" i="2"/>
  <c r="C104" i="2"/>
  <c r="H104" i="2" s="1"/>
  <c r="H63" i="2"/>
  <c r="C144" i="2"/>
  <c r="H144" i="2" s="1"/>
  <c r="H141"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<sst xmlns="http://schemas.openxmlformats.org/spreadsheetml/2006/main" count="6557" uniqueCount="1812">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</sst>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1428</v>
      </c>
      <c r="B2">
        <f>INDEX('School Tables'!$AH$3:$AH$209,MATCH('DOE25'!A2,'School Tables'!$AJ$3:$AJ$209,0))</f>
        <v>515</v>
      </c>
      <c r="C2">
        <f>INDEX('School Tables'!$AI$3:$AI$209,MATCH('DOE25'!A2,'School Tables'!$AJ$3:$AJ$209,0))</f>
        <v>515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1569805</v>
      </c>
      <c r="G9" s="18"/>
      <c r="H9" s="18"/>
      <c r="I9" s="18">
        <v>374733</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133688</v>
      </c>
      <c r="G12" s="18">
        <v>11625</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8877</v>
      </c>
      <c r="H13" s="18">
        <v>154659</v>
      </c>
      <c r="I13" s="18"/>
      <c r="J13" s="13">
        <f>SUM(I443)</f>
        <v>1111154</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1703493</v>
      </c>
      <c r="G19" s="38">
        <f>SUM(G9:G18)</f>
        <v>20502</v>
      </c>
      <c r="H19" s="38">
        <f>SUM(H9:H18)</f>
        <v>154659</v>
      </c>
      <c r="I19" s="38">
        <f>SUM(I9:I18)</f>
        <v>374733</v>
      </c>
      <c r="J19" s="38">
        <f>SUM(J9:J18)</f>
        <v>1111154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145313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21158</v>
      </c>
      <c r="G24" s="18"/>
      <c r="H24" s="18">
        <v>5694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8089</v>
      </c>
      <c r="G30" s="18"/>
      <c r="H30" s="18">
        <v>3652</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29247</v>
      </c>
      <c r="G32" s="38">
        <f>SUM(G22:G31)</f>
        <v>0</v>
      </c>
      <c r="H32" s="38">
        <f>SUM(H22:H31)</f>
        <v>154659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20502</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v>374733</v>
      </c>
      <c r="J43" s="13">
        <f>SUM(I457)</f>
        <v>0</v>
      </c>
      <c r="K43" s="23" t="s">
        <v>288</v>
      </c>
      <c r="L43" s="23" t="s">
        <v>288</v>
      </c>
      <c r="M43" s="8"/>
      <c r="N43" s="165"/>
    </row>
    <row r="44" spans="1:14" s="3" customFormat="1" ht="12.2" customHeight="1" x14ac:dyDescent="0.15">
      <c r="A44" s="1" t="s">
        <v>836</v>
      </c>
      <c r="B44" s="6">
        <v>1</v>
      </c>
      <c r="C44" s="6">
        <v>30</v>
      </c>
      <c r="D44" s="2" t="s">
        <v>653</v>
      </c>
      <c r="E44" s="6">
        <v>755</v>
      </c>
      <c r="F44" s="18">
        <v>150000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270000</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350000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1111154</v>
      </c>
      <c r="K48" s="23" t="s">
        <v>288</v>
      </c>
      <c r="L48" s="23" t="s">
        <v>288</v>
      </c>
      <c r="M48" s="8"/>
      <c r="N48" s="165"/>
    </row>
    <row r="49" spans="1:14" s="3" customFormat="1" ht="12.2" customHeight="1" x14ac:dyDescent="0.15">
      <c r="A49" s="1" t="s">
        <v>858</v>
      </c>
      <c r="B49" s="2" t="s">
        <v>289</v>
      </c>
      <c r="C49" s="6">
        <v>34</v>
      </c>
      <c r="D49" s="2"/>
      <c r="E49" s="6">
        <v>753</v>
      </c>
      <c r="F49" s="18">
        <v>440203</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464043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1674246</v>
      </c>
      <c r="G51" s="38">
        <f>SUM(G35:G50)</f>
        <v>20502</v>
      </c>
      <c r="H51" s="38">
        <f>SUM(H35:H50)</f>
        <v>0</v>
      </c>
      <c r="I51" s="38">
        <f>SUM(I35:I50)</f>
        <v>374733</v>
      </c>
      <c r="J51" s="38">
        <f>SUM(J35:J50)</f>
        <v>1111154</v>
      </c>
      <c r="K51" s="42" t="s">
        <v>288</v>
      </c>
      <c r="L51" s="42" t="s">
        <v>288</v>
      </c>
      <c r="N51" s="131"/>
    </row>
    <row r="52" spans="1:14" s="3" customFormat="1" ht="12.2" customHeight="1" thickTop="1" x14ac:dyDescent="0.15">
      <c r="A52" s="35" t="s">
        <v>455</v>
      </c>
      <c r="B52" s="36" t="s">
        <v>289</v>
      </c>
      <c r="C52" s="6">
        <v>37</v>
      </c>
      <c r="D52" s="36" t="s">
        <v>653</v>
      </c>
      <c r="E52" s="36"/>
      <c r="F52" s="38">
        <f>F51+F32</f>
        <v>1703493</v>
      </c>
      <c r="G52" s="38">
        <f>G51+G32</f>
        <v>20502</v>
      </c>
      <c r="H52" s="38">
        <f>H51+H32</f>
        <v>154659</v>
      </c>
      <c r="I52" s="38">
        <f>I51+I32</f>
        <v>374733</v>
      </c>
      <c r="J52" s="38">
        <f>J51+J32</f>
        <v>1111154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9646153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9646153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92818</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579908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33862</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706588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3788</v>
      </c>
      <c r="G96" s="18"/>
      <c r="H96" s="18"/>
      <c r="I96" s="18"/>
      <c r="J96" s="18">
        <v>31811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92437</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11348</v>
      </c>
      <c r="I102" s="18"/>
      <c r="J102" s="18">
        <v>28588</v>
      </c>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3788</v>
      </c>
      <c r="G111" s="38">
        <f>SUM(G96:G110)</f>
        <v>92437</v>
      </c>
      <c r="H111" s="38">
        <f>SUM(H96:H110)</f>
        <v>11348</v>
      </c>
      <c r="I111" s="38">
        <f>SUM(I96:I110)</f>
        <v>0</v>
      </c>
      <c r="J111" s="38">
        <f>SUM(J96:J110)</f>
        <v>60399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10356529</v>
      </c>
      <c r="G112" s="38">
        <f>G60+G111</f>
        <v>92437</v>
      </c>
      <c r="H112" s="38">
        <f>H60+H79+H94+H111</f>
        <v>11348</v>
      </c>
      <c r="I112" s="38">
        <f>I60+I111</f>
        <v>0</v>
      </c>
      <c r="J112" s="38">
        <f>J60+J111</f>
        <v>60399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692610</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1812575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2505185</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305852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1144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306996</v>
      </c>
      <c r="G136" s="38">
        <f>SUM(G123:G135)</f>
        <v>188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2812181</v>
      </c>
      <c r="G140" s="38">
        <f>G121+SUM(G136:G137)</f>
        <v>188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56366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7649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47687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142792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3209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335616</v>
      </c>
      <c r="G161" s="18">
        <v>12807</v>
      </c>
      <c r="H161" s="18">
        <v>91902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488984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338825</v>
      </c>
      <c r="G163" s="38">
        <f>SUM(G150:G162)</f>
        <v>60494</v>
      </c>
      <c r="H163" s="38">
        <f>SUM(H150:H162)</f>
        <v>787693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338825</v>
      </c>
      <c r="G170" s="38">
        <f>G147+G163+SUM(G164:G169)</f>
        <v>60494</v>
      </c>
      <c r="H170" s="38">
        <f>H147+H163+SUM(H164:H169)</f>
        <v>787693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v>4899714</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4899714</v>
      </c>
      <c r="J193" s="38">
        <f>J184</f>
        <v>100000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13507535</v>
      </c>
      <c r="G194" s="38">
        <f>G112+G140+G170+G193</f>
        <v>153119</v>
      </c>
      <c r="H194" s="38">
        <f>H112+H140+H170+H193</f>
        <v>799041</v>
      </c>
      <c r="I194" s="38">
        <f>I112+I140+I170+I193</f>
        <v>4899714</v>
      </c>
      <c r="J194" s="38">
        <f>J112+J140+J193</f>
        <v>160399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1255904+31782+17635</f>
        <v>1305321</v>
      </c>
      <c r="G198" s="18">
        <v>522480</v>
      </c>
      <c r="H198" s="18">
        <f>4989</f>
        <v>4989</v>
      </c>
      <c r="I198" s="18">
        <f>19548+5518+10110</f>
        <v>35176</v>
      </c>
      <c r="J198" s="18">
        <f>1703+8810</f>
        <v>10513</v>
      </c>
      <c r="K198" s="18"/>
      <c r="L198" s="13">
        <f>SUM(F198:K198)</f>
        <v>1878479</v>
      </c>
      <c r="M198" s="8"/>
      <c r="N198" s="165"/>
    </row>
    <row r="199" spans="1:14" s="3" customFormat="1" ht="12.2" customHeight="1" x14ac:dyDescent="0.15">
      <c r="A199" s="1" t="s">
        <v>439</v>
      </c>
      <c r="B199" s="2" t="s">
        <v>341</v>
      </c>
      <c r="C199" s="2" t="s">
        <v>291</v>
      </c>
      <c r="D199" s="2" t="s">
        <v>431</v>
      </c>
      <c r="E199" s="6">
        <v>1200</v>
      </c>
      <c r="F199" s="18">
        <f>51876+167961+166630+15961</f>
        <v>402428</v>
      </c>
      <c r="G199" s="18">
        <v>172389</v>
      </c>
      <c r="H199" s="18">
        <f>12287+5381+134704+1000+4682</f>
        <v>158054</v>
      </c>
      <c r="I199" s="18">
        <f>935+887+3438+50</f>
        <v>5310</v>
      </c>
      <c r="J199" s="18">
        <f>976</f>
        <v>976</v>
      </c>
      <c r="K199" s="18">
        <f>492</f>
        <v>492</v>
      </c>
      <c r="L199" s="13">
        <f>SUM(F199:K199)</f>
        <v>739649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863+10168</f>
        <v>11031</v>
      </c>
      <c r="G201" s="18">
        <v>27248</v>
      </c>
      <c r="H201" s="18">
        <f>985</f>
        <v>985</v>
      </c>
      <c r="I201" s="18">
        <f>1293</f>
        <v>1293</v>
      </c>
      <c r="J201" s="18"/>
      <c r="K201" s="18"/>
      <c r="L201" s="13">
        <f>SUM(F201:K201)</f>
        <v>40557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25100+494+79884+28003+31163+47469</f>
        <v>212113</v>
      </c>
      <c r="G203" s="18">
        <v>136958</v>
      </c>
      <c r="H203" s="18">
        <f>100+3950+4853</f>
        <v>8903</v>
      </c>
      <c r="I203" s="18">
        <f>313+677+421+322+527</f>
        <v>2260</v>
      </c>
      <c r="J203" s="18"/>
      <c r="K203" s="18"/>
      <c r="L203" s="13">
        <f t="shared" ref="L203:L209" si="0">SUM(F203:K203)</f>
        <v>360234</v>
      </c>
      <c r="M203" s="8"/>
      <c r="N203" s="165"/>
    </row>
    <row r="204" spans="1:14" s="3" customFormat="1" ht="12.2" customHeight="1" x14ac:dyDescent="0.15">
      <c r="A204" s="1" t="s">
        <v>443</v>
      </c>
      <c r="B204" s="2" t="s">
        <v>341</v>
      </c>
      <c r="C204" s="2" t="s">
        <v>295</v>
      </c>
      <c r="D204" s="2" t="s">
        <v>431</v>
      </c>
      <c r="E204" s="6">
        <v>2200</v>
      </c>
      <c r="F204" s="18">
        <f>86088+12106+41393</f>
        <v>139587</v>
      </c>
      <c r="G204" s="18">
        <f>4421+9670+3707+65020</f>
        <v>82818</v>
      </c>
      <c r="H204" s="18">
        <f>527+4472+467+17265+14729</f>
        <v>37460</v>
      </c>
      <c r="I204" s="18">
        <f>384+2969+1054+958+28927+13392+14781</f>
        <v>62465</v>
      </c>
      <c r="J204" s="18">
        <f>70771+11359+30240</f>
        <v>112370</v>
      </c>
      <c r="K204" s="18"/>
      <c r="L204" s="13">
        <f t="shared" si="0"/>
        <v>434700</v>
      </c>
      <c r="M204" s="8"/>
      <c r="N204" s="165"/>
    </row>
    <row r="205" spans="1:14" s="3" customFormat="1" ht="12.2" customHeight="1" x14ac:dyDescent="0.15">
      <c r="A205" s="1" t="s">
        <v>444</v>
      </c>
      <c r="B205" s="2" t="s">
        <v>341</v>
      </c>
      <c r="C205" s="2" t="s">
        <v>296</v>
      </c>
      <c r="D205" s="2" t="s">
        <v>431</v>
      </c>
      <c r="E205" s="6">
        <v>2300</v>
      </c>
      <c r="F205" s="18">
        <f>3700+117814</f>
        <v>121514</v>
      </c>
      <c r="G205" s="18">
        <v>64229</v>
      </c>
      <c r="H205" s="18">
        <f>4134+2045+7334+5155+1066</f>
        <v>19734</v>
      </c>
      <c r="I205" s="18">
        <f>4200+3280+2142</f>
        <v>9622</v>
      </c>
      <c r="J205" s="18">
        <f>515+11285</f>
        <v>11800</v>
      </c>
      <c r="K205" s="18">
        <f>978</f>
        <v>978</v>
      </c>
      <c r="L205" s="13">
        <f t="shared" si="0"/>
        <v>227877</v>
      </c>
      <c r="M205" s="8"/>
      <c r="N205" s="165"/>
    </row>
    <row r="206" spans="1:14" s="3" customFormat="1" ht="12.2" customHeight="1" x14ac:dyDescent="0.15">
      <c r="A206" s="1" t="s">
        <v>445</v>
      </c>
      <c r="B206" s="2" t="s">
        <v>341</v>
      </c>
      <c r="C206" s="2" t="s">
        <v>297</v>
      </c>
      <c r="D206" s="2" t="s">
        <v>431</v>
      </c>
      <c r="E206" s="6">
        <v>2400</v>
      </c>
      <c r="F206" s="18">
        <f>148324</f>
        <v>148324</v>
      </c>
      <c r="G206" s="18">
        <v>67719</v>
      </c>
      <c r="H206" s="18">
        <f>39+110</f>
        <v>149</v>
      </c>
      <c r="I206" s="18">
        <f>78</f>
        <v>78</v>
      </c>
      <c r="J206" s="18"/>
      <c r="K206" s="18">
        <f>1750</f>
        <v>1750</v>
      </c>
      <c r="L206" s="13">
        <f t="shared" si="0"/>
        <v>218020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39855+73451</f>
        <v>113306</v>
      </c>
      <c r="G208" s="18">
        <v>56866</v>
      </c>
      <c r="H208" s="18">
        <f>37043+11603+23611+43998+12808+7200+45100</f>
        <v>181363</v>
      </c>
      <c r="I208" s="18">
        <f>4470+16943+14626+39905+17211+2168+7260+5495</f>
        <v>108078</v>
      </c>
      <c r="J208" s="18"/>
      <c r="K208" s="18"/>
      <c r="L208" s="13">
        <f t="shared" si="0"/>
        <v>459613</v>
      </c>
      <c r="M208" s="8"/>
      <c r="N208" s="165"/>
    </row>
    <row r="209" spans="1:14" s="3" customFormat="1" ht="12.2" customHeight="1" x14ac:dyDescent="0.15">
      <c r="A209" s="1" t="s">
        <v>448</v>
      </c>
      <c r="B209" s="2" t="s">
        <v>341</v>
      </c>
      <c r="C209" s="2" t="s">
        <v>300</v>
      </c>
      <c r="D209" s="2" t="s">
        <v>431</v>
      </c>
      <c r="E209" s="6">
        <v>2700</v>
      </c>
      <c r="F209" s="18">
        <f>86009+2879</f>
        <v>88888</v>
      </c>
      <c r="G209" s="18">
        <f>118+50491</f>
        <v>50609</v>
      </c>
      <c r="H209" s="18">
        <f>567+10819</f>
        <v>11386</v>
      </c>
      <c r="I209" s="18">
        <f>13510</f>
        <v>13510</v>
      </c>
      <c r="J209" s="18">
        <f>716</f>
        <v>716</v>
      </c>
      <c r="K209" s="18">
        <f>373</f>
        <v>373</v>
      </c>
      <c r="L209" s="13">
        <f t="shared" si="0"/>
        <v>165482</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2542512</v>
      </c>
      <c r="G212" s="38">
        <f t="shared" si="1"/>
        <v>1181316</v>
      </c>
      <c r="H212" s="38">
        <f t="shared" si="1"/>
        <v>423023</v>
      </c>
      <c r="I212" s="38">
        <f t="shared" si="1"/>
        <v>237792</v>
      </c>
      <c r="J212" s="38">
        <f t="shared" si="1"/>
        <v>136375</v>
      </c>
      <c r="K212" s="38">
        <f t="shared" si="1"/>
        <v>3593</v>
      </c>
      <c r="L212" s="38">
        <f t="shared" si="1"/>
        <v>4524611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642376+7551+17635</f>
        <v>667562</v>
      </c>
      <c r="G216" s="18">
        <v>522480</v>
      </c>
      <c r="H216" s="18">
        <f>6832</f>
        <v>6832</v>
      </c>
      <c r="I216" s="18">
        <f>22140+1586+2924</f>
        <v>26650</v>
      </c>
      <c r="J216" s="18">
        <f>2862</f>
        <v>2862</v>
      </c>
      <c r="K216" s="18"/>
      <c r="L216" s="13">
        <f>SUM(F216:K216)</f>
        <v>1226386</v>
      </c>
      <c r="M216" s="8"/>
      <c r="N216" s="165"/>
    </row>
    <row r="217" spans="1:14" s="3" customFormat="1" ht="12.2" customHeight="1" x14ac:dyDescent="0.15">
      <c r="A217" s="1" t="s">
        <v>439</v>
      </c>
      <c r="B217" s="2" t="s">
        <v>346</v>
      </c>
      <c r="C217" s="2" t="s">
        <v>291</v>
      </c>
      <c r="D217" s="2" t="s">
        <v>431</v>
      </c>
      <c r="E217" s="6">
        <v>1200</v>
      </c>
      <c r="F217" s="18">
        <f>118040+51876+58091+15961</f>
        <v>243968</v>
      </c>
      <c r="G217" s="18">
        <v>172389</v>
      </c>
      <c r="H217" s="18">
        <f>12287+5381+134704+1000+3494+4682</f>
        <v>161548</v>
      </c>
      <c r="I217" s="18">
        <f>935+430+1025+3438+2143</f>
        <v>7971</v>
      </c>
      <c r="J217" s="18"/>
      <c r="K217" s="18">
        <f>492</f>
        <v>492</v>
      </c>
      <c r="L217" s="13">
        <f>SUM(F217:K217)</f>
        <v>586368</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14906+35198+7340</f>
        <v>57444</v>
      </c>
      <c r="G219" s="18">
        <v>27248</v>
      </c>
      <c r="H219" s="18">
        <f>9162</f>
        <v>9162</v>
      </c>
      <c r="I219" s="18">
        <f>11849+13539</f>
        <v>25388</v>
      </c>
      <c r="J219" s="18"/>
      <c r="K219" s="18">
        <f>2641</f>
        <v>2641</v>
      </c>
      <c r="L219" s="13">
        <f>SUM(F219:K219)</f>
        <v>121883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25100+70732+19062+30904+28003+31163+47469</f>
        <v>252433</v>
      </c>
      <c r="G221" s="18">
        <v>136958</v>
      </c>
      <c r="H221" s="18">
        <f>2142+3950+4852</f>
        <v>10944</v>
      </c>
      <c r="I221" s="18">
        <f>1577+522+420+528</f>
        <v>3047</v>
      </c>
      <c r="J221" s="18"/>
      <c r="K221" s="18"/>
      <c r="L221" s="13">
        <f t="shared" ref="L221:L227" si="2">SUM(F221:K221)</f>
        <v>403382</v>
      </c>
      <c r="M221" s="8"/>
      <c r="N221" s="165"/>
    </row>
    <row r="222" spans="1:14" s="3" customFormat="1" ht="12.2" customHeight="1" x14ac:dyDescent="0.15">
      <c r="A222" s="1" t="s">
        <v>443</v>
      </c>
      <c r="B222" s="2" t="s">
        <v>346</v>
      </c>
      <c r="C222" s="2" t="s">
        <v>295</v>
      </c>
      <c r="D222" s="2" t="s">
        <v>431</v>
      </c>
      <c r="E222" s="6">
        <v>2200</v>
      </c>
      <c r="F222" s="18">
        <f>37274+11706+53496+25954</f>
        <v>128430</v>
      </c>
      <c r="G222" s="18">
        <f>4421+2231+65020</f>
        <v>71672</v>
      </c>
      <c r="H222" s="18">
        <f>2204+526+4472+407+17265+582+14729</f>
        <v>40185</v>
      </c>
      <c r="I222" s="18">
        <f>256+1738+2256+1786+28927+5302</f>
        <v>40265</v>
      </c>
      <c r="J222" s="18">
        <f>603+7136+47220+11359+4829</f>
        <v>71147</v>
      </c>
      <c r="K222" s="18"/>
      <c r="L222" s="13">
        <f t="shared" si="2"/>
        <v>351699</v>
      </c>
      <c r="M222" s="8"/>
      <c r="N222" s="165"/>
    </row>
    <row r="223" spans="1:14" s="3" customFormat="1" ht="12.2" customHeight="1" x14ac:dyDescent="0.15">
      <c r="A223" s="1" t="s">
        <v>444</v>
      </c>
      <c r="B223" s="2" t="s">
        <v>346</v>
      </c>
      <c r="C223" s="2" t="s">
        <v>296</v>
      </c>
      <c r="D223" s="2" t="s">
        <v>431</v>
      </c>
      <c r="E223" s="6">
        <v>2300</v>
      </c>
      <c r="F223" s="18">
        <f>3700+117814</f>
        <v>121514</v>
      </c>
      <c r="G223" s="18">
        <v>64229</v>
      </c>
      <c r="H223" s="18">
        <f>4134+2045+7334+5155+1067</f>
        <v>19735</v>
      </c>
      <c r="I223" s="18">
        <f>4200+3280</f>
        <v>7480</v>
      </c>
      <c r="J223" s="18">
        <f>515+11285</f>
        <v>11800</v>
      </c>
      <c r="K223" s="18">
        <f>977</f>
        <v>977</v>
      </c>
      <c r="L223" s="13">
        <f t="shared" si="2"/>
        <v>225735</v>
      </c>
      <c r="M223" s="8"/>
      <c r="N223" s="165"/>
    </row>
    <row r="224" spans="1:14" s="3" customFormat="1" ht="12.2" customHeight="1" x14ac:dyDescent="0.15">
      <c r="A224" s="1" t="s">
        <v>445</v>
      </c>
      <c r="B224" s="2" t="s">
        <v>346</v>
      </c>
      <c r="C224" s="2" t="s">
        <v>297</v>
      </c>
      <c r="D224" s="2" t="s">
        <v>431</v>
      </c>
      <c r="E224" s="6">
        <v>2400</v>
      </c>
      <c r="F224" s="18">
        <f>94410</f>
        <v>94410</v>
      </c>
      <c r="G224" s="18">
        <v>67719</v>
      </c>
      <c r="H224" s="18">
        <f>1148+3982</f>
        <v>5130</v>
      </c>
      <c r="I224" s="18">
        <f>3569</f>
        <v>3569</v>
      </c>
      <c r="J224" s="18"/>
      <c r="K224" s="18">
        <f>2491</f>
        <v>2491</v>
      </c>
      <c r="L224" s="13">
        <f t="shared" si="2"/>
        <v>173319</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f>39854+51894</f>
        <v>91748</v>
      </c>
      <c r="G226" s="18">
        <v>56866</v>
      </c>
      <c r="H226" s="18">
        <f>46595+14523+37043+23322+7754+6984+12808+9248+14731+8095+4930</f>
        <v>186033</v>
      </c>
      <c r="I226" s="18">
        <f>4470+97175+2168+7260+7345</f>
        <v>118418</v>
      </c>
      <c r="J226" s="18">
        <f>4761</f>
        <v>4761</v>
      </c>
      <c r="K226" s="18"/>
      <c r="L226" s="13">
        <f t="shared" si="2"/>
        <v>457826</v>
      </c>
      <c r="M226" s="8"/>
      <c r="N226" s="165"/>
    </row>
    <row r="227" spans="1:14" s="3" customFormat="1" ht="12.2" customHeight="1" x14ac:dyDescent="0.15">
      <c r="A227" s="1" t="s">
        <v>448</v>
      </c>
      <c r="B227" s="2" t="s">
        <v>346</v>
      </c>
      <c r="C227" s="2" t="s">
        <v>300</v>
      </c>
      <c r="D227" s="2" t="s">
        <v>431</v>
      </c>
      <c r="E227" s="6">
        <v>2700</v>
      </c>
      <c r="F227" s="18">
        <f>86009+9372+2233</f>
        <v>97614</v>
      </c>
      <c r="G227" s="18">
        <f>118+50491</f>
        <v>50609</v>
      </c>
      <c r="H227" s="18">
        <f>567+10819</f>
        <v>11386</v>
      </c>
      <c r="I227" s="18">
        <f>13510</f>
        <v>13510</v>
      </c>
      <c r="J227" s="18">
        <f>716</f>
        <v>716</v>
      </c>
      <c r="K227" s="18">
        <f>373</f>
        <v>373</v>
      </c>
      <c r="L227" s="13">
        <f t="shared" si="2"/>
        <v>174208</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1755123</v>
      </c>
      <c r="G230" s="38">
        <f>SUM(G216:G229)</f>
        <v>1170170</v>
      </c>
      <c r="H230" s="38">
        <f>SUM(H216:H229)</f>
        <v>450955</v>
      </c>
      <c r="I230" s="38">
        <f>SUM(I216:I229)</f>
        <v>246298</v>
      </c>
      <c r="J230" s="38">
        <f>SUM(J216:J229)</f>
        <v>91286</v>
      </c>
      <c r="K230" s="38">
        <f t="shared" si="3"/>
        <v>6974</v>
      </c>
      <c r="L230" s="38">
        <f t="shared" si="3"/>
        <v>3720806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963562+11326+17635</f>
        <v>992523</v>
      </c>
      <c r="G234" s="18">
        <v>538313</v>
      </c>
      <c r="H234" s="18">
        <f>10249</f>
        <v>10249</v>
      </c>
      <c r="I234" s="18">
        <f>33209+2378+4385</f>
        <v>39972</v>
      </c>
      <c r="J234" s="18">
        <f>4295</f>
        <v>4295</v>
      </c>
      <c r="K234" s="18"/>
      <c r="L234" s="13">
        <f>SUM(F234:K234)</f>
        <v>1585352</v>
      </c>
      <c r="M234" s="8"/>
      <c r="N234" s="165"/>
    </row>
    <row r="235" spans="1:14" s="3" customFormat="1" ht="12.2" customHeight="1" x14ac:dyDescent="0.15">
      <c r="A235" s="1" t="s">
        <v>439</v>
      </c>
      <c r="B235" s="2" t="s">
        <v>350</v>
      </c>
      <c r="C235" s="2" t="s">
        <v>291</v>
      </c>
      <c r="D235" s="2" t="s">
        <v>431</v>
      </c>
      <c r="E235" s="6">
        <v>1200</v>
      </c>
      <c r="F235" s="18">
        <f>177051+51876+87136+15961</f>
        <v>332024</v>
      </c>
      <c r="G235" s="18">
        <v>177613</v>
      </c>
      <c r="H235" s="18">
        <f>12287+5381+134704+1000+3494+4682</f>
        <v>161548</v>
      </c>
      <c r="I235" s="18">
        <f>935+645+684+3438+2142</f>
        <v>7844</v>
      </c>
      <c r="J235" s="18">
        <f>130</f>
        <v>130</v>
      </c>
      <c r="K235" s="18">
        <f>492</f>
        <v>492</v>
      </c>
      <c r="L235" s="13">
        <f>SUM(F235:K235)</f>
        <v>679651</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f>22360+52797+11017</f>
        <v>86174</v>
      </c>
      <c r="G237" s="18">
        <v>28074</v>
      </c>
      <c r="H237" s="18">
        <f>13742+853</f>
        <v>14595</v>
      </c>
      <c r="I237" s="18">
        <f>17774+20310</f>
        <v>38084</v>
      </c>
      <c r="J237" s="18"/>
      <c r="K237" s="18">
        <f>3962</f>
        <v>3962</v>
      </c>
      <c r="L237" s="13">
        <f>SUM(F237:K237)</f>
        <v>170889</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25100+106098+28593+46355+28003+31163+47469</f>
        <v>312781</v>
      </c>
      <c r="G239" s="18">
        <v>141109</v>
      </c>
      <c r="H239" s="18">
        <f>3214+3950+4852</f>
        <v>12016</v>
      </c>
      <c r="I239" s="18">
        <f>2365+784+421</f>
        <v>3570</v>
      </c>
      <c r="J239" s="18"/>
      <c r="K239" s="18"/>
      <c r="L239" s="13">
        <f t="shared" ref="L239:L245" si="4">SUM(F239:K239)</f>
        <v>469476</v>
      </c>
      <c r="M239" s="8"/>
      <c r="N239" s="165"/>
    </row>
    <row r="240" spans="1:14" s="3" customFormat="1" ht="12.2" customHeight="1" x14ac:dyDescent="0.15">
      <c r="A240" s="1" t="s">
        <v>443</v>
      </c>
      <c r="B240" s="2" t="s">
        <v>350</v>
      </c>
      <c r="C240" s="2" t="s">
        <v>295</v>
      </c>
      <c r="D240" s="2" t="s">
        <v>431</v>
      </c>
      <c r="E240" s="6">
        <v>2200</v>
      </c>
      <c r="F240" s="18">
        <f>55911+17560+53496</f>
        <v>126967</v>
      </c>
      <c r="G240" s="18">
        <f>4421+3346+66990</f>
        <v>74757</v>
      </c>
      <c r="H240" s="18">
        <f>3306+526+4472+610+17265+873+14728</f>
        <v>41780</v>
      </c>
      <c r="I240" s="18">
        <f>384+2606+3383+2679+28927+7954</f>
        <v>45933</v>
      </c>
      <c r="J240" s="18">
        <f>904+10704+70831+11359+7243</f>
        <v>101041</v>
      </c>
      <c r="K240" s="18"/>
      <c r="L240" s="13">
        <f t="shared" si="4"/>
        <v>390478</v>
      </c>
      <c r="M240" s="8"/>
      <c r="N240" s="165"/>
    </row>
    <row r="241" spans="1:14" s="3" customFormat="1" ht="12.2" customHeight="1" x14ac:dyDescent="0.15">
      <c r="A241" s="1" t="s">
        <v>444</v>
      </c>
      <c r="B241" s="2" t="s">
        <v>350</v>
      </c>
      <c r="C241" s="2" t="s">
        <v>296</v>
      </c>
      <c r="D241" s="2" t="s">
        <v>431</v>
      </c>
      <c r="E241" s="6">
        <v>2300</v>
      </c>
      <c r="F241" s="18">
        <f>3700+117814</f>
        <v>121514</v>
      </c>
      <c r="G241" s="18">
        <v>66990</v>
      </c>
      <c r="H241" s="18">
        <f>4134+2045+7334+5155+1066+13873</f>
        <v>33607</v>
      </c>
      <c r="I241" s="18">
        <f>4200+3280</f>
        <v>7480</v>
      </c>
      <c r="J241" s="18">
        <f>515+11286+282</f>
        <v>12083</v>
      </c>
      <c r="K241" s="18">
        <f>977</f>
        <v>977</v>
      </c>
      <c r="L241" s="13">
        <f t="shared" si="4"/>
        <v>242651</v>
      </c>
      <c r="M241" s="8"/>
      <c r="N241" s="165"/>
    </row>
    <row r="242" spans="1:14" s="3" customFormat="1" ht="12.2" customHeight="1" x14ac:dyDescent="0.15">
      <c r="A242" s="1" t="s">
        <v>445</v>
      </c>
      <c r="B242" s="2" t="s">
        <v>350</v>
      </c>
      <c r="C242" s="2" t="s">
        <v>297</v>
      </c>
      <c r="D242" s="2" t="s">
        <v>431</v>
      </c>
      <c r="E242" s="6">
        <v>2400</v>
      </c>
      <c r="F242" s="18">
        <f>141616</f>
        <v>141616</v>
      </c>
      <c r="G242" s="18">
        <v>66176</v>
      </c>
      <c r="H242" s="18">
        <f>548+1148+3982</f>
        <v>5678</v>
      </c>
      <c r="I242" s="18">
        <f>5353</f>
        <v>5353</v>
      </c>
      <c r="J242" s="18"/>
      <c r="K242" s="18">
        <f>3737</f>
        <v>3737</v>
      </c>
      <c r="L242" s="13">
        <f t="shared" si="4"/>
        <v>222560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39854+51894</f>
        <v>91748</v>
      </c>
      <c r="G244" s="18">
        <v>58589</v>
      </c>
      <c r="H244" s="18">
        <f>14523+37043+23322+7755+10475+12808+4659+14730+8095+4930</f>
        <v>138340</v>
      </c>
      <c r="I244" s="18">
        <f>4470+145764+2168+7260+7345</f>
        <v>167007</v>
      </c>
      <c r="J244" s="18">
        <f>7142</f>
        <v>7142</v>
      </c>
      <c r="K244" s="18"/>
      <c r="L244" s="13">
        <f t="shared" si="4"/>
        <v>462826</v>
      </c>
      <c r="M244" s="8"/>
      <c r="N244" s="165"/>
    </row>
    <row r="245" spans="1:14" s="3" customFormat="1" ht="12.2" customHeight="1" x14ac:dyDescent="0.15">
      <c r="A245" s="1" t="s">
        <v>448</v>
      </c>
      <c r="B245" s="2" t="s">
        <v>350</v>
      </c>
      <c r="C245" s="2" t="s">
        <v>300</v>
      </c>
      <c r="D245" s="2" t="s">
        <v>431</v>
      </c>
      <c r="E245" s="6">
        <v>2700</v>
      </c>
      <c r="F245" s="18">
        <f>86009+14058</f>
        <v>100067</v>
      </c>
      <c r="G245" s="18">
        <f>118+52021</f>
        <v>52139</v>
      </c>
      <c r="H245" s="18">
        <f>567+10819</f>
        <v>11386</v>
      </c>
      <c r="I245" s="18">
        <f>13510</f>
        <v>13510</v>
      </c>
      <c r="J245" s="18">
        <f>716</f>
        <v>716</v>
      </c>
      <c r="K245" s="18">
        <f>373</f>
        <v>373</v>
      </c>
      <c r="L245" s="13">
        <f t="shared" si="4"/>
        <v>178191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2305414</v>
      </c>
      <c r="G248" s="38">
        <f t="shared" si="5"/>
        <v>1203760</v>
      </c>
      <c r="H248" s="38">
        <f t="shared" si="5"/>
        <v>429199</v>
      </c>
      <c r="I248" s="38">
        <f t="shared" si="5"/>
        <v>328753</v>
      </c>
      <c r="J248" s="38">
        <f t="shared" si="5"/>
        <v>125407</v>
      </c>
      <c r="K248" s="38">
        <f t="shared" si="5"/>
        <v>9541</v>
      </c>
      <c r="L248" s="38">
        <f t="shared" si="5"/>
        <v>4402074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6603049</v>
      </c>
      <c r="G258" s="38">
        <f t="shared" si="8"/>
        <v>3555246</v>
      </c>
      <c r="H258" s="38">
        <f t="shared" si="8"/>
        <v>1303177</v>
      </c>
      <c r="I258" s="38">
        <f t="shared" si="8"/>
        <v>812843</v>
      </c>
      <c r="J258" s="38">
        <f t="shared" si="8"/>
        <v>353068</v>
      </c>
      <c r="K258" s="38">
        <f t="shared" si="8"/>
        <v>20108</v>
      </c>
      <c r="L258" s="38">
        <f t="shared" si="8"/>
        <v>12647491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580215</v>
      </c>
      <c r="L261" s="13">
        <f>SUM(F261:K261)</f>
        <v>580215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680215</v>
      </c>
      <c r="L271" s="38">
        <f t="shared" si="9"/>
        <v>680215</v>
      </c>
      <c r="M271" s="8"/>
      <c r="N271" s="165"/>
    </row>
    <row r="272" spans="1:14" s="33" customFormat="1" ht="12.2" customHeight="1" thickTop="1" x14ac:dyDescent="0.2">
      <c r="A272" s="40" t="s">
        <v>464</v>
      </c>
      <c r="B272" s="37">
        <v>10</v>
      </c>
      <c r="C272" s="37">
        <v>18</v>
      </c>
      <c r="D272" s="36" t="s">
        <v>431</v>
      </c>
      <c r="E272" s="37"/>
      <c r="F272" s="39">
        <f t="shared" ref="F272:L272" si="11">F258+F271</f>
        <v>6603049</v>
      </c>
      <c r="G272" s="39">
        <f t="shared" si="11"/>
        <v>3555246</v>
      </c>
      <c r="H272" s="39">
        <f t="shared" si="11"/>
        <v>1303177</v>
      </c>
      <c r="I272" s="39">
        <f t="shared" si="11"/>
        <v>812843</v>
      </c>
      <c r="J272" s="39">
        <f t="shared" si="11"/>
        <v>353068</v>
      </c>
      <c r="K272" s="39">
        <f t="shared" si="11"/>
        <v>700323</v>
      </c>
      <c r="L272" s="39">
        <f t="shared" si="11"/>
        <v>13327706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50218+12432</f>
        <v>62650</v>
      </c>
      <c r="G277" s="18"/>
      <c r="H277" s="18">
        <f>248</f>
        <v>248</v>
      </c>
      <c r="I277" s="18"/>
      <c r="J277" s="18"/>
      <c r="K277" s="18"/>
      <c r="L277" s="13">
        <f>SUM(F277:K277)</f>
        <v>62898</v>
      </c>
      <c r="M277" s="8"/>
      <c r="N277" s="165"/>
    </row>
    <row r="278" spans="1:14" s="3" customFormat="1" ht="12.2" customHeight="1" x14ac:dyDescent="0.15">
      <c r="A278" s="1" t="s">
        <v>439</v>
      </c>
      <c r="B278" s="2" t="s">
        <v>357</v>
      </c>
      <c r="C278" s="2" t="s">
        <v>291</v>
      </c>
      <c r="D278" s="2" t="s">
        <v>431</v>
      </c>
      <c r="E278" s="6">
        <v>1200</v>
      </c>
      <c r="F278" s="18">
        <f>21218</f>
        <v>21218</v>
      </c>
      <c r="G278" s="18"/>
      <c r="H278" s="18">
        <f>17598+9251+410</f>
        <v>27259</v>
      </c>
      <c r="I278" s="18">
        <f>6724</f>
        <v>6724</v>
      </c>
      <c r="J278" s="18">
        <v>1302</v>
      </c>
      <c r="K278" s="18"/>
      <c r="L278" s="13">
        <f>SUM(F278:K278)</f>
        <v>56503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982</f>
        <v>982</v>
      </c>
      <c r="G280" s="18"/>
      <c r="H280" s="18"/>
      <c r="I280" s="18"/>
      <c r="J280" s="18"/>
      <c r="K280" s="18"/>
      <c r="L280" s="13">
        <f>SUM(F280:K280)</f>
        <v>982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f>2301</f>
        <v>2301</v>
      </c>
      <c r="I283" s="18">
        <f>3782</f>
        <v>3782</v>
      </c>
      <c r="J283" s="18">
        <f>10804</f>
        <v>10804</v>
      </c>
      <c r="K283" s="18">
        <f>1067</f>
        <v>1067</v>
      </c>
      <c r="L283" s="13">
        <f t="shared" si="12"/>
        <v>17954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11200</f>
        <v>11200</v>
      </c>
      <c r="I287" s="18"/>
      <c r="J287" s="18">
        <f>107876+343812</f>
        <v>451688</v>
      </c>
      <c r="K287" s="18"/>
      <c r="L287" s="13">
        <f t="shared" si="12"/>
        <v>462888</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84850</v>
      </c>
      <c r="G291" s="39">
        <f t="shared" si="13"/>
        <v>0</v>
      </c>
      <c r="H291" s="39">
        <f t="shared" si="13"/>
        <v>41008</v>
      </c>
      <c r="I291" s="39">
        <f t="shared" si="13"/>
        <v>10506</v>
      </c>
      <c r="J291" s="39">
        <f t="shared" si="13"/>
        <v>463794</v>
      </c>
      <c r="K291" s="39">
        <f t="shared" si="13"/>
        <v>1067</v>
      </c>
      <c r="L291" s="38">
        <f t="shared" si="13"/>
        <v>601225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f>12432</f>
        <v>12432</v>
      </c>
      <c r="G296" s="18"/>
      <c r="H296" s="18">
        <f>248</f>
        <v>248</v>
      </c>
      <c r="I296" s="18"/>
      <c r="J296" s="18"/>
      <c r="K296" s="18"/>
      <c r="L296" s="13">
        <f>SUM(F296:K296)</f>
        <v>12680</v>
      </c>
      <c r="M296" s="8"/>
      <c r="N296" s="165"/>
    </row>
    <row r="297" spans="1:14" s="3" customFormat="1" ht="12.2" customHeight="1" x14ac:dyDescent="0.15">
      <c r="A297" s="1" t="s">
        <v>439</v>
      </c>
      <c r="B297" s="2" t="s">
        <v>358</v>
      </c>
      <c r="C297" s="2" t="s">
        <v>291</v>
      </c>
      <c r="D297" s="2" t="s">
        <v>431</v>
      </c>
      <c r="E297" s="6">
        <v>1200</v>
      </c>
      <c r="F297" s="18">
        <f>21218</f>
        <v>21218</v>
      </c>
      <c r="G297" s="18"/>
      <c r="H297" s="18">
        <f>17598+9251</f>
        <v>26849</v>
      </c>
      <c r="I297" s="18">
        <f>6724</f>
        <v>6724</v>
      </c>
      <c r="J297" s="18">
        <f>1302</f>
        <v>1302</v>
      </c>
      <c r="K297" s="18"/>
      <c r="L297" s="13">
        <f>SUM(F297:K297)</f>
        <v>56093</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982</f>
        <v>982</v>
      </c>
      <c r="G299" s="18"/>
      <c r="H299" s="18"/>
      <c r="I299" s="18"/>
      <c r="J299" s="18"/>
      <c r="K299" s="18"/>
      <c r="L299" s="13">
        <f>SUM(F299:K299)</f>
        <v>982</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f>2301</f>
        <v>2301</v>
      </c>
      <c r="I302" s="18">
        <f>3782</f>
        <v>3782</v>
      </c>
      <c r="J302" s="18">
        <f>10804</f>
        <v>10804</v>
      </c>
      <c r="K302" s="18">
        <f>1066</f>
        <v>1066</v>
      </c>
      <c r="L302" s="13">
        <f t="shared" si="14"/>
        <v>17953</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11200</v>
      </c>
      <c r="I306" s="18"/>
      <c r="J306" s="18"/>
      <c r="K306" s="18"/>
      <c r="L306" s="13">
        <f t="shared" si="14"/>
        <v>11200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34632</v>
      </c>
      <c r="G310" s="39">
        <f t="shared" si="15"/>
        <v>0</v>
      </c>
      <c r="H310" s="39">
        <f t="shared" si="15"/>
        <v>40598</v>
      </c>
      <c r="I310" s="39">
        <f t="shared" si="15"/>
        <v>10506</v>
      </c>
      <c r="J310" s="39">
        <f t="shared" si="15"/>
        <v>12106</v>
      </c>
      <c r="K310" s="39">
        <f t="shared" si="15"/>
        <v>1066</v>
      </c>
      <c r="L310" s="38">
        <f t="shared" si="15"/>
        <v>98908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12432</f>
        <v>12432</v>
      </c>
      <c r="G315" s="18"/>
      <c r="H315" s="18">
        <f>248</f>
        <v>248</v>
      </c>
      <c r="I315" s="18"/>
      <c r="J315" s="18"/>
      <c r="K315" s="18"/>
      <c r="L315" s="13">
        <f>SUM(F315:K315)</f>
        <v>12680</v>
      </c>
      <c r="M315" s="8"/>
      <c r="N315" s="165"/>
    </row>
    <row r="316" spans="1:14" s="3" customFormat="1" ht="12.2" customHeight="1" x14ac:dyDescent="0.15">
      <c r="A316" s="1" t="s">
        <v>439</v>
      </c>
      <c r="B316" s="2" t="s">
        <v>359</v>
      </c>
      <c r="C316" s="2" t="s">
        <v>291</v>
      </c>
      <c r="D316" s="2" t="s">
        <v>431</v>
      </c>
      <c r="E316" s="6">
        <v>1200</v>
      </c>
      <c r="F316" s="18">
        <f>21218</f>
        <v>21218</v>
      </c>
      <c r="G316" s="18"/>
      <c r="H316" s="18">
        <f>17598+9251</f>
        <v>26849</v>
      </c>
      <c r="I316" s="18">
        <f>6724</f>
        <v>6724</v>
      </c>
      <c r="J316" s="18">
        <f>1302</f>
        <v>1302</v>
      </c>
      <c r="K316" s="18"/>
      <c r="L316" s="13">
        <f>SUM(F316:K316)</f>
        <v>56093</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f>982</f>
        <v>982</v>
      </c>
      <c r="G318" s="18"/>
      <c r="H318" s="18"/>
      <c r="I318" s="18"/>
      <c r="J318" s="18"/>
      <c r="K318" s="18"/>
      <c r="L318" s="13">
        <f>SUM(F318:K318)</f>
        <v>982</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f>2301</f>
        <v>2301</v>
      </c>
      <c r="I321" s="18">
        <f>3782</f>
        <v>3782</v>
      </c>
      <c r="J321" s="18">
        <f>10804</f>
        <v>10804</v>
      </c>
      <c r="K321" s="18">
        <f>1066</f>
        <v>1066</v>
      </c>
      <c r="L321" s="13">
        <f t="shared" si="16"/>
        <v>17953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11200</v>
      </c>
      <c r="I325" s="18"/>
      <c r="J325" s="18"/>
      <c r="K325" s="18"/>
      <c r="L325" s="13">
        <f t="shared" si="16"/>
        <v>11200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34632</v>
      </c>
      <c r="G329" s="39">
        <f t="shared" si="17"/>
        <v>0</v>
      </c>
      <c r="H329" s="39">
        <f t="shared" si="17"/>
        <v>40598</v>
      </c>
      <c r="I329" s="39">
        <f t="shared" si="17"/>
        <v>10506</v>
      </c>
      <c r="J329" s="39">
        <f t="shared" si="17"/>
        <v>12106</v>
      </c>
      <c r="K329" s="39">
        <f t="shared" si="17"/>
        <v>1066</v>
      </c>
      <c r="L329" s="38">
        <f t="shared" si="17"/>
        <v>98908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154114</v>
      </c>
      <c r="G339" s="38">
        <f t="shared" si="20"/>
        <v>0</v>
      </c>
      <c r="H339" s="38">
        <f t="shared" si="20"/>
        <v>122204</v>
      </c>
      <c r="I339" s="38">
        <f t="shared" si="20"/>
        <v>31518</v>
      </c>
      <c r="J339" s="38">
        <f t="shared" si="20"/>
        <v>488006</v>
      </c>
      <c r="K339" s="38">
        <f t="shared" si="20"/>
        <v>3199</v>
      </c>
      <c r="L339" s="38">
        <f t="shared" si="20"/>
        <v>799041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154114</v>
      </c>
      <c r="G353" s="38">
        <f>G339</f>
        <v>0</v>
      </c>
      <c r="H353" s="38">
        <f>H339</f>
        <v>122204</v>
      </c>
      <c r="I353" s="38">
        <f>I339</f>
        <v>31518</v>
      </c>
      <c r="J353" s="38">
        <f>J339</f>
        <v>488006</v>
      </c>
      <c r="K353" s="38">
        <f>K339+K352</f>
        <v>3199</v>
      </c>
      <c r="L353" s="38">
        <f>L339+L352</f>
        <v>799041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29113</v>
      </c>
      <c r="G359" s="18"/>
      <c r="H359" s="18"/>
      <c r="I359" s="18">
        <v>28006</v>
      </c>
      <c r="J359" s="18"/>
      <c r="K359" s="18">
        <v>725</v>
      </c>
      <c r="L359" s="13">
        <f>SUM(F359:K359)</f>
        <v>57844</v>
      </c>
      <c r="M359" s="8"/>
      <c r="N359" s="165"/>
    </row>
    <row r="360" spans="1:22" s="3" customFormat="1" ht="12.2" customHeight="1" x14ac:dyDescent="0.15">
      <c r="A360" s="1" t="s">
        <v>542</v>
      </c>
      <c r="B360" s="2" t="s">
        <v>366</v>
      </c>
      <c r="C360" s="6">
        <v>2</v>
      </c>
      <c r="D360" s="2" t="s">
        <v>431</v>
      </c>
      <c r="E360" s="6"/>
      <c r="F360" s="18">
        <v>29113</v>
      </c>
      <c r="G360" s="18"/>
      <c r="H360" s="18"/>
      <c r="I360" s="18">
        <v>28006</v>
      </c>
      <c r="J360" s="18"/>
      <c r="K360" s="18">
        <v>725</v>
      </c>
      <c r="L360" s="13">
        <f>SUM(F360:K360)</f>
        <v>57844</v>
      </c>
      <c r="M360" s="8"/>
      <c r="N360" s="165"/>
    </row>
    <row r="361" spans="1:22" s="3" customFormat="1" ht="12.2" customHeight="1" x14ac:dyDescent="0.15">
      <c r="A361" s="3" t="s">
        <v>543</v>
      </c>
      <c r="B361" s="2" t="s">
        <v>366</v>
      </c>
      <c r="C361" s="6">
        <v>3</v>
      </c>
      <c r="D361" s="2" t="s">
        <v>431</v>
      </c>
      <c r="E361" s="6"/>
      <c r="F361" s="18">
        <v>29113</v>
      </c>
      <c r="G361" s="18"/>
      <c r="H361" s="18"/>
      <c r="I361" s="18">
        <v>28006</v>
      </c>
      <c r="J361" s="18"/>
      <c r="K361" s="18">
        <v>725</v>
      </c>
      <c r="L361" s="13">
        <f>SUM(F361:K361)</f>
        <v>57844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87339</v>
      </c>
      <c r="G363" s="38">
        <f t="shared" si="22"/>
        <v>0</v>
      </c>
      <c r="H363" s="38">
        <f t="shared" si="22"/>
        <v>0</v>
      </c>
      <c r="I363" s="38">
        <f t="shared" si="22"/>
        <v>84018</v>
      </c>
      <c r="J363" s="38">
        <f t="shared" si="22"/>
        <v>0</v>
      </c>
      <c r="K363" s="38">
        <f t="shared" si="22"/>
        <v>2175</v>
      </c>
      <c r="L363" s="38">
        <f t="shared" si="22"/>
        <v>173532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27785</v>
      </c>
      <c r="G368" s="18">
        <v>27784</v>
      </c>
      <c r="H368" s="18">
        <v>27784</v>
      </c>
      <c r="I368" s="13">
        <f>SUM(F368:H368)</f>
        <v>83353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221</v>
      </c>
      <c r="G369" s="53">
        <v>222</v>
      </c>
      <c r="H369" s="53">
        <v>222</v>
      </c>
      <c r="I369" s="13">
        <f>SUM(F369:H369)</f>
        <v>665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28006</v>
      </c>
      <c r="G370" s="38">
        <f>SUM(G368:G369)</f>
        <v>28006</v>
      </c>
      <c r="H370" s="38">
        <f>SUM(H368:H369)</f>
        <v>28006</v>
      </c>
      <c r="I370" s="38">
        <f>SUM(I368:I369)</f>
        <v>84018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v>4524981</v>
      </c>
      <c r="K381" s="18"/>
      <c r="L381" s="13">
        <f t="shared" si="23"/>
        <v>4524981</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4524981</v>
      </c>
      <c r="K383" s="38">
        <f t="shared" si="24"/>
        <v>0</v>
      </c>
      <c r="L383" s="38">
        <f t="shared" si="24"/>
        <v>4524981</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50000</v>
      </c>
      <c r="H390" s="18">
        <v>11933</v>
      </c>
      <c r="I390" s="18"/>
      <c r="J390" s="23" t="s">
        <v>288</v>
      </c>
      <c r="K390" s="23" t="s">
        <v>288</v>
      </c>
      <c r="L390" s="13">
        <f t="shared" si="25"/>
        <v>61933</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50000</v>
      </c>
      <c r="H393" s="18">
        <v>15217</v>
      </c>
      <c r="I393" s="18"/>
      <c r="J393" s="23" t="s">
        <v>288</v>
      </c>
      <c r="K393" s="23" t="s">
        <v>288</v>
      </c>
      <c r="L393" s="13">
        <f t="shared" si="25"/>
        <v>65217</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100000</v>
      </c>
      <c r="H394" s="97">
        <f>SUM(H388:H393)</f>
        <v>27150</v>
      </c>
      <c r="I394" s="54">
        <f>SUM(I388:I393)</f>
        <v>0</v>
      </c>
      <c r="J394" s="42" t="s">
        <v>288</v>
      </c>
      <c r="K394" s="42" t="s">
        <v>288</v>
      </c>
      <c r="L394" s="38">
        <f>SUM(L388:L393)</f>
        <v>127150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4661</v>
      </c>
      <c r="I401" s="18">
        <v>28588</v>
      </c>
      <c r="J401" s="23" t="s">
        <v>288</v>
      </c>
      <c r="K401" s="23" t="s">
        <v>288</v>
      </c>
      <c r="L401" s="13">
        <f t="shared" si="26"/>
        <v>33249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4661</v>
      </c>
      <c r="I402" s="38">
        <f>SUM(I396:I401)</f>
        <v>28588</v>
      </c>
      <c r="J402" s="42" t="s">
        <v>288</v>
      </c>
      <c r="K402" s="42" t="s">
        <v>288</v>
      </c>
      <c r="L402" s="38">
        <f>SUM(L396:L401)</f>
        <v>33249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v>
      </c>
      <c r="H409" s="38">
        <f>H394+H402+H408</f>
        <v>31811</v>
      </c>
      <c r="I409" s="38">
        <f>I394+I402+I408</f>
        <v>28588</v>
      </c>
      <c r="J409" s="23" t="s">
        <v>288</v>
      </c>
      <c r="K409" s="23" t="s">
        <v>288</v>
      </c>
      <c r="L409" s="38">
        <f>L394+L402+L408</f>
        <v>160399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3700</v>
      </c>
      <c r="I427" s="18"/>
      <c r="J427" s="18"/>
      <c r="K427" s="18"/>
      <c r="L427" s="13">
        <f t="shared" si="29"/>
        <v>3700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3700</v>
      </c>
      <c r="I428" s="38">
        <f t="shared" si="30"/>
        <v>0</v>
      </c>
      <c r="J428" s="38">
        <f t="shared" si="30"/>
        <v>0</v>
      </c>
      <c r="K428" s="38">
        <f t="shared" si="30"/>
        <v>0</v>
      </c>
      <c r="L428" s="38">
        <f t="shared" si="30"/>
        <v>3700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3700</v>
      </c>
      <c r="I435" s="38">
        <f t="shared" si="32"/>
        <v>0</v>
      </c>
      <c r="J435" s="38">
        <f t="shared" si="32"/>
        <v>0</v>
      </c>
      <c r="K435" s="38">
        <f t="shared" si="32"/>
        <v>0</v>
      </c>
      <c r="L435" s="38">
        <f t="shared" si="32"/>
        <v>3700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953222</v>
      </c>
      <c r="G443" s="18">
        <v>157932</v>
      </c>
      <c r="H443" s="18"/>
      <c r="I443" s="13">
        <f t="shared" si="33"/>
        <v>1111154</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953222</v>
      </c>
      <c r="G447" s="13">
        <f>SUM(G440:G446)</f>
        <v>157932</v>
      </c>
      <c r="H447" s="13">
        <f>SUM(H440:H446)</f>
        <v>0</v>
      </c>
      <c r="I447" s="13">
        <f>SUM(I440:I446)</f>
        <v>1111154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953222</v>
      </c>
      <c r="G460" s="18">
        <v>157932</v>
      </c>
      <c r="H460" s="18"/>
      <c r="I460" s="13">
        <f t="shared" si="34"/>
        <v>1111154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953222</v>
      </c>
      <c r="G461" s="65">
        <f>SUM(G455:G460)</f>
        <v>157932</v>
      </c>
      <c r="H461" s="65">
        <f>SUM(H455:H460)</f>
        <v>0</v>
      </c>
      <c r="I461" s="65">
        <f>SUM(I455:I460)</f>
        <v>1111154</v>
      </c>
      <c r="J461" s="23" t="s">
        <v>288</v>
      </c>
      <c r="K461" s="23" t="s">
        <v>288</v>
      </c>
      <c r="L461" s="23" t="s">
        <v>288</v>
      </c>
      <c r="N461" s="131"/>
    </row>
    <row r="462" spans="1:86" ht="12.2" customHeight="1" thickTop="1" x14ac:dyDescent="0.2">
      <c r="A462" s="40" t="s">
        <v>424</v>
      </c>
      <c r="B462" s="41">
        <v>18</v>
      </c>
      <c r="C462" s="64">
        <v>21</v>
      </c>
      <c r="D462" s="114" t="s">
        <v>432</v>
      </c>
      <c r="E462" s="64"/>
      <c r="F462" s="39">
        <f>F453+F461</f>
        <v>953222</v>
      </c>
      <c r="G462" s="39">
        <f>G453+G461</f>
        <v>157932</v>
      </c>
      <c r="H462" s="39">
        <f>H453+H461</f>
        <v>0</v>
      </c>
      <c r="I462" s="39">
        <f>I453+I461</f>
        <v>1111154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1494417</v>
      </c>
      <c r="G466" s="18">
        <v>40915</v>
      </c>
      <c r="H466" s="18">
        <v>0</v>
      </c>
      <c r="I466" s="18">
        <v>0</v>
      </c>
      <c r="J466" s="18">
        <v>954455</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13507535</v>
      </c>
      <c r="G469" s="18">
        <v>153119</v>
      </c>
      <c r="H469" s="18">
        <v>799041</v>
      </c>
      <c r="I469" s="18">
        <v>4899714</v>
      </c>
      <c r="J469" s="18">
        <v>160399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13507535</v>
      </c>
      <c r="G471" s="19">
        <f>SUM(G469:G470)</f>
        <v>153119</v>
      </c>
      <c r="H471" s="19">
        <f>SUM(H469:H470)</f>
        <v>799041</v>
      </c>
      <c r="I471" s="19">
        <f>SUM(I469:I470)</f>
        <v>4899714</v>
      </c>
      <c r="J471" s="19">
        <f>SUM(J469:J470)</f>
        <v>160399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13327706</v>
      </c>
      <c r="G473" s="18">
        <v>173532</v>
      </c>
      <c r="H473" s="18">
        <v>799041</v>
      </c>
      <c r="I473" s="18">
        <v>4524981</v>
      </c>
      <c r="J473" s="18">
        <v>3700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13327706</v>
      </c>
      <c r="G475" s="19">
        <f>SUM(G473:G474)</f>
        <v>173532</v>
      </c>
      <c r="H475" s="19">
        <f>SUM(H473:H474)</f>
        <v>799041</v>
      </c>
      <c r="I475" s="19">
        <f>SUM(I473:I474)</f>
        <v>4524981</v>
      </c>
      <c r="J475" s="19">
        <f>SUM(J473:J474)</f>
        <v>3700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1674246</v>
      </c>
      <c r="G477" s="19">
        <f>(G466+G471)- G475</f>
        <v>20502</v>
      </c>
      <c r="H477" s="19">
        <f>(H466+H471)- H475</f>
        <v>0</v>
      </c>
      <c r="I477" s="19">
        <f>(I466+I471)- I475</f>
        <v>374733</v>
      </c>
      <c r="J477" s="19">
        <f>(J466+J471)- J475</f>
        <v>1111154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402428+21218</f>
        <v>423646</v>
      </c>
      <c r="G522" s="18">
        <f>172389</f>
        <v>172389</v>
      </c>
      <c r="H522" s="18">
        <f>158054+27259</f>
        <v>185313</v>
      </c>
      <c r="I522" s="18">
        <f>5310+6724</f>
        <v>12034</v>
      </c>
      <c r="J522" s="18">
        <f>976+1302</f>
        <v>2278</v>
      </c>
      <c r="K522" s="18">
        <v>492</v>
      </c>
      <c r="L522" s="69">
        <f>SUM(F522:K522)</f>
        <v>796152</v>
      </c>
      <c r="N522" s="131"/>
    </row>
    <row r="523" spans="1:14" ht="12.2" customHeight="1" x14ac:dyDescent="0.2">
      <c r="A523" s="21" t="s">
        <v>634</v>
      </c>
      <c r="B523" s="22">
        <v>21</v>
      </c>
      <c r="C523" s="22">
        <v>2</v>
      </c>
      <c r="D523" s="2" t="s">
        <v>432</v>
      </c>
      <c r="E523" s="22"/>
      <c r="F523" s="18">
        <f>243968+21218</f>
        <v>265186</v>
      </c>
      <c r="G523" s="18">
        <f>172389</f>
        <v>172389</v>
      </c>
      <c r="H523" s="18">
        <f>161548+26849</f>
        <v>188397</v>
      </c>
      <c r="I523" s="18">
        <f>7971+6724</f>
        <v>14695</v>
      </c>
      <c r="J523" s="18">
        <v>1302</v>
      </c>
      <c r="K523" s="18">
        <v>492</v>
      </c>
      <c r="L523" s="69">
        <f>SUM(F523:K523)</f>
        <v>642461</v>
      </c>
      <c r="N523" s="131"/>
    </row>
    <row r="524" spans="1:14" ht="12.2" customHeight="1" thickBot="1" x14ac:dyDescent="0.25">
      <c r="A524" s="21" t="s">
        <v>635</v>
      </c>
      <c r="B524" s="22">
        <v>21</v>
      </c>
      <c r="C524" s="22">
        <v>3</v>
      </c>
      <c r="D524" s="2" t="s">
        <v>432</v>
      </c>
      <c r="E524" s="22"/>
      <c r="F524" s="18">
        <f>332024+21218</f>
        <v>353242</v>
      </c>
      <c r="G524" s="18">
        <f>177613</f>
        <v>177613</v>
      </c>
      <c r="H524" s="18">
        <f>161548+26849</f>
        <v>188397</v>
      </c>
      <c r="I524" s="18">
        <f>7844+6724</f>
        <v>14568</v>
      </c>
      <c r="J524" s="18">
        <f>130+1302</f>
        <v>1432</v>
      </c>
      <c r="K524" s="18">
        <v>492</v>
      </c>
      <c r="L524" s="69">
        <f>SUM(F524:K524)</f>
        <v>735744</v>
      </c>
      <c r="N524" s="131"/>
    </row>
    <row r="525" spans="1:14" ht="12.2" customHeight="1" thickTop="1" x14ac:dyDescent="0.2">
      <c r="A525" s="97" t="s">
        <v>63</v>
      </c>
      <c r="B525" s="41">
        <v>21</v>
      </c>
      <c r="C525" s="41">
        <v>4</v>
      </c>
      <c r="D525" s="115" t="s">
        <v>432</v>
      </c>
      <c r="E525" s="41"/>
      <c r="F525" s="81">
        <f>SUM(F522:F524)</f>
        <v>1042074</v>
      </c>
      <c r="G525" s="81">
        <f t="shared" ref="G525:L525" si="36">SUM(G522:G524)</f>
        <v>522391</v>
      </c>
      <c r="H525" s="81">
        <f t="shared" si="36"/>
        <v>562107</v>
      </c>
      <c r="I525" s="81">
        <f t="shared" si="36"/>
        <v>41297</v>
      </c>
      <c r="J525" s="81">
        <f t="shared" si="36"/>
        <v>5012</v>
      </c>
      <c r="K525" s="81">
        <f t="shared" si="36"/>
        <v>1476</v>
      </c>
      <c r="L525" s="70">
        <f t="shared" si="36"/>
        <v>2174357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92243</v>
      </c>
      <c r="G527" s="18">
        <v>76090</v>
      </c>
      <c r="H527" s="18">
        <v>8903</v>
      </c>
      <c r="I527" s="18">
        <v>2250</v>
      </c>
      <c r="J527" s="18">
        <v>0</v>
      </c>
      <c r="K527" s="18">
        <v>0</v>
      </c>
      <c r="L527" s="69">
        <f>SUM(F527:K527)</f>
        <v>179486</v>
      </c>
      <c r="M527" s="8"/>
      <c r="N527" s="165"/>
    </row>
    <row r="528" spans="1:14" s="3" customFormat="1" ht="12.2" customHeight="1" x14ac:dyDescent="0.15">
      <c r="A528" s="21" t="s">
        <v>634</v>
      </c>
      <c r="B528" s="22">
        <v>21</v>
      </c>
      <c r="C528" s="22">
        <v>6</v>
      </c>
      <c r="D528" s="2" t="s">
        <v>432</v>
      </c>
      <c r="E528" s="22"/>
      <c r="F528" s="18">
        <v>92243</v>
      </c>
      <c r="G528" s="18">
        <v>76090</v>
      </c>
      <c r="H528" s="18">
        <v>10944</v>
      </c>
      <c r="I528" s="18">
        <v>3047</v>
      </c>
      <c r="J528" s="18">
        <v>0</v>
      </c>
      <c r="K528" s="18">
        <v>0</v>
      </c>
      <c r="L528" s="69">
        <f>SUM(F528:K528)</f>
        <v>182324</v>
      </c>
      <c r="M528" s="8"/>
      <c r="N528" s="165"/>
    </row>
    <row r="529" spans="1:14" s="3" customFormat="1" ht="12.2" customHeight="1" thickBot="1" x14ac:dyDescent="0.2">
      <c r="A529" s="21" t="s">
        <v>635</v>
      </c>
      <c r="B529" s="22">
        <v>21</v>
      </c>
      <c r="C529" s="22">
        <v>7</v>
      </c>
      <c r="D529" s="2" t="s">
        <v>432</v>
      </c>
      <c r="E529" s="22"/>
      <c r="F529" s="18">
        <v>92243</v>
      </c>
      <c r="G529" s="18">
        <v>76090</v>
      </c>
      <c r="H529" s="18">
        <v>12016</v>
      </c>
      <c r="I529" s="18">
        <v>3570</v>
      </c>
      <c r="J529" s="18">
        <v>0</v>
      </c>
      <c r="K529" s="18">
        <v>0</v>
      </c>
      <c r="L529" s="69">
        <f>SUM(F529:K529)</f>
        <v>183919</v>
      </c>
      <c r="M529" s="8"/>
      <c r="N529" s="165"/>
    </row>
    <row r="530" spans="1:14" s="3" customFormat="1" ht="12.2" customHeight="1" thickTop="1" x14ac:dyDescent="0.15">
      <c r="A530" s="97" t="s">
        <v>65</v>
      </c>
      <c r="B530" s="41">
        <v>21</v>
      </c>
      <c r="C530" s="41">
        <v>8</v>
      </c>
      <c r="D530" s="115" t="s">
        <v>432</v>
      </c>
      <c r="E530" s="41"/>
      <c r="F530" s="70">
        <f>SUM(F527:F529)</f>
        <v>276729</v>
      </c>
      <c r="G530" s="70">
        <f t="shared" ref="G530:L530" si="37">SUM(G527:G529)</f>
        <v>228270</v>
      </c>
      <c r="H530" s="70">
        <f t="shared" si="37"/>
        <v>31863</v>
      </c>
      <c r="I530" s="70">
        <f t="shared" si="37"/>
        <v>8867</v>
      </c>
      <c r="J530" s="70">
        <f t="shared" si="37"/>
        <v>0</v>
      </c>
      <c r="K530" s="70">
        <f t="shared" si="37"/>
        <v>0</v>
      </c>
      <c r="L530" s="70">
        <f t="shared" si="37"/>
        <v>545729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35000</v>
      </c>
      <c r="G532" s="18">
        <v>22000</v>
      </c>
      <c r="H532" s="18"/>
      <c r="I532" s="18"/>
      <c r="J532" s="18"/>
      <c r="K532" s="18"/>
      <c r="L532" s="69">
        <f>SUM(F532:K532)</f>
        <v>57000</v>
      </c>
      <c r="M532" s="8"/>
      <c r="N532" s="165"/>
    </row>
    <row r="533" spans="1:14" s="3" customFormat="1" ht="12.2" customHeight="1" x14ac:dyDescent="0.15">
      <c r="A533" s="21" t="s">
        <v>634</v>
      </c>
      <c r="B533" s="22">
        <v>21</v>
      </c>
      <c r="C533" s="22">
        <v>10</v>
      </c>
      <c r="D533" s="2" t="s">
        <v>432</v>
      </c>
      <c r="E533" s="22"/>
      <c r="F533" s="18">
        <v>35000</v>
      </c>
      <c r="G533" s="18">
        <v>22000</v>
      </c>
      <c r="H533" s="18"/>
      <c r="I533" s="18"/>
      <c r="J533" s="18"/>
      <c r="K533" s="18"/>
      <c r="L533" s="69">
        <f>SUM(F533:K533)</f>
        <v>57000</v>
      </c>
      <c r="M533" s="8"/>
      <c r="N533" s="165"/>
    </row>
    <row r="534" spans="1:14" s="3" customFormat="1" ht="12.2" customHeight="1" thickBot="1" x14ac:dyDescent="0.2">
      <c r="A534" s="21" t="s">
        <v>635</v>
      </c>
      <c r="B534" s="22">
        <v>21</v>
      </c>
      <c r="C534" s="22">
        <v>11</v>
      </c>
      <c r="D534" s="2" t="s">
        <v>432</v>
      </c>
      <c r="E534" s="22"/>
      <c r="F534" s="18">
        <v>35000</v>
      </c>
      <c r="G534" s="18">
        <v>22000</v>
      </c>
      <c r="H534" s="18"/>
      <c r="I534" s="18"/>
      <c r="J534" s="18"/>
      <c r="K534" s="18"/>
      <c r="L534" s="69">
        <f>SUM(F534:K534)</f>
        <v>57000</v>
      </c>
      <c r="M534" s="8"/>
      <c r="N534" s="165"/>
    </row>
    <row r="535" spans="1:14" s="3" customFormat="1" ht="12.2" customHeight="1" thickTop="1" x14ac:dyDescent="0.15">
      <c r="A535" s="97" t="s">
        <v>67</v>
      </c>
      <c r="B535" s="41">
        <v>21</v>
      </c>
      <c r="C535" s="41">
        <v>12</v>
      </c>
      <c r="D535" s="115" t="s">
        <v>432</v>
      </c>
      <c r="E535" s="41"/>
      <c r="F535" s="70">
        <f>SUM(F532:F534)</f>
        <v>105000</v>
      </c>
      <c r="G535" s="70">
        <f t="shared" ref="G535:L535" si="38">SUM(G532:G534)</f>
        <v>66000</v>
      </c>
      <c r="H535" s="70">
        <f t="shared" si="38"/>
        <v>0</v>
      </c>
      <c r="I535" s="70">
        <f t="shared" si="38"/>
        <v>0</v>
      </c>
      <c r="J535" s="70">
        <f t="shared" si="38"/>
        <v>0</v>
      </c>
      <c r="K535" s="70">
        <f t="shared" si="38"/>
        <v>0</v>
      </c>
      <c r="L535" s="70">
        <f t="shared" si="38"/>
        <v>171000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2255</v>
      </c>
      <c r="I537" s="18"/>
      <c r="J537" s="18"/>
      <c r="K537" s="18"/>
      <c r="L537" s="69">
        <f>SUM(F537:K537)</f>
        <v>2255</v>
      </c>
      <c r="M537" s="8"/>
      <c r="N537" s="165"/>
    </row>
    <row r="538" spans="1:14" s="3" customFormat="1" ht="12.2" customHeight="1" x14ac:dyDescent="0.15">
      <c r="A538" s="21" t="s">
        <v>634</v>
      </c>
      <c r="B538" s="22">
        <v>21</v>
      </c>
      <c r="C538" s="22">
        <v>14</v>
      </c>
      <c r="D538" s="2" t="s">
        <v>432</v>
      </c>
      <c r="E538" s="22"/>
      <c r="F538" s="18"/>
      <c r="G538" s="18"/>
      <c r="H538" s="18">
        <v>2255</v>
      </c>
      <c r="I538" s="18"/>
      <c r="J538" s="18"/>
      <c r="K538" s="18"/>
      <c r="L538" s="69">
        <f>SUM(F538:K538)</f>
        <v>2255</v>
      </c>
      <c r="M538" s="8"/>
      <c r="N538" s="165"/>
    </row>
    <row r="539" spans="1:14" s="3" customFormat="1" ht="12.2" customHeight="1" thickBot="1" x14ac:dyDescent="0.2">
      <c r="A539" s="21" t="s">
        <v>635</v>
      </c>
      <c r="B539" s="22">
        <v>21</v>
      </c>
      <c r="C539" s="22">
        <v>15</v>
      </c>
      <c r="D539" s="2" t="s">
        <v>432</v>
      </c>
      <c r="E539" s="22"/>
      <c r="F539" s="18"/>
      <c r="G539" s="18"/>
      <c r="H539" s="18">
        <v>2255</v>
      </c>
      <c r="I539" s="18"/>
      <c r="J539" s="18"/>
      <c r="K539" s="18"/>
      <c r="L539" s="69">
        <f>SUM(F539:K539)</f>
        <v>2255</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6765</v>
      </c>
      <c r="I540" s="70">
        <f t="shared" si="39"/>
        <v>0</v>
      </c>
      <c r="J540" s="70">
        <f t="shared" si="39"/>
        <v>0</v>
      </c>
      <c r="K540" s="70">
        <f t="shared" si="39"/>
        <v>0</v>
      </c>
      <c r="L540" s="70">
        <f t="shared" si="39"/>
        <v>6765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31669</v>
      </c>
      <c r="G542" s="18">
        <v>10000</v>
      </c>
      <c r="H542" s="18"/>
      <c r="I542" s="18"/>
      <c r="J542" s="18"/>
      <c r="K542" s="18"/>
      <c r="L542" s="69">
        <f>SUM(F542:K542)</f>
        <v>41669</v>
      </c>
      <c r="M542" s="8"/>
      <c r="N542" s="165"/>
    </row>
    <row r="543" spans="1:14" s="3" customFormat="1" ht="12.2" customHeight="1" x14ac:dyDescent="0.15">
      <c r="A543" s="21" t="s">
        <v>634</v>
      </c>
      <c r="B543" s="22">
        <v>21</v>
      </c>
      <c r="C543" s="22">
        <v>18</v>
      </c>
      <c r="D543" s="2" t="s">
        <v>432</v>
      </c>
      <c r="E543" s="22"/>
      <c r="F543" s="18">
        <v>31669</v>
      </c>
      <c r="G543" s="18">
        <v>10000</v>
      </c>
      <c r="H543" s="18"/>
      <c r="I543" s="18"/>
      <c r="J543" s="18"/>
      <c r="K543" s="18"/>
      <c r="L543" s="69">
        <f>SUM(F543:K543)</f>
        <v>41669</v>
      </c>
      <c r="M543" s="8"/>
      <c r="N543" s="165"/>
    </row>
    <row r="544" spans="1:14" s="3" customFormat="1" ht="12.2" customHeight="1" thickBot="1" x14ac:dyDescent="0.2">
      <c r="A544" s="21" t="s">
        <v>635</v>
      </c>
      <c r="B544" s="22">
        <v>21</v>
      </c>
      <c r="C544" s="22">
        <v>19</v>
      </c>
      <c r="D544" s="2" t="s">
        <v>432</v>
      </c>
      <c r="E544" s="22"/>
      <c r="F544" s="18">
        <v>31669</v>
      </c>
      <c r="G544" s="18">
        <v>10000</v>
      </c>
      <c r="H544" s="18"/>
      <c r="I544" s="18"/>
      <c r="J544" s="18"/>
      <c r="K544" s="18"/>
      <c r="L544" s="69">
        <f>SUM(F544:K544)</f>
        <v>41669</v>
      </c>
      <c r="M544" s="8"/>
      <c r="N544" s="165"/>
    </row>
    <row r="545" spans="1:14" s="3" customFormat="1" ht="12.2" customHeight="1" thickTop="1" thickBot="1" x14ac:dyDescent="0.2">
      <c r="A545" s="93" t="s">
        <v>71</v>
      </c>
      <c r="B545" s="63">
        <v>21</v>
      </c>
      <c r="C545" s="63">
        <v>20</v>
      </c>
      <c r="D545" s="140" t="s">
        <v>432</v>
      </c>
      <c r="E545" s="63"/>
      <c r="F545" s="141">
        <f>SUM(F542:F544)</f>
        <v>95007</v>
      </c>
      <c r="G545" s="141">
        <f t="shared" ref="G545:L545" si="40">SUM(G542:G544)</f>
        <v>30000</v>
      </c>
      <c r="H545" s="141">
        <f t="shared" si="40"/>
        <v>0</v>
      </c>
      <c r="I545" s="141">
        <f t="shared" si="40"/>
        <v>0</v>
      </c>
      <c r="J545" s="141">
        <f t="shared" si="40"/>
        <v>0</v>
      </c>
      <c r="K545" s="141">
        <f t="shared" si="40"/>
        <v>0</v>
      </c>
      <c r="L545" s="141">
        <f t="shared" si="40"/>
        <v>125007</v>
      </c>
      <c r="M545" s="8"/>
      <c r="N545" s="165"/>
    </row>
    <row r="546" spans="1:14" s="3" customFormat="1" ht="12.2" customHeight="1" thickTop="1" x14ac:dyDescent="0.15">
      <c r="A546" s="75" t="s">
        <v>72</v>
      </c>
      <c r="B546" s="41">
        <v>21</v>
      </c>
      <c r="C546" s="41">
        <v>21</v>
      </c>
      <c r="D546" s="115" t="s">
        <v>432</v>
      </c>
      <c r="E546" s="41"/>
      <c r="F546" s="70">
        <f>F525+F530+F535+F540+F545</f>
        <v>1518810</v>
      </c>
      <c r="G546" s="70">
        <f t="shared" ref="G546:L546" si="41">G525+G530+G535+G540+G545</f>
        <v>846661</v>
      </c>
      <c r="H546" s="70">
        <f t="shared" si="41"/>
        <v>600735</v>
      </c>
      <c r="I546" s="70">
        <f t="shared" si="41"/>
        <v>50164</v>
      </c>
      <c r="J546" s="70">
        <f t="shared" si="41"/>
        <v>5012</v>
      </c>
      <c r="K546" s="70">
        <f t="shared" si="41"/>
        <v>1476</v>
      </c>
      <c r="L546" s="70">
        <f t="shared" si="41"/>
        <v>3022858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796152</v>
      </c>
      <c r="G550" s="69">
        <f>L527</f>
        <v>179486</v>
      </c>
      <c r="H550" s="69">
        <f>L532</f>
        <v>57000</v>
      </c>
      <c r="I550" s="69">
        <f>L537</f>
        <v>2255</v>
      </c>
      <c r="J550" s="69">
        <f>L542</f>
        <v>41669</v>
      </c>
      <c r="K550" s="69">
        <f>SUM(F550:J550)</f>
        <v>1076562</v>
      </c>
      <c r="L550" s="23" t="s">
        <v>288</v>
      </c>
      <c r="M550" s="8"/>
      <c r="N550" s="165"/>
    </row>
    <row r="551" spans="1:14" s="3" customFormat="1" ht="12.2" customHeight="1" x14ac:dyDescent="0.15">
      <c r="A551" s="21" t="s">
        <v>634</v>
      </c>
      <c r="B551" s="22">
        <v>21</v>
      </c>
      <c r="C551" s="22">
        <v>23</v>
      </c>
      <c r="D551" s="2" t="s">
        <v>432</v>
      </c>
      <c r="E551" s="22"/>
      <c r="F551" s="69">
        <f>L523</f>
        <v>642461</v>
      </c>
      <c r="G551" s="69">
        <f>L528</f>
        <v>182324</v>
      </c>
      <c r="H551" s="69">
        <f>L533</f>
        <v>57000</v>
      </c>
      <c r="I551" s="69">
        <f>L538</f>
        <v>2255</v>
      </c>
      <c r="J551" s="69">
        <f>L543</f>
        <v>41669</v>
      </c>
      <c r="K551" s="69">
        <f>SUM(F551:J551)</f>
        <v>925709</v>
      </c>
      <c r="L551" s="23" t="s">
        <v>288</v>
      </c>
      <c r="M551" s="8"/>
      <c r="N551" s="165"/>
    </row>
    <row r="552" spans="1:14" s="3" customFormat="1" ht="12.2" customHeight="1" thickBot="1" x14ac:dyDescent="0.2">
      <c r="A552" s="21" t="s">
        <v>635</v>
      </c>
      <c r="B552" s="22">
        <v>21</v>
      </c>
      <c r="C552" s="22">
        <v>24</v>
      </c>
      <c r="D552" s="2" t="s">
        <v>432</v>
      </c>
      <c r="E552" s="22"/>
      <c r="F552" s="69">
        <f>L524</f>
        <v>735744</v>
      </c>
      <c r="G552" s="69">
        <f>L529</f>
        <v>183919</v>
      </c>
      <c r="H552" s="69">
        <f>L534</f>
        <v>57000</v>
      </c>
      <c r="I552" s="69">
        <f>L539</f>
        <v>2255</v>
      </c>
      <c r="J552" s="69">
        <f>L544</f>
        <v>41669</v>
      </c>
      <c r="K552" s="69">
        <f>SUM(F552:J552)</f>
        <v>1020587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2174357</v>
      </c>
      <c r="G553" s="70">
        <f t="shared" si="42"/>
        <v>545729</v>
      </c>
      <c r="H553" s="70">
        <f t="shared" si="42"/>
        <v>171000</v>
      </c>
      <c r="I553" s="70">
        <f t="shared" si="42"/>
        <v>6765</v>
      </c>
      <c r="J553" s="70">
        <f t="shared" si="42"/>
        <v>125007</v>
      </c>
      <c r="K553" s="70">
        <f t="shared" si="42"/>
        <v>3022858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16143.66</v>
      </c>
      <c r="G580" s="18"/>
      <c r="H580" s="18"/>
      <c r="I580" s="69">
        <f t="shared" si="47"/>
        <v>16143.66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404112.48</v>
      </c>
      <c r="I583" s="69">
        <f t="shared" si="47"/>
        <v>404112.48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72391+40609+1789</f>
        <v>114789</v>
      </c>
      <c r="I592" s="18">
        <f>72391+40609+2678</f>
        <v>115678</v>
      </c>
      <c r="J592" s="18">
        <f>72391+42139+903</f>
        <v>115433</v>
      </c>
      <c r="K592" s="80">
        <f t="shared" ref="K592:K598" si="48">SUM(H592:J592)</f>
        <v>345900</v>
      </c>
      <c r="L592" s="23" t="s">
        <v>288</v>
      </c>
      <c r="M592" s="8"/>
      <c r="N592" s="165"/>
    </row>
    <row r="593" spans="1:14" s="3" customFormat="1" ht="12.2" customHeight="1" x14ac:dyDescent="0.15">
      <c r="A593" s="3" t="s">
        <v>638</v>
      </c>
      <c r="B593" s="22">
        <v>23</v>
      </c>
      <c r="C593" s="22">
        <v>2</v>
      </c>
      <c r="D593" s="2" t="s">
        <v>432</v>
      </c>
      <c r="E593" s="22"/>
      <c r="F593" s="78">
        <v>2722</v>
      </c>
      <c r="G593" s="79" t="s">
        <v>97</v>
      </c>
      <c r="H593" s="18">
        <f>31669+10000</f>
        <v>41669</v>
      </c>
      <c r="I593" s="18">
        <f>31669+10000</f>
        <v>41669</v>
      </c>
      <c r="J593" s="18">
        <f>31669+10000</f>
        <v>41669</v>
      </c>
      <c r="K593" s="80">
        <f t="shared" si="48"/>
        <v>125007</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f>7810+1790</f>
        <v>9600</v>
      </c>
      <c r="J594" s="18">
        <f>7810+1790+4230</f>
        <v>13830</v>
      </c>
      <c r="K594" s="80">
        <f t="shared" si="48"/>
        <v>23430</v>
      </c>
      <c r="L594" s="23" t="s">
        <v>288</v>
      </c>
      <c r="M594" s="8"/>
      <c r="N594" s="165"/>
    </row>
    <row r="595" spans="1:14" s="3" customFormat="1" ht="12.2" customHeight="1" x14ac:dyDescent="0.15">
      <c r="A595" s="21" t="s">
        <v>640</v>
      </c>
      <c r="B595" s="22">
        <v>23</v>
      </c>
      <c r="C595" s="22">
        <v>4</v>
      </c>
      <c r="D595" s="2" t="s">
        <v>432</v>
      </c>
      <c r="E595" s="22"/>
      <c r="F595" s="78">
        <v>2724</v>
      </c>
      <c r="G595" s="79" t="s">
        <v>97</v>
      </c>
      <c r="H595" s="18">
        <v>6144</v>
      </c>
      <c r="I595" s="18">
        <v>6144</v>
      </c>
      <c r="J595" s="18">
        <v>6143</v>
      </c>
      <c r="K595" s="80">
        <f t="shared" si="48"/>
        <v>18431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2880</v>
      </c>
      <c r="I596" s="18">
        <v>1117</v>
      </c>
      <c r="J596" s="18">
        <v>1116</v>
      </c>
      <c r="K596" s="80">
        <f t="shared" si="48"/>
        <v>5113</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165482</v>
      </c>
      <c r="I599" s="81">
        <f>SUM(I592:I598)</f>
        <v>174208</v>
      </c>
      <c r="J599" s="81">
        <f>SUM(J592:J598)</f>
        <v>178191</v>
      </c>
      <c r="K599" s="81">
        <f>SUM(K592:K598)</f>
        <v>517881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136375+463794</f>
        <v>600169</v>
      </c>
      <c r="I605" s="18">
        <f>91288+12106</f>
        <v>103394</v>
      </c>
      <c r="J605" s="18">
        <f>125407+12104</f>
        <v>137511</v>
      </c>
      <c r="K605" s="80">
        <f>SUM(H605:J605)</f>
        <v>841074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600169</v>
      </c>
      <c r="I606" s="81">
        <f>SUM(I603:I605)</f>
        <v>103394</v>
      </c>
      <c r="J606" s="81">
        <f>SUM(J603:J605)</f>
        <v>137511</v>
      </c>
      <c r="K606" s="81">
        <f>SUM(K603:K605)</f>
        <v>841074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10168</v>
      </c>
      <c r="G612" s="18"/>
      <c r="H612" s="18"/>
      <c r="I612" s="18"/>
      <c r="J612" s="18"/>
      <c r="K612" s="18"/>
      <c r="L612" s="69">
        <f>SUM(F612:K612)</f>
        <v>10168</v>
      </c>
      <c r="M612" s="8"/>
      <c r="N612" s="165"/>
    </row>
    <row r="613" spans="1:14" s="3" customFormat="1" ht="12.2" customHeight="1" x14ac:dyDescent="0.15">
      <c r="A613" s="21" t="s">
        <v>634</v>
      </c>
      <c r="B613" s="22">
        <v>23</v>
      </c>
      <c r="C613" s="22">
        <v>14</v>
      </c>
      <c r="D613" s="2" t="s">
        <v>432</v>
      </c>
      <c r="E613" s="22"/>
      <c r="F613" s="18">
        <v>7342</v>
      </c>
      <c r="G613" s="18"/>
      <c r="H613" s="18"/>
      <c r="I613" s="18"/>
      <c r="J613" s="18"/>
      <c r="K613" s="18"/>
      <c r="L613" s="69">
        <f>SUM(F613:K613)</f>
        <v>7342</v>
      </c>
      <c r="M613" s="8"/>
      <c r="N613" s="165"/>
    </row>
    <row r="614" spans="1:14" s="3" customFormat="1" ht="12.2" customHeight="1" thickBot="1" x14ac:dyDescent="0.2">
      <c r="A614" s="21" t="s">
        <v>645</v>
      </c>
      <c r="B614" s="22">
        <v>23</v>
      </c>
      <c r="C614" s="22">
        <v>15</v>
      </c>
      <c r="D614" s="2" t="s">
        <v>432</v>
      </c>
      <c r="E614" s="22"/>
      <c r="F614" s="18">
        <v>11013</v>
      </c>
      <c r="G614" s="18"/>
      <c r="H614" s="18"/>
      <c r="I614" s="18"/>
      <c r="J614" s="18"/>
      <c r="K614" s="18"/>
      <c r="L614" s="69">
        <f>SUM(F614:K614)</f>
        <v>11013</v>
      </c>
      <c r="M614" s="8"/>
      <c r="N614" s="165"/>
    </row>
    <row r="615" spans="1:14" s="3" customFormat="1" ht="12.2" customHeight="1" thickTop="1" x14ac:dyDescent="0.15">
      <c r="A615" s="75" t="s">
        <v>340</v>
      </c>
      <c r="B615" s="41">
        <v>23</v>
      </c>
      <c r="C615" s="41">
        <v>16</v>
      </c>
      <c r="D615" s="36" t="s">
        <v>432</v>
      </c>
      <c r="E615" s="41"/>
      <c r="F615" s="81">
        <f t="shared" ref="F615:L615" si="49">SUM(F612:F614)</f>
        <v>28523</v>
      </c>
      <c r="G615" s="81">
        <f t="shared" si="49"/>
        <v>0</v>
      </c>
      <c r="H615" s="81">
        <f t="shared" si="49"/>
        <v>0</v>
      </c>
      <c r="I615" s="81">
        <f t="shared" si="49"/>
        <v>0</v>
      </c>
      <c r="J615" s="81">
        <f t="shared" si="49"/>
        <v>0</v>
      </c>
      <c r="K615" s="81">
        <f t="shared" si="49"/>
        <v>0</v>
      </c>
      <c r="L615" s="70">
        <f t="shared" si="49"/>
        <v>28523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1703493</v>
      </c>
      <c r="H618" s="80">
        <f>SUM(F52)</f>
        <v>1703493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20502</v>
      </c>
      <c r="H619" s="80">
        <f>SUM(G52)</f>
        <v>20502</v>
      </c>
      <c r="I619" s="87" t="s">
        <v>875</v>
      </c>
      <c r="J619" s="80">
        <f>G619-H619</f>
        <v>0</v>
      </c>
      <c r="K619" s="80"/>
      <c r="L619" s="80"/>
      <c r="M619" s="8"/>
    </row>
    <row r="620" spans="1:14" s="3" customFormat="1" ht="12.2" customHeight="1" x14ac:dyDescent="0.15">
      <c r="A620" s="74"/>
      <c r="B620" s="22"/>
      <c r="C620" s="22"/>
      <c r="D620" s="22"/>
      <c r="E620" s="22"/>
      <c r="F620" s="87" t="s">
        <v>685</v>
      </c>
      <c r="G620" s="80">
        <f>SUM(H19)</f>
        <v>154659</v>
      </c>
      <c r="H620" s="80">
        <f>SUM(H52)</f>
        <v>154659</v>
      </c>
      <c r="I620" s="87" t="s">
        <v>876</v>
      </c>
      <c r="J620" s="80">
        <f>G620-H620</f>
        <v>0</v>
      </c>
      <c r="K620" s="80"/>
      <c r="L620" s="80"/>
      <c r="M620" s="8"/>
    </row>
    <row r="621" spans="1:14" s="3" customFormat="1" ht="12.2" customHeight="1" x14ac:dyDescent="0.15">
      <c r="A621" s="74"/>
      <c r="B621" s="22"/>
      <c r="C621" s="22"/>
      <c r="D621" s="22"/>
      <c r="E621" s="22"/>
      <c r="F621" s="87" t="s">
        <v>686</v>
      </c>
      <c r="G621" s="80">
        <f>SUM(I19)</f>
        <v>374733</v>
      </c>
      <c r="H621" s="80">
        <f>SUM(I52)</f>
        <v>374733</v>
      </c>
      <c r="I621" s="87" t="s">
        <v>877</v>
      </c>
      <c r="J621" s="80">
        <f>G621-H621</f>
        <v>0</v>
      </c>
      <c r="K621" s="80"/>
      <c r="L621" s="80"/>
      <c r="M621" s="8"/>
    </row>
    <row r="622" spans="1:14" s="3" customFormat="1" ht="12.2" customHeight="1" x14ac:dyDescent="0.15">
      <c r="A622" s="74"/>
      <c r="B622" s="22"/>
      <c r="C622" s="22"/>
      <c r="D622" s="22"/>
      <c r="E622" s="22"/>
      <c r="F622" s="87" t="s">
        <v>687</v>
      </c>
      <c r="G622" s="80">
        <f>SUM(J19)</f>
        <v>1111154</v>
      </c>
      <c r="H622" s="80">
        <f>SUM(J52)</f>
        <v>1111154</v>
      </c>
      <c r="I622" s="87" t="s">
        <v>878</v>
      </c>
      <c r="J622" s="80">
        <f>G622-H622</f>
        <v>0</v>
      </c>
      <c r="K622" s="80"/>
      <c r="L622" s="80"/>
      <c r="M622" s="8"/>
    </row>
    <row r="623" spans="1:14" s="3" customFormat="1" ht="12.2" customHeight="1" x14ac:dyDescent="0.15">
      <c r="A623" s="74"/>
      <c r="B623" s="22"/>
      <c r="C623" s="22"/>
      <c r="D623" s="22"/>
      <c r="E623" s="22"/>
      <c r="F623" s="87" t="s">
        <v>864</v>
      </c>
      <c r="G623" s="80">
        <f>F51</f>
        <v>1674246</v>
      </c>
      <c r="H623" s="80">
        <f>F477</f>
        <v>1674246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20502</v>
      </c>
      <c r="H624" s="80">
        <f>G477</f>
        <v>20502</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374733</v>
      </c>
      <c r="H626" s="80">
        <f>I477</f>
        <v>374733</v>
      </c>
      <c r="I626" s="87" t="s">
        <v>104</v>
      </c>
      <c r="J626" s="80">
        <f t="shared" si="50"/>
        <v>0</v>
      </c>
      <c r="K626" s="80"/>
      <c r="L626" s="80"/>
      <c r="M626" s="8"/>
    </row>
    <row r="627" spans="1:13" s="3" customFormat="1" ht="12.2" customHeight="1" x14ac:dyDescent="0.15">
      <c r="A627" s="21"/>
      <c r="B627" s="22"/>
      <c r="C627" s="22"/>
      <c r="D627" s="22"/>
      <c r="E627" s="22"/>
      <c r="F627" s="86" t="s">
        <v>868</v>
      </c>
      <c r="G627" s="80">
        <f>J51</f>
        <v>1111154</v>
      </c>
      <c r="H627" s="80">
        <f>J477</f>
        <v>1111154</v>
      </c>
      <c r="I627" s="87" t="s">
        <v>105</v>
      </c>
      <c r="J627" s="80">
        <f t="shared" si="50"/>
        <v>0</v>
      </c>
      <c r="K627" s="67"/>
      <c r="L627" s="69"/>
      <c r="M627" s="8"/>
    </row>
    <row r="628" spans="1:13" s="3" customFormat="1" ht="12.2" customHeight="1" x14ac:dyDescent="0.15">
      <c r="A628" s="21"/>
      <c r="B628" s="22"/>
      <c r="C628" s="22"/>
      <c r="D628" s="22"/>
      <c r="E628" s="22"/>
      <c r="F628" s="86" t="s">
        <v>658</v>
      </c>
      <c r="G628" s="80">
        <f>F194</f>
        <v>13507535</v>
      </c>
      <c r="H628" s="80">
        <f>SUM(F469)</f>
        <v>13507535</v>
      </c>
      <c r="I628" s="87" t="s">
        <v>106</v>
      </c>
      <c r="J628" s="80">
        <f>G628-H628</f>
        <v>0</v>
      </c>
      <c r="K628" s="67"/>
      <c r="L628" s="69"/>
      <c r="M628" s="8"/>
    </row>
    <row r="629" spans="1:13" s="3" customFormat="1" ht="12.2" customHeight="1" x14ac:dyDescent="0.15">
      <c r="A629" s="21"/>
      <c r="B629" s="22"/>
      <c r="C629" s="22"/>
      <c r="D629" s="22"/>
      <c r="E629" s="22"/>
      <c r="F629" s="86" t="s">
        <v>659</v>
      </c>
      <c r="G629" s="80">
        <f>G194</f>
        <v>153119</v>
      </c>
      <c r="H629" s="80">
        <f>SUM(G469)</f>
        <v>153119</v>
      </c>
      <c r="I629" s="87" t="s">
        <v>107</v>
      </c>
      <c r="J629" s="80">
        <f>G629-H629</f>
        <v>0</v>
      </c>
      <c r="K629" s="67"/>
      <c r="L629" s="69"/>
      <c r="M629" s="8"/>
    </row>
    <row r="630" spans="1:13" s="3" customFormat="1" ht="12.2" customHeight="1" x14ac:dyDescent="0.15">
      <c r="A630" s="21"/>
      <c r="B630" s="22"/>
      <c r="C630" s="22"/>
      <c r="D630" s="22"/>
      <c r="E630" s="22"/>
      <c r="F630" s="86" t="s">
        <v>660</v>
      </c>
      <c r="G630" s="80">
        <f>H194</f>
        <v>799041</v>
      </c>
      <c r="H630" s="80">
        <f>SUM(H469)</f>
        <v>799041</v>
      </c>
      <c r="I630" s="87" t="s">
        <v>108</v>
      </c>
      <c r="J630" s="80">
        <f>G630-H630</f>
        <v>0</v>
      </c>
      <c r="K630" s="67"/>
      <c r="L630" s="69"/>
      <c r="M630" s="8"/>
    </row>
    <row r="631" spans="1:13" s="3" customFormat="1" ht="12.2" customHeight="1" x14ac:dyDescent="0.15">
      <c r="A631" s="21"/>
      <c r="B631" s="22"/>
      <c r="C631" s="22"/>
      <c r="D631" s="22"/>
      <c r="E631" s="22"/>
      <c r="F631" s="86" t="s">
        <v>661</v>
      </c>
      <c r="G631" s="80">
        <f>I194</f>
        <v>4899714</v>
      </c>
      <c r="H631" s="80">
        <f>SUM(I469)</f>
        <v>4899714</v>
      </c>
      <c r="I631" s="87" t="s">
        <v>109</v>
      </c>
      <c r="J631" s="80">
        <f>G631-H631</f>
        <v>0</v>
      </c>
      <c r="K631" s="67"/>
      <c r="L631" s="69"/>
      <c r="M631" s="8"/>
    </row>
    <row r="632" spans="1:13" s="3" customFormat="1" ht="12.2" customHeight="1" x14ac:dyDescent="0.15">
      <c r="A632" s="21"/>
      <c r="B632" s="22"/>
      <c r="C632" s="22"/>
      <c r="D632" s="22"/>
      <c r="E632" s="22"/>
      <c r="F632" s="86" t="s">
        <v>662</v>
      </c>
      <c r="G632" s="80">
        <f>J194</f>
        <v>160399</v>
      </c>
      <c r="H632" s="80">
        <f>SUM(J469)</f>
        <v>160399</v>
      </c>
      <c r="I632" s="87" t="s">
        <v>110</v>
      </c>
      <c r="J632" s="80">
        <f>G632-H632</f>
        <v>0</v>
      </c>
      <c r="K632" s="67"/>
      <c r="L632" s="69"/>
      <c r="M632" s="8"/>
    </row>
    <row r="633" spans="1:13" s="3" customFormat="1" ht="12.2" customHeight="1" x14ac:dyDescent="0.15">
      <c r="A633" s="21"/>
      <c r="B633" s="22"/>
      <c r="C633" s="22"/>
      <c r="D633" s="22"/>
      <c r="E633" s="22"/>
      <c r="F633" s="86" t="s">
        <v>394</v>
      </c>
      <c r="G633" s="80">
        <f>SUM(L272)</f>
        <v>13327706</v>
      </c>
      <c r="H633" s="80">
        <f>SUM(F473)</f>
        <v>13327706</v>
      </c>
      <c r="I633" s="87" t="s">
        <v>111</v>
      </c>
      <c r="J633" s="80">
        <f t="shared" si="50"/>
        <v>0</v>
      </c>
      <c r="K633" s="67"/>
      <c r="L633" s="69"/>
      <c r="M633" s="8"/>
    </row>
    <row r="634" spans="1:13" s="3" customFormat="1" ht="12.2" customHeight="1" x14ac:dyDescent="0.15">
      <c r="A634" s="21"/>
      <c r="B634" s="22"/>
      <c r="C634" s="22"/>
      <c r="D634" s="22"/>
      <c r="E634" s="22"/>
      <c r="F634" s="86" t="s">
        <v>395</v>
      </c>
      <c r="G634" s="80">
        <f>SUM(L353)</f>
        <v>799041</v>
      </c>
      <c r="H634" s="80">
        <f>SUM(H473)</f>
        <v>799041</v>
      </c>
      <c r="I634" s="87" t="s">
        <v>112</v>
      </c>
      <c r="J634" s="80">
        <f>G634-H634</f>
        <v>0</v>
      </c>
      <c r="K634" s="67"/>
      <c r="L634" s="69"/>
      <c r="M634" s="8"/>
    </row>
    <row r="635" spans="1:13" s="124" customFormat="1" ht="12.2" customHeight="1" x14ac:dyDescent="0.15">
      <c r="A635" s="21"/>
      <c r="B635" s="22"/>
      <c r="C635" s="22"/>
      <c r="D635" s="22"/>
      <c r="E635" s="22"/>
      <c r="F635" s="99" t="s">
        <v>247</v>
      </c>
      <c r="G635" s="80">
        <f>I363</f>
        <v>84018</v>
      </c>
      <c r="H635" s="80">
        <f>I370</f>
        <v>84018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173532</v>
      </c>
      <c r="H636" s="80">
        <f>SUM(G473)</f>
        <v>173532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4524981</v>
      </c>
      <c r="H637" s="80">
        <f>SUM(I473)</f>
        <v>4524981</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160399</v>
      </c>
      <c r="H638" s="108">
        <f>SUM(J469)</f>
        <v>160399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3700</v>
      </c>
      <c r="H639" s="108">
        <f>SUM(J473)</f>
        <v>3700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953222</v>
      </c>
      <c r="H640" s="80">
        <f>SUM(F462)</f>
        <v>953222</v>
      </c>
      <c r="I640" s="87" t="s">
        <v>840</v>
      </c>
      <c r="J640" s="80">
        <f t="shared" si="50"/>
        <v>0</v>
      </c>
      <c r="K640" s="67"/>
      <c r="L640" s="69"/>
      <c r="M640" s="8"/>
    </row>
    <row r="641" spans="1:13" s="3" customFormat="1" ht="12.2" customHeight="1" x14ac:dyDescent="0.15">
      <c r="A641" s="21"/>
      <c r="B641" s="22"/>
      <c r="C641" s="22"/>
      <c r="D641" s="22"/>
      <c r="E641" s="22"/>
      <c r="F641" s="86" t="s">
        <v>119</v>
      </c>
      <c r="G641" s="80">
        <f>SUM(G447)</f>
        <v>157932</v>
      </c>
      <c r="H641" s="80">
        <f>SUM(G462)</f>
        <v>157932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1111154</v>
      </c>
      <c r="H643" s="80">
        <f>SUM(I462)</f>
        <v>1111154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31811</v>
      </c>
      <c r="H645" s="80">
        <f>H409</f>
        <v>31811</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160399</v>
      </c>
      <c r="H647" s="80">
        <f>L409</f>
        <v>160399</v>
      </c>
      <c r="I647" s="87" t="s">
        <v>477</v>
      </c>
      <c r="J647" s="80">
        <f t="shared" si="50"/>
        <v>0</v>
      </c>
      <c r="K647" s="67"/>
      <c r="L647" s="69"/>
      <c r="M647" s="8"/>
    </row>
    <row r="648" spans="1:13" s="3" customFormat="1" ht="12.2" customHeight="1" x14ac:dyDescent="0.15">
      <c r="A648" s="21"/>
      <c r="B648" s="22"/>
      <c r="C648" s="22"/>
      <c r="D648" s="22"/>
      <c r="E648" s="22"/>
      <c r="F648" s="86" t="s">
        <v>51</v>
      </c>
      <c r="G648" s="80">
        <f>K599</f>
        <v>517881</v>
      </c>
      <c r="H648" s="80">
        <f>L209+L227+L245</f>
        <v>517881</v>
      </c>
      <c r="I648" s="87" t="s">
        <v>396</v>
      </c>
      <c r="J648" s="80">
        <f t="shared" si="50"/>
        <v>0</v>
      </c>
      <c r="K648" s="67"/>
      <c r="L648" s="69"/>
      <c r="M648" s="8"/>
    </row>
    <row r="649" spans="1:13" s="3" customFormat="1" ht="12.2" customHeight="1" x14ac:dyDescent="0.15">
      <c r="A649" s="21"/>
      <c r="B649" s="22"/>
      <c r="C649" s="22"/>
      <c r="D649" s="22"/>
      <c r="E649" s="22"/>
      <c r="F649" s="86" t="s">
        <v>52</v>
      </c>
      <c r="G649" s="80">
        <f>K606</f>
        <v>841074</v>
      </c>
      <c r="H649" s="80">
        <f>(J258+J339)-(J256+J337)</f>
        <v>841074</v>
      </c>
      <c r="I649" s="87" t="s">
        <v>699</v>
      </c>
      <c r="J649" s="80">
        <f t="shared" si="50"/>
        <v>0</v>
      </c>
      <c r="K649" s="67"/>
      <c r="L649" s="69"/>
      <c r="M649" s="8"/>
    </row>
    <row r="650" spans="1:13" s="3" customFormat="1" ht="12.2" customHeight="1" x14ac:dyDescent="0.15">
      <c r="A650" s="21"/>
      <c r="B650" s="22"/>
      <c r="C650" s="22"/>
      <c r="D650" s="22"/>
      <c r="E650" s="22"/>
      <c r="F650" s="86" t="s">
        <v>387</v>
      </c>
      <c r="G650" s="80">
        <f>L209</f>
        <v>165482</v>
      </c>
      <c r="H650" s="80">
        <f>H599</f>
        <v>165482</v>
      </c>
      <c r="I650" s="87" t="s">
        <v>388</v>
      </c>
      <c r="J650" s="80">
        <f t="shared" si="50"/>
        <v>0</v>
      </c>
      <c r="K650" s="67"/>
      <c r="L650" s="69"/>
      <c r="M650" s="8"/>
    </row>
    <row r="651" spans="1:13" s="3" customFormat="1" ht="12.2" customHeight="1" x14ac:dyDescent="0.15">
      <c r="A651" s="21"/>
      <c r="B651" s="22"/>
      <c r="C651" s="22"/>
      <c r="D651" s="22"/>
      <c r="E651" s="22"/>
      <c r="F651" s="86" t="s">
        <v>392</v>
      </c>
      <c r="G651" s="80">
        <f>L227</f>
        <v>174208</v>
      </c>
      <c r="H651" s="80">
        <f>I599</f>
        <v>174208</v>
      </c>
      <c r="I651" s="87" t="s">
        <v>389</v>
      </c>
      <c r="J651" s="80">
        <f t="shared" si="50"/>
        <v>0</v>
      </c>
      <c r="K651" s="67"/>
      <c r="L651" s="69"/>
      <c r="M651" s="8"/>
    </row>
    <row r="652" spans="1:13" s="3" customFormat="1" ht="12.2" customHeight="1" x14ac:dyDescent="0.15">
      <c r="A652" s="21"/>
      <c r="B652" s="22"/>
      <c r="C652" s="22"/>
      <c r="D652" s="22"/>
      <c r="E652" s="22"/>
      <c r="F652" s="86" t="s">
        <v>393</v>
      </c>
      <c r="G652" s="80">
        <f>L245</f>
        <v>178191</v>
      </c>
      <c r="H652" s="80">
        <f>J599</f>
        <v>178191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5183680</v>
      </c>
      <c r="G661" s="13">
        <f>(L230+L310+L360)</f>
        <v>3877558</v>
      </c>
      <c r="H661" s="13">
        <f>(L248+L329+L361)</f>
        <v>4558826</v>
      </c>
      <c r="I661" s="13">
        <f>SUM(F661:H661)</f>
        <v>13620064</v>
      </c>
      <c r="J661" s="13"/>
      <c r="K661" s="13"/>
      <c r="L661" s="13"/>
      <c r="M661" s="9"/>
    </row>
    <row r="662" spans="1:13" s="3" customFormat="1" ht="12.2" customHeight="1" x14ac:dyDescent="0.2">
      <c r="A662" s="1" t="s">
        <v>127</v>
      </c>
      <c r="F662" s="13">
        <f>(L359/IF(SUM(L359:L361)=0,1,SUM(L359:L361))*(SUM(G97:G110)))</f>
        <v>30812.333333333332</v>
      </c>
      <c r="G662" s="13">
        <f>(L360/IF(SUM(L359:L361)=0,1,SUM(L359:L361))*(SUM(G97:G110)))</f>
        <v>30812.333333333332</v>
      </c>
      <c r="H662" s="13">
        <f>(L361/IF(SUM(L359:L361)=0,1,SUM(L359:L361))*(SUM(G97:G110)))</f>
        <v>30812.333333333332</v>
      </c>
      <c r="I662" s="13">
        <f>SUM(F662:H662)</f>
        <v>92437</v>
      </c>
      <c r="J662"/>
      <c r="K662" s="13"/>
      <c r="L662" s="13"/>
      <c r="M662" s="8"/>
    </row>
    <row r="663" spans="1:13" s="3" customFormat="1" ht="12.2" customHeight="1" x14ac:dyDescent="0.2">
      <c r="A663" s="1" t="s">
        <v>128</v>
      </c>
      <c r="F663" s="13">
        <f>(L209+L288)-(J209+J288)</f>
        <v>164766</v>
      </c>
      <c r="G663" s="13">
        <f>(L227+L307)-(J227+J307)</f>
        <v>173492</v>
      </c>
      <c r="H663" s="13">
        <f>(L245+L326)-(J245+J326)</f>
        <v>177475</v>
      </c>
      <c r="I663" s="13">
        <f>SUM(F663:H663)</f>
        <v>515733</v>
      </c>
      <c r="J663"/>
      <c r="K663" s="13"/>
      <c r="L663" s="13"/>
      <c r="M663" s="9"/>
    </row>
    <row r="664" spans="1:13" s="3" customFormat="1" ht="12.2" customHeight="1" x14ac:dyDescent="0.15">
      <c r="A664" s="142" t="s">
        <v>129</v>
      </c>
      <c r="B664" s="124"/>
      <c r="C664" s="124"/>
      <c r="D664" s="124"/>
      <c r="E664" s="124"/>
      <c r="F664" s="143">
        <f>SUM(F576:F588)+SUM(H603:H605)+SUM(L612)</f>
        <v>626480.66</v>
      </c>
      <c r="G664" s="143">
        <f>SUM(G576:G588)+SUM(I603:I605)+L613</f>
        <v>110736</v>
      </c>
      <c r="H664" s="143">
        <f>SUM(H576:H588)+SUM(J603:J605)+L614</f>
        <v>552636.48</v>
      </c>
      <c r="I664" s="13">
        <f>SUM(F664:H664)</f>
        <v>1289853.1400000001</v>
      </c>
      <c r="J664" s="13"/>
      <c r="K664" s="13"/>
      <c r="L664" s="13"/>
      <c r="M664" s="9"/>
    </row>
    <row r="665" spans="1:13" s="3" customFormat="1" ht="12.2" customHeight="1" x14ac:dyDescent="0.15">
      <c r="A665" s="1" t="s">
        <v>130</v>
      </c>
      <c r="F665" s="13">
        <f>F661-SUM(F662:F664)</f>
        <v>4361621.0066666668</v>
      </c>
      <c r="G665" s="13">
        <f>G661-SUM(G662:G664)</f>
        <v>3562517.6666666665</v>
      </c>
      <c r="H665" s="13">
        <f>H661-SUM(H662:H664)</f>
        <v>3797902.1866666665</v>
      </c>
      <c r="I665" s="13">
        <f>I661-SUM(I662:I664)</f>
        <v>11722040.859999999</v>
      </c>
      <c r="J665" s="13"/>
      <c r="K665" s="13"/>
      <c r="L665" s="13"/>
      <c r="M665" s="8"/>
    </row>
    <row r="666" spans="1:13" s="3" customFormat="1" ht="12.2" customHeight="1" x14ac:dyDescent="0.2">
      <c r="A666" s="1" t="s">
        <v>131</v>
      </c>
      <c r="F666" s="183">
        <v>162.26</v>
      </c>
      <c r="G666" s="184">
        <v>84.69</v>
      </c>
      <c r="H666" s="184">
        <v>127.53</v>
      </c>
      <c r="I666" s="13">
        <f>SUM(F666:H666)</f>
        <v>374.48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26880.45</v>
      </c>
      <c r="G668" s="13">
        <f>ROUND(G665/G666,2)</f>
        <v>42065.39</v>
      </c>
      <c r="H668" s="13">
        <f>ROUND(H665/H666,2)</f>
        <v>29780.46</v>
      </c>
      <c r="I668" s="13">
        <f>ROUND(I665/I666,2)</f>
        <v>31302.18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-4.72</v>
      </c>
      <c r="I671" s="13">
        <f>SUM(F671:H671)</f>
        <v>-4.72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26880.45</v>
      </c>
      <c r="G673" s="13">
        <f>ROUND((G665+G670)/(G666+G671),2)</f>
        <v>42065.39</v>
      </c>
      <c r="H673" s="13">
        <f>ROUND((H665+H670)/(H666+H671),2)</f>
        <v>30925.02</v>
      </c>
      <c r="I673" s="13">
        <f>ROUND((I665+I670)/(I666+I671),2)</f>
        <v>31701.75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16383" man="1"/>
    <brk id="212" max="16383" man="1"/>
    <brk id="230" max="16383" man="1"/>
    <brk id="248" max="11"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7649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6904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745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Sunapee</v>
      </c>
      <c r="C5" s="317"/>
      <c r="D5" s="317"/>
      <c r="E5" s="317"/>
      <c r="F5" s="317"/>
    </row>
    <row r="8" spans="1:9" ht="18" x14ac:dyDescent="0.25">
      <c r="A8" s="240" t="s">
        <v>1560</v>
      </c>
      <c r="F8" s="247" t="s">
        <v>1578</v>
      </c>
    </row>
    <row r="9" spans="1:9" ht="15" x14ac:dyDescent="0.2">
      <c r="A9" s="238" t="s">
        <v>1561</v>
      </c>
      <c r="B9" s="241">
        <f>'DOE25'!G97</f>
        <v>92437</v>
      </c>
      <c r="F9" s="238" t="s">
        <v>1574</v>
      </c>
    </row>
    <row r="10" spans="1:9" ht="15" x14ac:dyDescent="0.2">
      <c r="A10" s="238" t="s">
        <v>1562</v>
      </c>
      <c r="B10" s="241">
        <f>'DOE25'!G112-'DOE25'!G97</f>
        <v>0</v>
      </c>
      <c r="F10" s="238" t="s">
        <v>1575</v>
      </c>
    </row>
    <row r="11" spans="1:9" ht="15" x14ac:dyDescent="0.2">
      <c r="A11" s="238" t="s">
        <v>1563</v>
      </c>
      <c r="B11" s="241">
        <f>'DOE25'!G140</f>
        <v>188</v>
      </c>
      <c r="F11" s="238" t="s">
        <v>1576</v>
      </c>
    </row>
    <row r="12" spans="1:9" ht="15" x14ac:dyDescent="0.2">
      <c r="A12" s="238" t="s">
        <v>1564</v>
      </c>
      <c r="B12" s="241">
        <f>'DOE25'!G170</f>
        <v>60494</v>
      </c>
      <c r="F12" s="238" t="s">
        <v>1577</v>
      </c>
    </row>
    <row r="13" spans="1:9" ht="15" x14ac:dyDescent="0.2">
      <c r="A13" s="238" t="s">
        <v>1565</v>
      </c>
      <c r="B13" s="241">
        <f>'DOE25'!G193-'DOE25'!G180</f>
        <v>0</v>
      </c>
      <c r="F13" s="238" t="s">
        <v>1587</v>
      </c>
    </row>
    <row r="14" spans="1:9" ht="18" x14ac:dyDescent="0.25">
      <c r="A14" s="240" t="s">
        <v>732</v>
      </c>
      <c r="B14" s="242">
        <f>SUM(B9:B13)</f>
        <v>153119</v>
      </c>
    </row>
    <row r="16" spans="1:9" ht="18" x14ac:dyDescent="0.25">
      <c r="A16" s="240" t="s">
        <v>786</v>
      </c>
      <c r="F16" s="247" t="s">
        <v>1579</v>
      </c>
    </row>
    <row r="17" spans="1:6" ht="15" x14ac:dyDescent="0.2">
      <c r="A17" s="238" t="s">
        <v>1566</v>
      </c>
      <c r="B17" s="241">
        <f>'DOE25'!L363-'DOE25'!L362</f>
        <v>173532</v>
      </c>
      <c r="F17" s="238" t="s">
        <v>1580</v>
      </c>
    </row>
    <row r="18" spans="1:6" ht="15" x14ac:dyDescent="0.2">
      <c r="A18" s="238" t="s">
        <v>1567</v>
      </c>
      <c r="B18" s="251"/>
      <c r="F18" s="247" t="s">
        <v>1604</v>
      </c>
    </row>
    <row r="19" spans="1:6" ht="18" x14ac:dyDescent="0.25">
      <c r="A19" s="240" t="s">
        <v>725</v>
      </c>
      <c r="B19" s="242">
        <f>SUM(B17:B18)</f>
        <v>173532</v>
      </c>
    </row>
    <row r="21" spans="1:6" ht="18.75" thickBot="1" x14ac:dyDescent="0.3">
      <c r="A21" s="240" t="s">
        <v>1568</v>
      </c>
    </row>
    <row r="22" spans="1:6" ht="18.75" thickTop="1" x14ac:dyDescent="0.25">
      <c r="A22" s="240" t="s">
        <v>1569</v>
      </c>
      <c r="B22" s="246">
        <f>B14-B19</f>
        <v>-20413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40915</v>
      </c>
      <c r="F31" s="238" t="s">
        <v>1584</v>
      </c>
    </row>
    <row r="33" spans="1:6" ht="15" x14ac:dyDescent="0.2">
      <c r="A33" s="238" t="s">
        <v>1798</v>
      </c>
      <c r="B33" s="241">
        <f>'DOE25'!G477</f>
        <v>20502</v>
      </c>
      <c r="F33" s="238" t="s">
        <v>1585</v>
      </c>
    </row>
    <row r="36" spans="1:6" ht="15" x14ac:dyDescent="0.2">
      <c r="A36" s="238" t="s">
        <v>1571</v>
      </c>
      <c r="B36" s="252">
        <v>12807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4" sqref="B34:C3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Sunapee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3052920</v>
      </c>
      <c r="C9" s="167">
        <f>'DOE25'!G198+'DOE25'!G216+'DOE25'!G234+'DOE25'!G277+'DOE25'!G296+'DOE25'!G315</f>
        <v>1583273</v>
      </c>
    </row>
    <row r="10" spans="1:3" x14ac:dyDescent="0.2">
      <c r="A10" t="s">
        <v>775</v>
      </c>
      <c r="B10" s="177">
        <v>2987491</v>
      </c>
      <c r="C10" s="177">
        <v>1515768</v>
      </c>
    </row>
    <row r="11" spans="1:3" x14ac:dyDescent="0.2">
      <c r="A11" t="s">
        <v>776</v>
      </c>
      <c r="B11" s="177">
        <v>65429</v>
      </c>
      <c r="C11" s="177">
        <v>67505</v>
      </c>
    </row>
    <row r="12" spans="1:3" x14ac:dyDescent="0.2">
      <c r="A12" t="s">
        <v>777</v>
      </c>
      <c r="B12" s="177"/>
      <c r="C12" s="177"/>
    </row>
    <row r="13" spans="1:3" x14ac:dyDescent="0.2">
      <c r="A13" t="str">
        <f>IF(B9=B13,IF(C9=C13,"Check Total OK","Check Total Error"),"Check Total Error")</f>
        <v>Check Total OK</v>
      </c>
      <c r="B13" s="169">
        <f>SUM(B10:B12)</f>
        <v>3052920</v>
      </c>
      <c r="C13" s="169">
        <f>SUM(C10:C12)</f>
        <v>1583273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1042074</v>
      </c>
      <c r="C18" s="167">
        <f>'DOE25'!G199+'DOE25'!G217+'DOE25'!G235+'DOE25'!G278+'DOE25'!G297+'DOE25'!G316</f>
        <v>522391</v>
      </c>
    </row>
    <row r="19" spans="1:3" x14ac:dyDescent="0.2">
      <c r="A19" t="s">
        <v>775</v>
      </c>
      <c r="B19" s="177">
        <v>730216</v>
      </c>
      <c r="C19" s="177">
        <v>287316</v>
      </c>
    </row>
    <row r="20" spans="1:3" x14ac:dyDescent="0.2">
      <c r="A20" t="s">
        <v>776</v>
      </c>
      <c r="B20" s="177">
        <v>311858</v>
      </c>
      <c r="C20" s="177">
        <v>235075</v>
      </c>
    </row>
    <row r="21" spans="1:3" x14ac:dyDescent="0.2">
      <c r="A21" t="s">
        <v>777</v>
      </c>
      <c r="B21" s="177"/>
      <c r="C21" s="177"/>
    </row>
    <row r="22" spans="1:3" x14ac:dyDescent="0.2">
      <c r="A22" t="str">
        <f>IF(B18=B22,IF(C18=C22,"Check Total OK","Check Total Error"),"Check Total Error")</f>
        <v>Check Total OK</v>
      </c>
      <c r="B22" s="169">
        <f>SUM(B19:B21)</f>
        <v>1042074</v>
      </c>
      <c r="C22" s="169">
        <f>SUM(C19:C21)</f>
        <v>522391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157595</v>
      </c>
      <c r="C36" s="173">
        <f>'DOE25'!G201+'DOE25'!G219+'DOE25'!G237+'DOE25'!G280+'DOE25'!G299+'DOE25'!G318</f>
        <v>82570</v>
      </c>
    </row>
    <row r="37" spans="1:3" x14ac:dyDescent="0.2">
      <c r="A37" t="s">
        <v>775</v>
      </c>
      <c r="B37" s="177">
        <v>157595</v>
      </c>
      <c r="C37" s="177">
        <v>82570</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157595</v>
      </c>
      <c r="C40" s="169">
        <f>SUM(C37:C39)</f>
        <v>82570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Sunapee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7029214</v>
      </c>
      <c r="D5" s="19">
        <f>SUM('DOE25'!L198:L201)+SUM('DOE25'!L216:L219)+SUM('DOE25'!L234:L237)-F5-G5-H5</f>
        <v>7002359</v>
      </c>
      <c r="E5" s="180"/>
      <c r="F5" s="181"/>
      <c r="G5" s="19">
        <f>SUM('DOE25'!J198:J201)+SUM('DOE25'!J216:J219)+SUM('DOE25'!J234:J237)</f>
        <v>18776</v>
      </c>
      <c r="H5" s="19">
        <f>SUM('DOE25'!K198:K201)+SUM('DOE25'!K216:K219)+SUM('DOE25'!K234:K237)</f>
        <v>8079</v>
      </c>
      <c r="I5" s="192"/>
    </row>
    <row r="6" spans="1:9" x14ac:dyDescent="0.2">
      <c r="A6" s="31">
        <v>2100</v>
      </c>
      <c r="B6" t="s">
        <v>796</v>
      </c>
      <c r="C6" s="206">
        <f t="shared" si="0"/>
        <v>1233092</v>
      </c>
      <c r="D6" s="19">
        <f>'DOE25'!L203+'DOE25'!L221+'DOE25'!L239-F6-G6-H6</f>
        <v>1233092</v>
      </c>
      <c r="E6" s="180"/>
      <c r="F6" s="181"/>
      <c r="G6" s="19">
        <f>'DOE25'!J203+'DOE25'!J221+'DOE25'!J239</f>
        <v>0</v>
      </c>
      <c r="H6" s="19">
        <f>'DOE25'!K203+'DOE25'!K221+'DOE25'!K239</f>
        <v>0</v>
      </c>
      <c r="I6" s="192"/>
    </row>
    <row r="7" spans="1:9" x14ac:dyDescent="0.2">
      <c r="A7" s="31">
        <v>2200</v>
      </c>
      <c r="B7" t="s">
        <v>820</v>
      </c>
      <c r="C7" s="206">
        <f t="shared" si="0"/>
        <v>1176877</v>
      </c>
      <c r="D7" s="19">
        <f>'DOE25'!L204+'DOE25'!L222+'DOE25'!L240-F7-G7-H7</f>
        <v>892319</v>
      </c>
      <c r="E7" s="180"/>
      <c r="F7" s="181"/>
      <c r="G7" s="19">
        <f>'DOE25'!J204+'DOE25'!J222+'DOE25'!J240</f>
        <v>284558</v>
      </c>
      <c r="H7" s="19">
        <f>'DOE25'!K204+'DOE25'!K222+'DOE25'!K240</f>
        <v>0</v>
      </c>
      <c r="I7" s="192"/>
    </row>
    <row r="8" spans="1:9" x14ac:dyDescent="0.2">
      <c r="A8" s="31">
        <v>2300</v>
      </c>
      <c r="B8" t="s">
        <v>797</v>
      </c>
      <c r="C8" s="206">
        <f t="shared" si="0"/>
        <v>238413</v>
      </c>
      <c r="D8" s="180"/>
      <c r="E8" s="19">
        <f>'DOE25'!L205+'DOE25'!L223+'DOE25'!L241-F8-G8-H8-D9-D11</f>
        <v>199798</v>
      </c>
      <c r="F8" s="181"/>
      <c r="G8" s="19">
        <f>'DOE25'!J205+'DOE25'!J223+'DOE25'!J241</f>
        <v>35683</v>
      </c>
      <c r="H8" s="19">
        <f>'DOE25'!K205+'DOE25'!K223+'DOE25'!K241</f>
        <v>2932</v>
      </c>
      <c r="I8" s="192"/>
    </row>
    <row r="9" spans="1:9" ht="14.25" x14ac:dyDescent="0.2">
      <c r="A9" s="31">
        <v>2310</v>
      </c>
      <c r="B9" s="71" t="s">
        <v>887</v>
      </c>
      <c r="C9" s="206">
        <f t="shared" si="0"/>
        <v>80850</v>
      </c>
      <c r="D9" s="181">
        <v>80850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377000</v>
      </c>
      <c r="D11" s="181">
        <v>377000</v>
      </c>
      <c r="E11" s="180"/>
      <c r="F11" s="180"/>
      <c r="G11" s="180"/>
      <c r="H11" s="180"/>
      <c r="I11" s="192"/>
    </row>
    <row r="12" spans="1:9" x14ac:dyDescent="0.2">
      <c r="A12" s="31">
        <v>2400</v>
      </c>
      <c r="B12" t="s">
        <v>711</v>
      </c>
      <c r="C12" s="206">
        <f t="shared" si="0"/>
        <v>613899</v>
      </c>
      <c r="D12" s="19">
        <f>'DOE25'!L206+'DOE25'!L224+'DOE25'!L242-F12-G12-H12</f>
        <v>605921</v>
      </c>
      <c r="E12" s="180"/>
      <c r="F12" s="181"/>
      <c r="G12" s="19">
        <f>'DOE25'!J206+'DOE25'!J224+'DOE25'!J242</f>
        <v>0</v>
      </c>
      <c r="H12" s="19">
        <f>'DOE25'!K206+'DOE25'!K224+'DOE25'!K242</f>
        <v>7978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1380265</v>
      </c>
      <c r="D14" s="19">
        <f>'DOE25'!L208+'DOE25'!L226+'DOE25'!L244-F14-G14-H14</f>
        <v>1368362</v>
      </c>
      <c r="E14" s="180"/>
      <c r="F14" s="181"/>
      <c r="G14" s="19">
        <f>'DOE25'!J208+'DOE25'!J226+'DOE25'!J244</f>
        <v>11903</v>
      </c>
      <c r="H14" s="19">
        <f>'DOE25'!K208+'DOE25'!K226+'DOE25'!K244</f>
        <v>0</v>
      </c>
      <c r="I14" s="192"/>
    </row>
    <row r="15" spans="1:9" x14ac:dyDescent="0.2">
      <c r="A15" s="31">
        <v>2700</v>
      </c>
      <c r="B15" t="s">
        <v>799</v>
      </c>
      <c r="C15" s="206">
        <f t="shared" si="0"/>
        <v>517881</v>
      </c>
      <c r="D15" s="19">
        <f>'DOE25'!L209+'DOE25'!L227+'DOE25'!L245-F15-G15-H15</f>
        <v>514614</v>
      </c>
      <c r="E15" s="180"/>
      <c r="F15" s="181"/>
      <c r="G15" s="19">
        <f>'DOE25'!J209+'DOE25'!J227+'DOE25'!J245</f>
        <v>2148</v>
      </c>
      <c r="H15" s="19">
        <f>'DOE25'!K209+'DOE25'!K227+'DOE25'!K245</f>
        <v>1119</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580215</v>
      </c>
      <c r="D25" s="180"/>
      <c r="E25" s="180"/>
      <c r="F25" s="191"/>
      <c r="G25" s="180"/>
      <c r="H25" s="180"/>
      <c r="I25" s="190">
        <f>'DOE25'!L261+'DOE25'!L262+'DOE25'!L342+'DOE25'!L343</f>
        <v>580215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90179</v>
      </c>
      <c r="D29" s="212">
        <f>'DOE25'!L359+'DOE25'!L360+'DOE25'!L361-'DOE25'!I368-F29-G29-H29-F39</f>
        <v>88004</v>
      </c>
      <c r="E29" s="180"/>
      <c r="F29" s="180"/>
      <c r="G29" s="19">
        <f>'DOE25'!J359+'DOE25'!J360+'DOE25'!J361</f>
        <v>0</v>
      </c>
      <c r="H29" s="19">
        <f>'DOE25'!K359+'DOE25'!K360+'DOE25'!K361</f>
        <v>2175</v>
      </c>
      <c r="I29" s="192"/>
    </row>
    <row r="30" spans="1:9" x14ac:dyDescent="0.2">
      <c r="A30" s="31"/>
      <c r="C30" s="207"/>
      <c r="D30" s="19"/>
      <c r="F30" s="201"/>
      <c r="G30" s="19"/>
      <c r="H30" s="19"/>
      <c r="I30" s="192"/>
    </row>
    <row r="31" spans="1:9" x14ac:dyDescent="0.2">
      <c r="A31" s="31" t="s">
        <v>817</v>
      </c>
      <c r="B31" t="s">
        <v>816</v>
      </c>
      <c r="C31" s="206">
        <f>SUM(D31:I31)</f>
        <v>799041</v>
      </c>
      <c r="D31" s="19">
        <f>'DOE25'!L291+'DOE25'!L310+'DOE25'!L329+'DOE25'!L334+'DOE25'!L335+'DOE25'!L336-F31-G31-H31</f>
        <v>307836</v>
      </c>
      <c r="E31" s="180"/>
      <c r="F31" s="181"/>
      <c r="G31" s="19">
        <f>'DOE25'!J291+'DOE25'!J310+'DOE25'!J329+'DOE25'!J334+'DOE25'!J335+'DOE25'!J336</f>
        <v>488006</v>
      </c>
      <c r="H31" s="19">
        <f>'DOE25'!K291+'DOE25'!K310+'DOE25'!K329+'DOE25'!K334+'DOE25'!K335+'DOE25'!K336</f>
        <v>3199</v>
      </c>
      <c r="I31" s="192"/>
    </row>
    <row r="32" spans="1:9" ht="12" thickBot="1" x14ac:dyDescent="0.25">
      <c r="C32" s="207"/>
      <c r="G32" s="188"/>
      <c r="H32" s="188"/>
      <c r="I32" s="194"/>
    </row>
    <row r="33" spans="1:9" ht="12" thickTop="1" x14ac:dyDescent="0.2">
      <c r="B33" t="s">
        <v>809</v>
      </c>
      <c r="D33" s="182">
        <f t="shared" ref="D33:I33" si="1">SUM(D5:D31)</f>
        <v>12470357</v>
      </c>
      <c r="E33" s="182">
        <f t="shared" si="1"/>
        <v>199798</v>
      </c>
      <c r="F33" s="182">
        <f t="shared" si="1"/>
        <v>0</v>
      </c>
      <c r="G33" s="182">
        <f t="shared" si="1"/>
        <v>841074</v>
      </c>
      <c r="H33" s="182">
        <f t="shared" si="1"/>
        <v>25482</v>
      </c>
      <c r="I33" s="182">
        <f t="shared" si="1"/>
        <v>580215</v>
      </c>
    </row>
    <row r="34" spans="1:9" ht="12" thickBot="1" x14ac:dyDescent="0.25"/>
    <row r="35" spans="1:9" ht="12" thickBot="1" x14ac:dyDescent="0.25">
      <c r="B35" s="188" t="s">
        <v>830</v>
      </c>
      <c r="D35" s="189">
        <f>E33</f>
        <v>199798</v>
      </c>
      <c r="E35" s="185"/>
      <c r="F35" s="295" t="s">
        <v>1608</v>
      </c>
      <c r="G35" s="296"/>
      <c r="H35" s="296"/>
      <c r="I35" s="297"/>
    </row>
    <row r="36" spans="1:9" ht="12" thickTop="1" x14ac:dyDescent="0.2">
      <c r="B36" t="s">
        <v>810</v>
      </c>
      <c r="D36" s="19">
        <f>D33</f>
        <v>12470357</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13" sqref="D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Sunapee</v>
      </c>
      <c r="B2">
        <f>'DOE25'!B2</f>
        <v>515</v>
      </c>
      <c r="J2" s="224" t="s">
        <v>1808</v>
      </c>
      <c r="K2" s="309">
        <f>SUM('DOE25'!L198:L201)+SUM('DOE25'!L216:L219)+SUM('DOE25'!L234:L237)+SUM('DOE25'!L277:L280)+SUM('DOE25'!L296:L299)+SUM('DOE25'!L315:L318)</f>
        <v>7289107</v>
      </c>
      <c r="L2" s="309">
        <f>'DOE25'!L203+'DOE25'!L221+'DOE25'!L239+'DOE25'!L282+'DOE25'!L301+'DOE25'!L320</f>
        <v>1233092</v>
      </c>
      <c r="M2" s="309">
        <f>'DOE25'!L204+'DOE25'!L222+'DOE25'!L240+'DOE25'!L283+'DOE25'!L302+'DOE25'!L321</f>
        <v>1230737</v>
      </c>
      <c r="N2" s="309">
        <f>'DOE25'!L206+'DOE25'!L224+'DOE25'!L242+'DOE25'!L285+'DOE25'!L304+'DOE25'!L323</f>
        <v>613899</v>
      </c>
      <c r="O2" s="309">
        <f>'Salaries-Benefits'!B10+'Salaries-Benefits'!B12+'Salaries-Benefits'!B19+'Salaries-Benefits'!B21+'Salaries-Benefits'!B28+'Salaries-Benefits'!B30+'Salaries-Benefits'!B37+'Salaries-Benefits'!B39</f>
        <v>3875302</v>
      </c>
      <c r="P2" s="309">
        <f>'Salaries-Benefits'!B11+'Salaries-Benefits'!B20+'Salaries-Benefits'!B29+'Salaries-Benefits'!B38</f>
        <v>377287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5125836</v>
      </c>
      <c r="G4" s="229">
        <f>'DOE25'!L212+'DOE25'!L291</f>
        <v>5125836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Sunapee Central School</v>
      </c>
      <c r="B6" s="230">
        <f>IFERROR(VLOOKUP(A6,'School Tables'!$C$3:$D$365,2,FALSE),"")</f>
        <v>22005</v>
      </c>
      <c r="C6" s="223" t="str">
        <f>IFERROR(INDEX('School Tables'!$B$3:$B$365,MATCH('School Level Expenditures'!B6,'School Tables'!$D$3:$D$365,0)),"")</f>
        <v>Sunapee</v>
      </c>
      <c r="D6" s="220">
        <v>4524611</v>
      </c>
      <c r="E6" s="220">
        <v>601225</v>
      </c>
      <c r="F6" s="232">
        <f t="shared" ref="F6:F20" si="1">D6+E6</f>
        <v>5125836</v>
      </c>
      <c r="G6" s="223"/>
      <c r="H6" s="223"/>
      <c r="J6" t="str">
        <f>A6</f>
        <v>Sunapee Central School</v>
      </c>
      <c r="K6" s="20">
        <v>2779068</v>
      </c>
      <c r="L6" s="20">
        <v>360234</v>
      </c>
      <c r="M6" s="308">
        <f>434700+17954</f>
        <v>452654</v>
      </c>
      <c r="N6" s="20">
        <v>218020</v>
      </c>
      <c r="O6" s="20">
        <v>1548726</v>
      </c>
      <c r="P6" s="20">
        <v>232059</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4524611</v>
      </c>
      <c r="E21" s="262">
        <f>SUM(E5:E20)</f>
        <v>601225</v>
      </c>
      <c r="F21" s="217"/>
      <c r="G21" s="217"/>
      <c r="H21" s="217"/>
      <c r="K21" s="263">
        <f t="shared" ref="K21:Q21" si="3">SUM(K5:K20)</f>
        <v>2779068</v>
      </c>
      <c r="L21" s="263">
        <f t="shared" si="3"/>
        <v>360234</v>
      </c>
      <c r="M21" s="263">
        <f t="shared" si="3"/>
        <v>452654</v>
      </c>
      <c r="N21" s="263">
        <f t="shared" si="3"/>
        <v>218020</v>
      </c>
      <c r="O21" s="263">
        <f t="shared" si="3"/>
        <v>1548726</v>
      </c>
      <c r="P21" s="263">
        <f t="shared" si="3"/>
        <v>232059</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3819714</v>
      </c>
      <c r="G24" s="229">
        <f>'DOE25'!L230+'DOE25'!L310</f>
        <v>3819714</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xml:space="preserve">Sunapee Middle High School </v>
      </c>
      <c r="B26" s="230">
        <f>IFERROR(VLOOKUP(A26,'School Tables'!$N$4:$O$75,2,FALSE),"")</f>
        <v>26965</v>
      </c>
      <c r="C26" s="223" t="str">
        <f>IFERROR(INDEX('School Tables'!$M$4:$M$75,MATCH('School Level Expenditures'!A26,'School Tables'!$N$4:$N$75,0)),"")</f>
        <v>Sunapee</v>
      </c>
      <c r="D26" s="220">
        <v>3720806</v>
      </c>
      <c r="E26" s="220">
        <v>98908</v>
      </c>
      <c r="F26" s="232">
        <f t="shared" ref="F26:F32" si="4">D26+E26</f>
        <v>3819714</v>
      </c>
      <c r="G26" s="223"/>
      <c r="H26" s="223"/>
      <c r="J26" t="str">
        <f t="shared" ref="J26:J32" si="5">A26</f>
        <v xml:space="preserve">Sunapee Middle High School </v>
      </c>
      <c r="K26" s="20">
        <v>2004392</v>
      </c>
      <c r="L26" s="20">
        <v>403382</v>
      </c>
      <c r="M26" s="308">
        <f>351699+17953</f>
        <v>369652</v>
      </c>
      <c r="N26" s="20">
        <v>173319</v>
      </c>
      <c r="O26" s="20">
        <v>922009</v>
      </c>
      <c r="P26" s="20">
        <v>58091</v>
      </c>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3720806</v>
      </c>
      <c r="E33" s="262">
        <f>SUM(E25:E32)</f>
        <v>98908</v>
      </c>
      <c r="F33" s="217"/>
      <c r="G33" s="217"/>
      <c r="H33" s="217"/>
      <c r="K33" s="263">
        <f t="shared" ref="K33:Q33" si="6">SUM(K25:K32)</f>
        <v>2004392</v>
      </c>
      <c r="L33" s="263">
        <f t="shared" si="6"/>
        <v>403382</v>
      </c>
      <c r="M33" s="263">
        <f t="shared" si="6"/>
        <v>369652</v>
      </c>
      <c r="N33" s="263">
        <f t="shared" si="6"/>
        <v>173319</v>
      </c>
      <c r="O33" s="263">
        <f t="shared" si="6"/>
        <v>922009</v>
      </c>
      <c r="P33" s="263">
        <f t="shared" si="6"/>
        <v>58091</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4500982</v>
      </c>
      <c r="G36" s="229">
        <f>'DOE25'!L248+'DOE25'!L329</f>
        <v>4500982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Sunapee Sr. High School</v>
      </c>
      <c r="B38" s="230">
        <f>IFERROR(VLOOKUP(A38,'School Tables'!$Y$4:$Z$100,2,FALSE),"")</f>
        <v>22000</v>
      </c>
      <c r="C38" s="223" t="str">
        <f>IFERROR(INDEX('School Tables'!$X$4:$X$100,MATCH('School Level Expenditures'!A38,'School Tables'!$Y$4:$Y$100,0)),"")</f>
        <v>Sunapee</v>
      </c>
      <c r="D38" s="220">
        <v>4402074</v>
      </c>
      <c r="E38" s="220">
        <v>98908</v>
      </c>
      <c r="F38" s="232">
        <f t="shared" si="7"/>
        <v>4500982</v>
      </c>
      <c r="G38" s="223"/>
      <c r="H38" s="223"/>
      <c r="J38" t="str">
        <f t="shared" ref="J38:J42" si="8">A38</f>
        <v>Sunapee Sr. High School</v>
      </c>
      <c r="K38" s="20">
        <v>2505647</v>
      </c>
      <c r="L38" s="20">
        <v>469476</v>
      </c>
      <c r="M38" s="308">
        <f>390478+17953</f>
        <v>408431</v>
      </c>
      <c r="N38" s="20">
        <v>222560</v>
      </c>
      <c r="O38" s="20">
        <v>1404567</v>
      </c>
      <c r="P38" s="20">
        <v>87137</v>
      </c>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4402074</v>
      </c>
      <c r="E43" s="263">
        <f>SUM(E37:E42)</f>
        <v>98908</v>
      </c>
      <c r="K43" s="263">
        <f t="shared" ref="K43:Q43" si="9">SUM(K37:K42)</f>
        <v>2505647</v>
      </c>
      <c r="L43" s="263">
        <f t="shared" si="9"/>
        <v>469476</v>
      </c>
      <c r="M43" s="263">
        <f t="shared" si="9"/>
        <v>408431</v>
      </c>
      <c r="N43" s="263">
        <f t="shared" si="9"/>
        <v>222560</v>
      </c>
      <c r="O43" s="263">
        <f t="shared" si="9"/>
        <v>1404567</v>
      </c>
      <c r="P43" s="263">
        <f t="shared" si="9"/>
        <v>87137</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Sunapee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1569805</v>
      </c>
      <c r="D8" s="73">
        <f>'DOE25'!G9</f>
        <v>0</v>
      </c>
      <c r="E8" s="73">
        <f>'DOE25'!H9</f>
        <v>0</v>
      </c>
      <c r="F8" s="73">
        <f>'DOE25'!I9</f>
        <v>374733</v>
      </c>
      <c r="G8" s="73">
        <f>'DOE25'!J9</f>
        <v>0</v>
      </c>
      <c r="H8" s="13">
        <f>SUM(C8:G8)</f>
        <v>1944538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133688</v>
      </c>
      <c r="D11" s="73">
        <f>'DOE25'!G12</f>
        <v>11625</v>
      </c>
      <c r="E11" s="73">
        <f>'DOE25'!H12</f>
        <v>0</v>
      </c>
      <c r="F11" s="73">
        <f>'DOE25'!I12</f>
        <v>0</v>
      </c>
      <c r="G11" s="73">
        <f>'DOE25'!J12</f>
        <v>0</v>
      </c>
      <c r="H11" s="13">
        <f t="shared" si="0"/>
        <v>145313</v>
      </c>
      <c r="I11" s="90"/>
    </row>
    <row r="12" spans="1:9" x14ac:dyDescent="0.2">
      <c r="A12" s="1" t="s">
        <v>143</v>
      </c>
      <c r="B12" s="6">
        <v>140</v>
      </c>
      <c r="C12" s="73">
        <f>'DOE25'!F13</f>
        <v>0</v>
      </c>
      <c r="D12" s="73">
        <f>'DOE25'!G13</f>
        <v>8877</v>
      </c>
      <c r="E12" s="73">
        <f>'DOE25'!H13</f>
        <v>154659</v>
      </c>
      <c r="F12" s="73">
        <f>'DOE25'!I13</f>
        <v>0</v>
      </c>
      <c r="G12" s="73">
        <f>'DOE25'!J13</f>
        <v>1111154</v>
      </c>
      <c r="H12" s="13">
        <f t="shared" si="0"/>
        <v>1274690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1703493</v>
      </c>
      <c r="D18" s="38">
        <f>SUM(D8:D17)</f>
        <v>20502</v>
      </c>
      <c r="E18" s="38">
        <f>SUM(E8:E17)</f>
        <v>154659</v>
      </c>
      <c r="F18" s="38">
        <f>SUM(F8:F17)</f>
        <v>374733</v>
      </c>
      <c r="G18" s="38">
        <f>SUM(G8:G17)</f>
        <v>1111154</v>
      </c>
      <c r="H18" s="38">
        <f t="shared" si="0"/>
        <v>3364541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145313</v>
      </c>
      <c r="F21" s="73">
        <f>'DOE25'!I22</f>
        <v>0</v>
      </c>
      <c r="G21" s="73">
        <f>'DOE25'!J22</f>
        <v>0</v>
      </c>
      <c r="H21" s="13">
        <f t="shared" ref="H21:H31" si="1">SUM(C21:G21)</f>
        <v>145313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21158</v>
      </c>
      <c r="D23" s="73">
        <f>'DOE25'!G24</f>
        <v>0</v>
      </c>
      <c r="E23" s="73">
        <f>'DOE25'!H24</f>
        <v>5694</v>
      </c>
      <c r="F23" s="73">
        <f>'DOE25'!I24</f>
        <v>0</v>
      </c>
      <c r="G23" s="73">
        <f>'DOE25'!J24</f>
        <v>0</v>
      </c>
      <c r="H23" s="13">
        <f t="shared" si="1"/>
        <v>26852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8089</v>
      </c>
      <c r="D29" s="73">
        <f>'DOE25'!G30</f>
        <v>0</v>
      </c>
      <c r="E29" s="73">
        <f>'DOE25'!H30</f>
        <v>3652</v>
      </c>
      <c r="F29" s="73">
        <f>'DOE25'!I30</f>
        <v>0</v>
      </c>
      <c r="G29" s="23" t="s">
        <v>288</v>
      </c>
      <c r="H29" s="13">
        <f t="shared" si="1"/>
        <v>11741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29247</v>
      </c>
      <c r="D31" s="38">
        <f>SUM(D21:D30)</f>
        <v>0</v>
      </c>
      <c r="E31" s="38">
        <f>SUM(E21:E30)</f>
        <v>154659</v>
      </c>
      <c r="F31" s="38">
        <f>SUM(F21:F30)</f>
        <v>0</v>
      </c>
      <c r="G31" s="38">
        <f>SUM(G21:G30)</f>
        <v>0</v>
      </c>
      <c r="H31" s="38">
        <f t="shared" si="1"/>
        <v>183906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20502</v>
      </c>
      <c r="E39" s="23" t="s">
        <v>288</v>
      </c>
      <c r="F39" s="23" t="s">
        <v>288</v>
      </c>
      <c r="G39" s="23" t="s">
        <v>288</v>
      </c>
      <c r="H39" s="13">
        <f t="shared" si="2"/>
        <v>20502</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374733</v>
      </c>
      <c r="G42" s="73">
        <f>'DOE25'!J43</f>
        <v>0</v>
      </c>
      <c r="H42" s="13">
        <f t="shared" si="2"/>
        <v>374733</v>
      </c>
      <c r="I42" s="90"/>
    </row>
    <row r="43" spans="1:9" x14ac:dyDescent="0.2">
      <c r="A43" s="1" t="s">
        <v>862</v>
      </c>
      <c r="B43" s="6">
        <v>755</v>
      </c>
      <c r="C43" s="73">
        <f>'DOE25'!F44</f>
        <v>150000</v>
      </c>
      <c r="D43" s="73">
        <f>'DOE25'!G44</f>
        <v>0</v>
      </c>
      <c r="E43" s="73">
        <f>'DOE25'!H44</f>
        <v>0</v>
      </c>
      <c r="F43" s="73">
        <f>'DOE25'!I44</f>
        <v>0</v>
      </c>
      <c r="G43" s="23" t="s">
        <v>288</v>
      </c>
      <c r="H43" s="13">
        <f t="shared" si="2"/>
        <v>150000</v>
      </c>
      <c r="I43" s="90"/>
    </row>
    <row r="44" spans="1:9" x14ac:dyDescent="0.2">
      <c r="A44" s="1" t="s">
        <v>863</v>
      </c>
      <c r="B44" s="6">
        <v>753</v>
      </c>
      <c r="C44" s="73">
        <f>'DOE25'!F45</f>
        <v>270000</v>
      </c>
      <c r="D44" s="73">
        <f>'DOE25'!G45</f>
        <v>0</v>
      </c>
      <c r="E44" s="73">
        <f>'DOE25'!H45</f>
        <v>0</v>
      </c>
      <c r="F44" s="73">
        <f>'DOE25'!I45</f>
        <v>0</v>
      </c>
      <c r="G44" s="73">
        <f>'DOE25'!J45</f>
        <v>0</v>
      </c>
      <c r="H44" s="13">
        <f t="shared" si="2"/>
        <v>270000</v>
      </c>
      <c r="I44" s="90"/>
    </row>
    <row r="45" spans="1:9" x14ac:dyDescent="0.2">
      <c r="A45" s="1" t="s">
        <v>879</v>
      </c>
      <c r="B45" s="6"/>
      <c r="C45" s="73">
        <f>'DOE25'!F46</f>
        <v>350000</v>
      </c>
      <c r="D45" s="23" t="s">
        <v>288</v>
      </c>
      <c r="E45" s="23" t="s">
        <v>288</v>
      </c>
      <c r="F45" s="23" t="s">
        <v>288</v>
      </c>
      <c r="G45" s="23" t="s">
        <v>288</v>
      </c>
      <c r="H45" s="13">
        <f t="shared" si="2"/>
        <v>350000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1111154</v>
      </c>
      <c r="H47" s="13">
        <f t="shared" si="2"/>
        <v>1111154</v>
      </c>
      <c r="I47" s="90"/>
    </row>
    <row r="48" spans="1:9" x14ac:dyDescent="0.2">
      <c r="A48" s="1" t="s">
        <v>881</v>
      </c>
      <c r="B48" s="6">
        <v>753</v>
      </c>
      <c r="C48" s="73">
        <f>'DOE25'!F49</f>
        <v>440203</v>
      </c>
      <c r="D48" s="73">
        <f>'DOE25'!G49</f>
        <v>0</v>
      </c>
      <c r="E48" s="73">
        <f>'DOE25'!H49</f>
        <v>0</v>
      </c>
      <c r="F48" s="73">
        <f>'DOE25'!I49</f>
        <v>0</v>
      </c>
      <c r="G48" s="73">
        <f>'DOE25'!J49</f>
        <v>0</v>
      </c>
      <c r="H48" s="13">
        <f t="shared" si="2"/>
        <v>440203</v>
      </c>
      <c r="I48" s="90"/>
    </row>
    <row r="49" spans="1:9" ht="12" thickBot="1" x14ac:dyDescent="0.25">
      <c r="A49" s="28" t="s">
        <v>882</v>
      </c>
      <c r="B49" s="56">
        <v>770</v>
      </c>
      <c r="C49" s="73">
        <f>'DOE25'!F50</f>
        <v>464043</v>
      </c>
      <c r="D49" s="23" t="s">
        <v>288</v>
      </c>
      <c r="E49" s="23" t="s">
        <v>288</v>
      </c>
      <c r="F49" s="23" t="s">
        <v>288</v>
      </c>
      <c r="G49" s="23" t="s">
        <v>288</v>
      </c>
      <c r="H49" s="13">
        <f t="shared" si="2"/>
        <v>464043</v>
      </c>
      <c r="I49" s="90"/>
    </row>
    <row r="50" spans="1:9" ht="12.75" thickTop="1" thickBot="1" x14ac:dyDescent="0.25">
      <c r="A50" s="35" t="s">
        <v>883</v>
      </c>
      <c r="B50" s="44"/>
      <c r="C50" s="38">
        <f>SUM(C34:C49)</f>
        <v>1674246</v>
      </c>
      <c r="D50" s="38">
        <f>SUM(D34:D49)</f>
        <v>20502</v>
      </c>
      <c r="E50" s="38">
        <f>SUM(E34:E49)</f>
        <v>0</v>
      </c>
      <c r="F50" s="38">
        <f>SUM(F34:F49)</f>
        <v>374733</v>
      </c>
      <c r="G50" s="38">
        <f>SUM(G34:G49)</f>
        <v>1111154</v>
      </c>
      <c r="H50" s="38">
        <f t="shared" si="2"/>
        <v>3180635</v>
      </c>
      <c r="I50" s="90"/>
    </row>
    <row r="51" spans="1:9" ht="12" thickTop="1" x14ac:dyDescent="0.2">
      <c r="A51" s="35" t="s">
        <v>884</v>
      </c>
      <c r="B51" s="2"/>
      <c r="C51" s="38">
        <f>C50+C31</f>
        <v>1703493</v>
      </c>
      <c r="D51" s="38">
        <f>D50+D31</f>
        <v>20502</v>
      </c>
      <c r="E51" s="38">
        <f>E50+E31</f>
        <v>154659</v>
      </c>
      <c r="F51" s="38">
        <f>F50+F31</f>
        <v>374733</v>
      </c>
      <c r="G51" s="38">
        <f>G50+G31</f>
        <v>1111154</v>
      </c>
      <c r="H51" s="38">
        <f t="shared" si="2"/>
        <v>3364541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9646153</v>
      </c>
      <c r="D56" s="73">
        <f>'DOE25'!G60</f>
        <v>0</v>
      </c>
      <c r="E56" s="73">
        <f>'DOE25'!H60</f>
        <v>0</v>
      </c>
      <c r="F56" s="73">
        <f>'DOE25'!I60</f>
        <v>0</v>
      </c>
      <c r="G56" s="73">
        <f>'DOE25'!J60</f>
        <v>0</v>
      </c>
      <c r="H56" s="13">
        <f t="shared" ref="H56:H63" si="3">SUM(C56:G56)</f>
        <v>9646153</v>
      </c>
      <c r="I56"/>
    </row>
    <row r="57" spans="1:9" x14ac:dyDescent="0.2">
      <c r="A57" s="1" t="s">
        <v>164</v>
      </c>
      <c r="B57" s="6" t="s">
        <v>165</v>
      </c>
      <c r="C57" s="73">
        <f>'DOE25'!F79</f>
        <v>706588</v>
      </c>
      <c r="D57" s="23" t="s">
        <v>288</v>
      </c>
      <c r="E57" s="73">
        <f>'DOE25'!H79</f>
        <v>0</v>
      </c>
      <c r="F57" s="23" t="s">
        <v>288</v>
      </c>
      <c r="G57" s="23" t="s">
        <v>288</v>
      </c>
      <c r="H57" s="13">
        <f t="shared" si="3"/>
        <v>706588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3788</v>
      </c>
      <c r="D59" s="73">
        <f>'DOE25'!G96</f>
        <v>0</v>
      </c>
      <c r="E59" s="73">
        <f>'DOE25'!H96</f>
        <v>0</v>
      </c>
      <c r="F59" s="73">
        <f>'DOE25'!I96</f>
        <v>0</v>
      </c>
      <c r="G59" s="73">
        <f>'DOE25'!J96</f>
        <v>31811</v>
      </c>
      <c r="H59" s="13">
        <f t="shared" si="3"/>
        <v>35599</v>
      </c>
      <c r="I59"/>
    </row>
    <row r="60" spans="1:9" x14ac:dyDescent="0.2">
      <c r="A60" s="1" t="s">
        <v>170</v>
      </c>
      <c r="B60" s="22" t="s">
        <v>171</v>
      </c>
      <c r="C60" s="23" t="s">
        <v>288</v>
      </c>
      <c r="D60" s="73">
        <f>'DOE25'!G97</f>
        <v>92437</v>
      </c>
      <c r="E60" s="23" t="s">
        <v>288</v>
      </c>
      <c r="F60" s="23" t="s">
        <v>288</v>
      </c>
      <c r="G60" s="23" t="s">
        <v>288</v>
      </c>
      <c r="H60" s="13">
        <f t="shared" si="3"/>
        <v>92437</v>
      </c>
      <c r="I60"/>
    </row>
    <row r="61" spans="1:9" ht="12" thickBot="1" x14ac:dyDescent="0.25">
      <c r="A61" s="1" t="s">
        <v>172</v>
      </c>
      <c r="B61" s="22" t="s">
        <v>173</v>
      </c>
      <c r="C61" s="73">
        <f>SUM('DOE25'!F98:F110)</f>
        <v>0</v>
      </c>
      <c r="D61" s="73">
        <f>SUM('DOE25'!G98:G110)</f>
        <v>0</v>
      </c>
      <c r="E61" s="73">
        <f>SUM('DOE25'!H98:H110)</f>
        <v>11348</v>
      </c>
      <c r="F61" s="73">
        <f>SUM('DOE25'!I98:I110)</f>
        <v>0</v>
      </c>
      <c r="G61" s="73">
        <f>SUM('DOE25'!J98:J110)</f>
        <v>28588</v>
      </c>
      <c r="H61" s="13">
        <f t="shared" si="3"/>
        <v>39936</v>
      </c>
      <c r="I61"/>
    </row>
    <row r="62" spans="1:9" ht="12.75" thickTop="1" thickBot="1" x14ac:dyDescent="0.25">
      <c r="A62" s="28" t="s">
        <v>174</v>
      </c>
      <c r="B62" s="6"/>
      <c r="C62" s="93">
        <f>SUM(C57:C61)</f>
        <v>710376</v>
      </c>
      <c r="D62" s="93">
        <f>SUM(D57:D61)</f>
        <v>92437</v>
      </c>
      <c r="E62" s="93">
        <f>SUM(E57:E61)</f>
        <v>11348</v>
      </c>
      <c r="F62" s="93">
        <f>SUM(F57:F61)</f>
        <v>0</v>
      </c>
      <c r="G62" s="93">
        <f>SUM(G57:G61)</f>
        <v>60399</v>
      </c>
      <c r="H62" s="13">
        <f t="shared" si="3"/>
        <v>874560</v>
      </c>
      <c r="I62"/>
    </row>
    <row r="63" spans="1:9" ht="12" thickTop="1" x14ac:dyDescent="0.2">
      <c r="A63" s="28" t="s">
        <v>175</v>
      </c>
      <c r="B63" s="6"/>
      <c r="C63" s="21">
        <f>C56+C62</f>
        <v>10356529</v>
      </c>
      <c r="D63" s="21">
        <f>D56+D62</f>
        <v>92437</v>
      </c>
      <c r="E63" s="21">
        <f>E56+E62</f>
        <v>11348</v>
      </c>
      <c r="F63" s="21">
        <f>F56+F62</f>
        <v>0</v>
      </c>
      <c r="G63" s="21">
        <f>G56+G62</f>
        <v>60399</v>
      </c>
      <c r="H63" s="13">
        <f t="shared" si="3"/>
        <v>10520713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692610</v>
      </c>
      <c r="D66" s="23" t="s">
        <v>288</v>
      </c>
      <c r="E66" s="23" t="s">
        <v>288</v>
      </c>
      <c r="F66" s="23" t="s">
        <v>288</v>
      </c>
      <c r="G66" s="23" t="s">
        <v>288</v>
      </c>
      <c r="H66" s="13">
        <f t="shared" ref="H66:H81" si="4">SUM(C66:G66)</f>
        <v>692610</v>
      </c>
      <c r="I66"/>
    </row>
    <row r="67" spans="1:9" x14ac:dyDescent="0.2">
      <c r="A67" s="1" t="s">
        <v>770</v>
      </c>
      <c r="B67" s="6">
        <v>3112</v>
      </c>
      <c r="C67" s="73">
        <f>'DOE25'!F118</f>
        <v>1812575</v>
      </c>
      <c r="D67" s="23"/>
      <c r="E67" s="23"/>
      <c r="F67" s="23"/>
      <c r="G67" s="23"/>
      <c r="H67" s="13">
        <f t="shared" si="4"/>
        <v>1812575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2505185</v>
      </c>
      <c r="D70" s="97">
        <f>D69</f>
        <v>0</v>
      </c>
      <c r="E70" s="97">
        <f>E69</f>
        <v>0</v>
      </c>
      <c r="F70" s="97">
        <f>F69</f>
        <v>0</v>
      </c>
      <c r="G70" s="97">
        <f>G69</f>
        <v>0</v>
      </c>
      <c r="H70" s="13">
        <f t="shared" si="4"/>
        <v>2505185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305852</v>
      </c>
      <c r="D75" s="23" t="s">
        <v>288</v>
      </c>
      <c r="E75" s="23" t="s">
        <v>288</v>
      </c>
      <c r="F75" s="23" t="s">
        <v>288</v>
      </c>
      <c r="G75" s="23" t="s">
        <v>288</v>
      </c>
      <c r="H75" s="13">
        <f t="shared" si="4"/>
        <v>305852</v>
      </c>
      <c r="I75"/>
    </row>
    <row r="76" spans="1:9" x14ac:dyDescent="0.2">
      <c r="A76" s="1" t="s">
        <v>257</v>
      </c>
      <c r="B76" s="6" t="s">
        <v>179</v>
      </c>
      <c r="C76" s="73">
        <f>SUM('DOE25'!F127:F130)</f>
        <v>1144</v>
      </c>
      <c r="D76" s="23" t="s">
        <v>288</v>
      </c>
      <c r="E76" s="73">
        <f>SUM('DOE25'!H127:H130)</f>
        <v>0</v>
      </c>
      <c r="F76" s="73">
        <f>SUM('DOE25'!I127:I130)</f>
        <v>0</v>
      </c>
      <c r="G76" s="23" t="s">
        <v>288</v>
      </c>
      <c r="H76" s="13">
        <f t="shared" si="4"/>
        <v>1144</v>
      </c>
      <c r="I76"/>
    </row>
    <row r="77" spans="1:9" ht="12" thickBot="1" x14ac:dyDescent="0.25">
      <c r="A77" s="1" t="s">
        <v>258</v>
      </c>
      <c r="B77" s="6" t="s">
        <v>180</v>
      </c>
      <c r="C77" s="73">
        <f>SUM('DOE25'!F131:F135)</f>
        <v>0</v>
      </c>
      <c r="D77" s="73">
        <f>SUM('DOE25'!G131:G135)</f>
        <v>188</v>
      </c>
      <c r="E77" s="73">
        <f>SUM('DOE25'!H131:H135)</f>
        <v>0</v>
      </c>
      <c r="F77" s="73">
        <f>SUM('DOE25'!I131:I135)</f>
        <v>0</v>
      </c>
      <c r="G77" s="73">
        <f>SUM('DOE25'!J131:J135)</f>
        <v>0</v>
      </c>
      <c r="H77" s="13">
        <f t="shared" si="4"/>
        <v>188</v>
      </c>
      <c r="I77"/>
    </row>
    <row r="78" spans="1:9" ht="12.75" thickTop="1" thickBot="1" x14ac:dyDescent="0.25">
      <c r="A78" s="28" t="s">
        <v>259</v>
      </c>
      <c r="B78" s="6"/>
      <c r="C78" s="93">
        <f>SUM(C72:C77)</f>
        <v>306996</v>
      </c>
      <c r="D78" s="93">
        <f>SUM(D72:D77)</f>
        <v>188</v>
      </c>
      <c r="E78" s="93">
        <f>SUM(E72:E77)</f>
        <v>0</v>
      </c>
      <c r="F78" s="93">
        <f>SUM(F72:F77)</f>
        <v>0</v>
      </c>
      <c r="G78" s="93">
        <f>SUM(G72:G77)</f>
        <v>0</v>
      </c>
      <c r="H78" s="13">
        <f t="shared" si="4"/>
        <v>307184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2812181</v>
      </c>
      <c r="D81" s="93">
        <f>SUM(D79:D80)+D78+D70</f>
        <v>188</v>
      </c>
      <c r="E81" s="93">
        <f>SUM(E79:E80)+E78+E70</f>
        <v>0</v>
      </c>
      <c r="F81" s="93">
        <f>SUM(F79:F80)+F78+F70</f>
        <v>0</v>
      </c>
      <c r="G81" s="93">
        <f>SUM(G79:G80)+G78+G70</f>
        <v>0</v>
      </c>
      <c r="H81" s="93">
        <f t="shared" si="4"/>
        <v>2812369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338825</v>
      </c>
      <c r="D88" s="253">
        <f>SUM('DOE25'!G153:G162)</f>
        <v>60494</v>
      </c>
      <c r="E88" s="253">
        <f>SUM('DOE25'!H153:H162)</f>
        <v>787693</v>
      </c>
      <c r="F88" s="253">
        <f>SUM('DOE25'!I153:I162)</f>
        <v>0</v>
      </c>
      <c r="G88" s="23" t="s">
        <v>288</v>
      </c>
      <c r="H88" s="13">
        <f t="shared" si="5"/>
        <v>1187012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338825</v>
      </c>
      <c r="D91" s="94">
        <f>SUM(D85:D90)</f>
        <v>60494</v>
      </c>
      <c r="E91" s="94">
        <f>SUM(E85:E90)</f>
        <v>787693</v>
      </c>
      <c r="F91" s="94">
        <f>SUM(F85:F90)</f>
        <v>0</v>
      </c>
      <c r="G91" s="23" t="s">
        <v>288</v>
      </c>
      <c r="H91" s="13">
        <f t="shared" si="5"/>
        <v>1187012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100000</v>
      </c>
      <c r="H96" s="13">
        <f t="shared" si="5"/>
        <v>100000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4899714</v>
      </c>
      <c r="G102" s="23" t="s">
        <v>288</v>
      </c>
      <c r="H102" s="13">
        <f t="shared" si="5"/>
        <v>4899714</v>
      </c>
    </row>
    <row r="103" spans="1:8" ht="12.75" thickTop="1" thickBot="1" x14ac:dyDescent="0.25">
      <c r="A103" s="32" t="s">
        <v>760</v>
      </c>
      <c r="C103" s="68">
        <f>SUM(C93:C102)</f>
        <v>0</v>
      </c>
      <c r="D103" s="68">
        <f>SUM(D93:D102)</f>
        <v>0</v>
      </c>
      <c r="E103" s="68">
        <f>SUM(E93:E102)</f>
        <v>0</v>
      </c>
      <c r="F103" s="68">
        <f>SUM(F93:F102)</f>
        <v>4899714</v>
      </c>
      <c r="G103" s="68">
        <f>SUM(G93:G102)</f>
        <v>100000</v>
      </c>
      <c r="H103" s="68">
        <f t="shared" si="5"/>
        <v>4999714</v>
      </c>
    </row>
    <row r="104" spans="1:8" ht="12.75" thickTop="1" thickBot="1" x14ac:dyDescent="0.25">
      <c r="A104" s="32" t="s">
        <v>761</v>
      </c>
      <c r="C104" s="68">
        <f>C63+C81+C91+C103</f>
        <v>13507535</v>
      </c>
      <c r="D104" s="68">
        <f>D63+D81+D91+D103</f>
        <v>153119</v>
      </c>
      <c r="E104" s="68">
        <f>E63+E81+E91+E103</f>
        <v>799041</v>
      </c>
      <c r="F104" s="68">
        <f>F63+F81+F91+F103</f>
        <v>4899714</v>
      </c>
      <c r="G104" s="68">
        <f>G63+G81+G103</f>
        <v>160399</v>
      </c>
      <c r="H104" s="68">
        <f t="shared" si="5"/>
        <v>19519808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4690217</v>
      </c>
      <c r="D109" s="23" t="s">
        <v>288</v>
      </c>
      <c r="E109" s="73">
        <f>('DOE25'!L277)+('DOE25'!L296)+('DOE25'!L315)</f>
        <v>88258</v>
      </c>
      <c r="F109" s="23" t="s">
        <v>288</v>
      </c>
      <c r="G109" s="23" t="s">
        <v>288</v>
      </c>
      <c r="H109" s="13">
        <f t="shared" ref="H109:H115" si="6">SUM(C109:G109)</f>
        <v>4778475</v>
      </c>
    </row>
    <row r="110" spans="1:8" x14ac:dyDescent="0.2">
      <c r="A110" t="s">
        <v>198</v>
      </c>
      <c r="B110" s="31" t="s">
        <v>199</v>
      </c>
      <c r="C110" s="73">
        <f>('DOE25'!L199)+('DOE25'!L217)+('DOE25'!L235)</f>
        <v>2005668</v>
      </c>
      <c r="D110" s="23" t="s">
        <v>288</v>
      </c>
      <c r="E110" s="73">
        <f>('DOE25'!L278)+('DOE25'!L297)+('DOE25'!L316)</f>
        <v>168689</v>
      </c>
      <c r="F110" s="23" t="s">
        <v>288</v>
      </c>
      <c r="G110" s="23" t="s">
        <v>288</v>
      </c>
      <c r="H110" s="13">
        <f t="shared" si="6"/>
        <v>2174357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333329</v>
      </c>
      <c r="D112" s="23" t="s">
        <v>288</v>
      </c>
      <c r="E112" s="73">
        <f>+('DOE25'!L280)+('DOE25'!L299)+('DOE25'!L318)</f>
        <v>2946</v>
      </c>
      <c r="F112" s="23" t="s">
        <v>288</v>
      </c>
      <c r="G112" s="23" t="s">
        <v>288</v>
      </c>
      <c r="H112" s="13">
        <f t="shared" si="6"/>
        <v>336275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7029214</v>
      </c>
      <c r="D115" s="68">
        <f>SUM(D109:D114)</f>
        <v>0</v>
      </c>
      <c r="E115" s="68">
        <f>SUM(E109:E114)</f>
        <v>259893</v>
      </c>
      <c r="F115" s="68">
        <f>SUM(F109:F114)</f>
        <v>0</v>
      </c>
      <c r="G115" s="68">
        <f>SUM(G109:G114)</f>
        <v>0</v>
      </c>
      <c r="H115" s="68">
        <f t="shared" si="6"/>
        <v>7289107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1233092</v>
      </c>
      <c r="D118" s="23" t="s">
        <v>288</v>
      </c>
      <c r="E118" s="73">
        <f>+('DOE25'!L282)+('DOE25'!L301)+('DOE25'!L320)</f>
        <v>0</v>
      </c>
      <c r="F118" s="23" t="s">
        <v>288</v>
      </c>
      <c r="G118" s="23" t="s">
        <v>288</v>
      </c>
      <c r="H118" s="13">
        <f t="shared" ref="H118:H145" si="7">SUM(C118:G118)</f>
        <v>1233092</v>
      </c>
    </row>
    <row r="119" spans="1:8" x14ac:dyDescent="0.2">
      <c r="A119" t="s">
        <v>208</v>
      </c>
      <c r="B119" s="31" t="s">
        <v>209</v>
      </c>
      <c r="C119" s="73">
        <f>('DOE25'!L204)+('DOE25'!L222)+('DOE25'!L240)</f>
        <v>1176877</v>
      </c>
      <c r="D119" s="23" t="s">
        <v>288</v>
      </c>
      <c r="E119" s="73">
        <f>+('DOE25'!L283)+('DOE25'!L302)+('DOE25'!L321)</f>
        <v>53860</v>
      </c>
      <c r="F119" s="23" t="s">
        <v>288</v>
      </c>
      <c r="G119" s="23" t="s">
        <v>288</v>
      </c>
      <c r="H119" s="13">
        <f t="shared" si="7"/>
        <v>1230737</v>
      </c>
    </row>
    <row r="120" spans="1:8" x14ac:dyDescent="0.2">
      <c r="A120" t="s">
        <v>210</v>
      </c>
      <c r="B120" s="31" t="s">
        <v>211</v>
      </c>
      <c r="C120" s="73">
        <f>('DOE25'!L205)+('DOE25'!L223)+('DOE25'!L241)</f>
        <v>696263</v>
      </c>
      <c r="D120" s="23" t="s">
        <v>288</v>
      </c>
      <c r="E120" s="73">
        <f>+('DOE25'!L284)+('DOE25'!L303)+('DOE25'!L322)</f>
        <v>0</v>
      </c>
      <c r="F120" s="23" t="s">
        <v>288</v>
      </c>
      <c r="G120" s="23" t="s">
        <v>288</v>
      </c>
      <c r="H120" s="13">
        <f t="shared" si="7"/>
        <v>696263</v>
      </c>
    </row>
    <row r="121" spans="1:8" x14ac:dyDescent="0.2">
      <c r="A121" t="s">
        <v>212</v>
      </c>
      <c r="B121" s="31" t="s">
        <v>213</v>
      </c>
      <c r="C121" s="73">
        <f>('DOE25'!L206)+('DOE25'!L224)+('DOE25'!L242)</f>
        <v>613899</v>
      </c>
      <c r="D121" s="23" t="s">
        <v>288</v>
      </c>
      <c r="E121" s="73">
        <f>+('DOE25'!L285)+('DOE25'!L304)+('DOE25'!L323)</f>
        <v>0</v>
      </c>
      <c r="F121" s="23" t="s">
        <v>288</v>
      </c>
      <c r="G121" s="23" t="s">
        <v>288</v>
      </c>
      <c r="H121" s="13">
        <f t="shared" si="7"/>
        <v>613899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1380265</v>
      </c>
      <c r="D123" s="23" t="s">
        <v>288</v>
      </c>
      <c r="E123" s="73">
        <f>+('DOE25'!L287)+('DOE25'!L306)+('DOE25'!L325)</f>
        <v>485288</v>
      </c>
      <c r="F123" s="23" t="s">
        <v>288</v>
      </c>
      <c r="G123" s="23" t="s">
        <v>288</v>
      </c>
      <c r="H123" s="13">
        <f t="shared" si="7"/>
        <v>1865553</v>
      </c>
    </row>
    <row r="124" spans="1:8" x14ac:dyDescent="0.2">
      <c r="A124" t="s">
        <v>218</v>
      </c>
      <c r="B124" s="31" t="s">
        <v>219</v>
      </c>
      <c r="C124" s="73">
        <f>('DOE25'!L209)+('DOE25'!L227)+('DOE25'!L245+'DOE25'!L255)</f>
        <v>517881</v>
      </c>
      <c r="D124" s="23" t="s">
        <v>288</v>
      </c>
      <c r="E124" s="73">
        <f>+('DOE25'!L288)+('DOE25'!L307)+('DOE25'!L326)</f>
        <v>0</v>
      </c>
      <c r="F124" s="23" t="s">
        <v>288</v>
      </c>
      <c r="G124" s="23" t="s">
        <v>288</v>
      </c>
      <c r="H124" s="13">
        <f t="shared" si="7"/>
        <v>517881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173532</v>
      </c>
      <c r="E127" s="23" t="s">
        <v>288</v>
      </c>
      <c r="F127" s="23" t="s">
        <v>288</v>
      </c>
      <c r="G127" s="23" t="s">
        <v>288</v>
      </c>
      <c r="H127" s="13">
        <f t="shared" si="7"/>
        <v>173532</v>
      </c>
    </row>
    <row r="128" spans="1:8" ht="12.75" thickTop="1" thickBot="1" x14ac:dyDescent="0.25">
      <c r="A128" s="32" t="s">
        <v>226</v>
      </c>
      <c r="C128" s="68">
        <f>SUM(C118:C127)</f>
        <v>5618277</v>
      </c>
      <c r="D128" s="68">
        <f>SUM(D118:D127)</f>
        <v>173532</v>
      </c>
      <c r="E128" s="68">
        <f>SUM(E118:E127)</f>
        <v>539148</v>
      </c>
      <c r="F128" s="68">
        <f>SUM(F118:F127)</f>
        <v>0</v>
      </c>
      <c r="G128" s="68">
        <f>SUM(G118:G127)</f>
        <v>0</v>
      </c>
      <c r="H128" s="68">
        <f t="shared" si="7"/>
        <v>6330957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4524981</v>
      </c>
      <c r="G130" s="23" t="s">
        <v>288</v>
      </c>
      <c r="H130" s="13">
        <f t="shared" si="7"/>
        <v>4524981</v>
      </c>
    </row>
    <row r="131" spans="1:8" x14ac:dyDescent="0.2">
      <c r="A131" t="s">
        <v>229</v>
      </c>
      <c r="B131" s="31">
        <v>5110</v>
      </c>
      <c r="C131" s="73">
        <f>'DOE25'!L261</f>
        <v>580215</v>
      </c>
      <c r="D131" s="23" t="s">
        <v>288</v>
      </c>
      <c r="E131" s="92">
        <f>'DOE25'!L342</f>
        <v>0</v>
      </c>
      <c r="F131" s="23" t="s">
        <v>288</v>
      </c>
      <c r="G131" s="23" t="s">
        <v>288</v>
      </c>
      <c r="H131" s="13">
        <f t="shared" si="7"/>
        <v>580215</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127150</v>
      </c>
      <c r="D138" s="23" t="s">
        <v>288</v>
      </c>
      <c r="E138" s="23" t="s">
        <v>288</v>
      </c>
      <c r="F138" s="23" t="s">
        <v>288</v>
      </c>
      <c r="G138" s="23" t="s">
        <v>288</v>
      </c>
      <c r="H138" s="13">
        <f t="shared" si="7"/>
        <v>127150</v>
      </c>
    </row>
    <row r="139" spans="1:8" x14ac:dyDescent="0.2">
      <c r="A139" t="s">
        <v>239</v>
      </c>
      <c r="B139" s="31">
        <v>5252</v>
      </c>
      <c r="C139" s="73">
        <f>'DOE25'!L402</f>
        <v>33249</v>
      </c>
      <c r="D139" s="23" t="s">
        <v>288</v>
      </c>
      <c r="E139" s="23" t="s">
        <v>288</v>
      </c>
      <c r="F139" s="23" t="s">
        <v>288</v>
      </c>
      <c r="G139" s="23" t="s">
        <v>288</v>
      </c>
      <c r="H139" s="13">
        <f t="shared" si="7"/>
        <v>33249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-60399</v>
      </c>
      <c r="D141" s="23" t="s">
        <v>288</v>
      </c>
      <c r="E141" s="23" t="s">
        <v>288</v>
      </c>
      <c r="F141" s="23" t="s">
        <v>288</v>
      </c>
      <c r="G141" s="23" t="s">
        <v>288</v>
      </c>
      <c r="H141" s="13">
        <f t="shared" si="7"/>
        <v>-60399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680215</v>
      </c>
      <c r="D144" s="98">
        <f>SUM(D130:D143)</f>
        <v>0</v>
      </c>
      <c r="E144" s="98">
        <f>SUM(E130:E143)</f>
        <v>0</v>
      </c>
      <c r="F144" s="98">
        <f>SUM(F130:F143)</f>
        <v>4524981</v>
      </c>
      <c r="G144" s="98">
        <f>SUM(G130:G143)</f>
        <v>0</v>
      </c>
      <c r="H144" s="98">
        <f t="shared" si="7"/>
        <v>5205196</v>
      </c>
    </row>
    <row r="145" spans="1:9" ht="12.75" thickTop="1" thickBot="1" x14ac:dyDescent="0.25">
      <c r="A145" s="32" t="s">
        <v>244</v>
      </c>
      <c r="C145" s="68">
        <f>(C115+C128+C144)</f>
        <v>13327706</v>
      </c>
      <c r="D145" s="68">
        <f>(D115+D128+D144)</f>
        <v>173532</v>
      </c>
      <c r="E145" s="68">
        <f>(E115+E128+E144)</f>
        <v>799041</v>
      </c>
      <c r="F145" s="68">
        <f>(F115+F128+F144)</f>
        <v>4524981</v>
      </c>
      <c r="G145" s="68">
        <f>(G115+G128+G144)</f>
        <v>0</v>
      </c>
      <c r="H145" s="68">
        <f t="shared" si="7"/>
        <v>18825260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Sunapee</v>
      </c>
    </row>
    <row r="3" spans="1:4" x14ac:dyDescent="0.2">
      <c r="B3" s="137" t="s">
        <v>1799</v>
      </c>
    </row>
    <row r="4" spans="1:4" x14ac:dyDescent="0.2">
      <c r="B4" t="s">
        <v>61</v>
      </c>
      <c r="C4" s="129">
        <f>IF('DOE25'!F666+'DOE25'!F671=0,0,ROUND('DOE25'!F673,0))</f>
        <v>26880</v>
      </c>
    </row>
    <row r="5" spans="1:4" x14ac:dyDescent="0.2">
      <c r="B5" t="s">
        <v>700</v>
      </c>
      <c r="C5" s="129">
        <f>IF('DOE25'!G666+'DOE25'!G671=0,0,ROUND('DOE25'!G673,0))</f>
        <v>42065</v>
      </c>
    </row>
    <row r="6" spans="1:4" x14ac:dyDescent="0.2">
      <c r="B6" t="s">
        <v>62</v>
      </c>
      <c r="C6" s="129">
        <f>IF('DOE25'!H666+'DOE25'!H671=0,0,ROUND('DOE25'!H673,0))</f>
        <v>30925</v>
      </c>
    </row>
    <row r="7" spans="1:4" x14ac:dyDescent="0.2">
      <c r="B7" t="s">
        <v>701</v>
      </c>
      <c r="C7" s="129">
        <f>IF('DOE25'!I666+'DOE25'!I671=0,0,ROUND('DOE25'!I673,0))</f>
        <v>31702</v>
      </c>
    </row>
    <row r="9" spans="1:4" x14ac:dyDescent="0.2">
      <c r="A9" s="136" t="s">
        <v>94</v>
      </c>
      <c r="B9" s="137" t="s">
        <v>1800</v>
      </c>
      <c r="C9" s="131" t="s">
        <v>720</v>
      </c>
      <c r="D9" s="131" t="s">
        <v>721</v>
      </c>
    </row>
    <row r="10" spans="1:4" x14ac:dyDescent="0.2">
      <c r="A10">
        <v>1100</v>
      </c>
      <c r="B10" t="s">
        <v>702</v>
      </c>
      <c r="C10" s="129">
        <f>ROUND('DOE25'!L198+'DOE25'!L216+'DOE25'!L234+'DOE25'!L277+'DOE25'!L296+'DOE25'!L315,0)</f>
        <v>4778475</v>
      </c>
      <c r="D10" s="132">
        <f>ROUND((C10/$C$28)*100,1)</f>
        <v>35.299999999999997</v>
      </c>
    </row>
    <row r="11" spans="1:4" x14ac:dyDescent="0.2">
      <c r="A11">
        <v>1200</v>
      </c>
      <c r="B11" t="s">
        <v>703</v>
      </c>
      <c r="C11" s="129">
        <f>ROUND('DOE25'!L199+'DOE25'!L217+'DOE25'!L235+'DOE25'!L278+'DOE25'!L297+'DOE25'!L316,0)</f>
        <v>2174357</v>
      </c>
      <c r="D11" s="132">
        <f>ROUND((C11/$C$28)*100,1)</f>
        <v>16.100000000000001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336275</v>
      </c>
      <c r="D13" s="132">
        <f>ROUND((C13/$C$28)*100,1)</f>
        <v>2.5</v>
      </c>
    </row>
    <row r="14" spans="1:4" x14ac:dyDescent="0.2">
      <c r="D14" s="132"/>
    </row>
    <row r="15" spans="1:4" x14ac:dyDescent="0.2">
      <c r="A15">
        <v>2100</v>
      </c>
      <c r="B15" t="s">
        <v>706</v>
      </c>
      <c r="C15" s="129">
        <f>ROUND('DOE25'!L203+'DOE25'!L221+'DOE25'!L239+'DOE25'!L282+'DOE25'!L301+'DOE25'!L320,0)</f>
        <v>1233092</v>
      </c>
      <c r="D15" s="132">
        <f t="shared" ref="D15:D27" si="0">ROUND((C15/$C$28)*100,1)</f>
        <v>9.1</v>
      </c>
    </row>
    <row r="16" spans="1:4" x14ac:dyDescent="0.2">
      <c r="A16">
        <v>2200</v>
      </c>
      <c r="B16" t="s">
        <v>707</v>
      </c>
      <c r="C16" s="129">
        <f>ROUND('DOE25'!L204+'DOE25'!L222+'DOE25'!L240+'DOE25'!L283+'DOE25'!L302+'DOE25'!L321,0)</f>
        <v>1230737</v>
      </c>
      <c r="D16" s="132">
        <f t="shared" si="0"/>
        <v>9.1</v>
      </c>
    </row>
    <row r="17" spans="1:4" x14ac:dyDescent="0.2">
      <c r="A17" s="133" t="s">
        <v>723</v>
      </c>
      <c r="B17" t="s">
        <v>738</v>
      </c>
      <c r="C17" s="129">
        <f>ROUND('DOE25'!L205+'DOE25'!L210+'DOE25'!L223+'DOE25'!L228+'DOE25'!L241+'DOE25'!L246+'DOE25'!L284+'DOE25'!L289+'DOE25'!L303+'DOE25'!L308+'DOE25'!L322+'DOE25'!L327,0)</f>
        <v>696263</v>
      </c>
      <c r="D17" s="132">
        <f t="shared" si="0"/>
        <v>5.0999999999999996</v>
      </c>
    </row>
    <row r="18" spans="1:4" x14ac:dyDescent="0.2">
      <c r="A18">
        <v>2400</v>
      </c>
      <c r="B18" t="s">
        <v>711</v>
      </c>
      <c r="C18" s="129">
        <f>ROUND('DOE25'!L206+'DOE25'!L224+'DOE25'!L242+'DOE25'!L285+'DOE25'!L304+'DOE25'!L323,0)</f>
        <v>613899</v>
      </c>
      <c r="D18" s="132">
        <f t="shared" si="0"/>
        <v>4.5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1865553</v>
      </c>
      <c r="D20" s="132">
        <f t="shared" si="0"/>
        <v>13.8</v>
      </c>
    </row>
    <row r="21" spans="1:4" x14ac:dyDescent="0.2">
      <c r="A21">
        <v>2700</v>
      </c>
      <c r="B21" t="s">
        <v>710</v>
      </c>
      <c r="C21" s="129">
        <f>ROUND('DOE25'!L209+'DOE25'!L227+'DOE25'!L245+'DOE25'!L288+'DOE25'!L307+'DOE25'!L326,0)</f>
        <v>517881</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81095</v>
      </c>
      <c r="D27" s="132">
        <f t="shared" si="0"/>
        <v>0.6</v>
      </c>
    </row>
    <row r="28" spans="1:4" x14ac:dyDescent="0.2">
      <c r="B28" s="136" t="s">
        <v>719</v>
      </c>
      <c r="C28" s="130">
        <f>SUM(C10:C27)</f>
        <v>13527627</v>
      </c>
      <c r="D28" s="134">
        <f>ROUND(SUM(D10:D27),0)</f>
        <v>100</v>
      </c>
    </row>
    <row r="29" spans="1:4" x14ac:dyDescent="0.2">
      <c r="A29">
        <v>4000</v>
      </c>
      <c r="B29" t="s">
        <v>724</v>
      </c>
      <c r="C29" s="129">
        <f>ROUND('DOE25'!L256+'DOE25'!L337+'DOE25'!L375+'DOE25'!L376+'DOE25'!L377+'DOE25'!L378+'DOE25'!L379+'DOE25'!L380+'DOE25'!L381,0)</f>
        <v>4524981</v>
      </c>
    </row>
    <row r="30" spans="1:4" x14ac:dyDescent="0.2">
      <c r="B30" s="136" t="s">
        <v>725</v>
      </c>
      <c r="C30" s="130">
        <f>SUM(C28:C29)</f>
        <v>18052608</v>
      </c>
    </row>
    <row r="31" spans="1:4" x14ac:dyDescent="0.2">
      <c r="B31" s="32"/>
      <c r="C31" s="130"/>
    </row>
    <row r="32" spans="1:4" x14ac:dyDescent="0.2">
      <c r="A32">
        <v>5100</v>
      </c>
      <c r="B32" s="32" t="s">
        <v>726</v>
      </c>
      <c r="C32" s="130">
        <f>ROUND('DOE25'!L261+'DOE25'!L342,0)</f>
        <v>580215</v>
      </c>
    </row>
    <row r="34" spans="1:4" x14ac:dyDescent="0.2">
      <c r="A34" s="136" t="s">
        <v>94</v>
      </c>
      <c r="B34" s="137" t="s">
        <v>1801</v>
      </c>
      <c r="C34" s="131" t="s">
        <v>720</v>
      </c>
      <c r="D34" s="131" t="s">
        <v>721</v>
      </c>
    </row>
    <row r="35" spans="1:4" x14ac:dyDescent="0.2">
      <c r="A35">
        <v>1100</v>
      </c>
      <c r="B35" s="71" t="s">
        <v>727</v>
      </c>
      <c r="C35" s="129">
        <f>ROUND('DOE25'!F60+'DOE25'!G60+'DOE25'!H60+'DOE25'!I60+'DOE25'!J60,0)</f>
        <v>9646153</v>
      </c>
      <c r="D35" s="132">
        <f t="shared" ref="D35:D40" si="1">ROUND((C35/$C$41)*100,1)</f>
        <v>49.9</v>
      </c>
    </row>
    <row r="36" spans="1:4" x14ac:dyDescent="0.2">
      <c r="B36" s="71" t="s">
        <v>739</v>
      </c>
      <c r="C36" s="129">
        <f>SUM('DOE25'!F112:J112)-SUM('DOE25'!G97:G110)+('DOE25'!F175+'DOE25'!F176+'DOE25'!I175+'DOE25'!I176)-C35</f>
        <v>782123</v>
      </c>
      <c r="D36" s="132">
        <f t="shared" si="1"/>
        <v>4</v>
      </c>
    </row>
    <row r="37" spans="1:4" x14ac:dyDescent="0.2">
      <c r="A37" s="133" t="s">
        <v>834</v>
      </c>
      <c r="B37" s="71" t="s">
        <v>728</v>
      </c>
      <c r="C37" s="129">
        <f>ROUND('DOE25'!F117+'DOE25'!F118,0)</f>
        <v>2505185</v>
      </c>
      <c r="D37" s="132">
        <f t="shared" si="1"/>
        <v>13</v>
      </c>
    </row>
    <row r="38" spans="1:4" x14ac:dyDescent="0.2">
      <c r="A38" s="133" t="s">
        <v>734</v>
      </c>
      <c r="B38" s="71" t="s">
        <v>729</v>
      </c>
      <c r="C38" s="129">
        <f>ROUND(SUM('DOE25'!F140:J140)-SUM('DOE25'!F117:F119),0)</f>
        <v>307184</v>
      </c>
      <c r="D38" s="132">
        <f t="shared" si="1"/>
        <v>1.6</v>
      </c>
    </row>
    <row r="39" spans="1:4" x14ac:dyDescent="0.2">
      <c r="A39">
        <v>4000</v>
      </c>
      <c r="B39" s="71" t="s">
        <v>730</v>
      </c>
      <c r="C39" s="129">
        <f>ROUND('DOE25'!F170+'DOE25'!G170+'DOE25'!H170+'DOE25'!I170,0)</f>
        <v>1187012</v>
      </c>
      <c r="D39" s="132">
        <f t="shared" si="1"/>
        <v>6.1</v>
      </c>
    </row>
    <row r="40" spans="1:4" x14ac:dyDescent="0.2">
      <c r="A40" s="133" t="s">
        <v>735</v>
      </c>
      <c r="B40" s="71" t="s">
        <v>731</v>
      </c>
      <c r="C40" s="129">
        <f>ROUND(SUM('DOE25'!F190:F192)+SUM('DOE25'!G190:G192)+SUM('DOE25'!H190:H192)+SUM('DOE25'!I190:I192),0)</f>
        <v>4899714</v>
      </c>
      <c r="D40" s="132">
        <f t="shared" si="1"/>
        <v>25.4</v>
      </c>
    </row>
    <row r="41" spans="1:4" x14ac:dyDescent="0.2">
      <c r="B41" s="136" t="s">
        <v>732</v>
      </c>
      <c r="C41" s="130">
        <f>SUM(C35:C40)</f>
        <v>19327371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Sunapee</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282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65</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88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f>IF('School Level Expenditures'!$B$2='School Tables'!L68,'School Tables'!S68,"")</f>
        <v>65</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f>IF('School Level Expenditures'!$B$2='School Tables'!W91,'School Tables'!AD91,"")</f>
        <v>88</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f>IF('School Level Expenditures'!$B$2=A285,'School Tables'!H285,"")</f>
        <v>282</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2023-10-12T16:20:54Z</cp:lastPrinted>
  <dcterms:created xsi:type="dcterms:W3CDTF">1997-12-04T19:04:30Z</dcterms:created>
  <dcterms:modified xsi:type="dcterms:W3CDTF">2023-12-29T14:38:08Z</dcterms:modified>
</cp:coreProperties>
</file>