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0B8456A-AE40-4342-A584-8D3E4EA39BD5}"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'DOE25'!$A$1:$L$672</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10" i="1" l="1"/>
  <c r="F57" i="1"/>
  <c r="D38" i="14"/>
  <c r="D26" i="14"/>
  <c r="F466" i="1" l="1"/>
  <c r="E13" i="17"/>
  <c r="J605" i="1" l="1"/>
  <c r="I605" i="1"/>
  <c r="H605" i="1"/>
  <c r="H593" i="1" l="1"/>
  <c r="H596" i="1"/>
  <c r="J593" i="1"/>
  <c r="I593" i="1"/>
  <c r="J592" i="1"/>
  <c r="I592" i="1"/>
  <c r="H592" i="1"/>
  <c r="H110" i="1"/>
  <c r="F63" i="1" l="1"/>
  <c r="F9" i="1" l="1"/>
  <c r="H162" i="1"/>
  <c r="F277" i="1"/>
  <c r="H30" i="1"/>
  <c r="H22" i="1"/>
  <c r="G359" i="1"/>
  <c r="F368" i="1"/>
  <c r="I359" i="1"/>
  <c r="G97" i="1" l="1"/>
  <c r="G45" i="1"/>
  <c r="G9" i="1"/>
  <c r="J473" i="1"/>
  <c r="J469" i="1"/>
  <c r="G460" i="1"/>
  <c r="I401" i="1"/>
  <c r="H427" i="1"/>
  <c r="I427" i="1"/>
  <c r="H137" i="2"/>
  <c r="H138" i="2"/>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5" i="2"/>
  <c r="H143" i="2"/>
  <c r="H134" i="2"/>
  <c r="H132" i="2"/>
  <c r="H131" i="2"/>
  <c r="H113" i="2"/>
  <c r="H97" i="2"/>
  <c r="H98" i="2"/>
  <c r="H99" i="2"/>
  <c r="H100" i="2"/>
  <c r="H101" i="2"/>
  <c r="H102" i="2"/>
  <c r="H94" i="2"/>
  <c r="H93" i="2"/>
  <c r="H89" i="2"/>
  <c r="H90" i="2"/>
  <c r="H87" i="2"/>
  <c r="H73" i="2"/>
  <c r="H74" i="2"/>
  <c r="H79" i="2"/>
  <c r="H80" i="2"/>
  <c r="H72" i="2"/>
  <c r="H58" i="2"/>
  <c r="H42" i="2"/>
  <c r="H40" i="2"/>
  <c r="H39" i="2"/>
  <c r="H38" i="2"/>
  <c r="H36" i="2"/>
  <c r="H22" i="2"/>
  <c r="H24" i="2"/>
  <c r="H25" i="2"/>
  <c r="H26" i="2"/>
  <c r="H9" i="2"/>
  <c r="H10" i="2"/>
  <c r="H14"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H48" i="2" s="1"/>
  <c r="F47" i="2"/>
  <c r="E47" i="2"/>
  <c r="D47" i="2"/>
  <c r="C47" i="2"/>
  <c r="F44" i="2"/>
  <c r="E44" i="2"/>
  <c r="D44" i="2"/>
  <c r="H44" i="2" s="1"/>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H12" i="2" s="1"/>
  <c r="C13" i="2"/>
  <c r="H13" i="2" s="1"/>
  <c r="D13" i="2"/>
  <c r="E13" i="2"/>
  <c r="F13" i="2"/>
  <c r="I444" i="1"/>
  <c r="J14" i="1" s="1"/>
  <c r="G13" i="2" s="1"/>
  <c r="F14" i="2"/>
  <c r="C15" i="2"/>
  <c r="D15" i="2"/>
  <c r="H15" i="2" s="1"/>
  <c r="E15" i="2"/>
  <c r="F15" i="2"/>
  <c r="C16" i="2"/>
  <c r="H16" i="2" s="1"/>
  <c r="D16" i="2"/>
  <c r="E16" i="2"/>
  <c r="F16" i="2"/>
  <c r="I445" i="1"/>
  <c r="J17" i="1" s="1"/>
  <c r="C17" i="2"/>
  <c r="D17" i="2"/>
  <c r="E17" i="2"/>
  <c r="F17" i="2"/>
  <c r="I446" i="1"/>
  <c r="J18" i="1" s="1"/>
  <c r="G17" i="2" s="1"/>
  <c r="C21" i="2"/>
  <c r="D21" i="2"/>
  <c r="E21" i="2"/>
  <c r="H21" i="2" s="1"/>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D29" i="2"/>
  <c r="E29" i="2"/>
  <c r="F29" i="2"/>
  <c r="C30" i="2"/>
  <c r="H30" i="2" s="1"/>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E77" i="2"/>
  <c r="F77" i="2"/>
  <c r="G77" i="2"/>
  <c r="G78" i="2" s="1"/>
  <c r="C79" i="2"/>
  <c r="D79" i="2"/>
  <c r="E79" i="2"/>
  <c r="C80" i="2"/>
  <c r="E80" i="2"/>
  <c r="C85" i="2"/>
  <c r="H85" i="2" s="1"/>
  <c r="F85" i="2"/>
  <c r="C87" i="2"/>
  <c r="E87" i="2"/>
  <c r="F87" i="2"/>
  <c r="C89" i="2"/>
  <c r="D89" i="2"/>
  <c r="E89" i="2"/>
  <c r="F89" i="2"/>
  <c r="C90" i="2"/>
  <c r="C93" i="2"/>
  <c r="F93" i="2"/>
  <c r="C94" i="2"/>
  <c r="F94" i="2"/>
  <c r="D96" i="2"/>
  <c r="E96" i="2"/>
  <c r="H96"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E12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J652" i="1" l="1"/>
  <c r="C12" i="10"/>
  <c r="D6" i="13"/>
  <c r="C6" i="13" s="1"/>
  <c r="C110" i="2"/>
  <c r="C119" i="2"/>
  <c r="C125" i="2"/>
  <c r="H125" i="2" s="1"/>
  <c r="D15" i="13"/>
  <c r="C15" i="13" s="1"/>
  <c r="N2" i="14"/>
  <c r="N3" i="14" s="1"/>
  <c r="C112" i="2"/>
  <c r="E13" i="13"/>
  <c r="C13" i="13" s="1"/>
  <c r="C121" i="2"/>
  <c r="H121" i="2" s="1"/>
  <c r="A40" i="12"/>
  <c r="L2" i="14"/>
  <c r="L3" i="14" s="1"/>
  <c r="C120" i="2"/>
  <c r="H120" i="2" s="1"/>
  <c r="H23" i="2"/>
  <c r="H477" i="1"/>
  <c r="H625" i="1" s="1"/>
  <c r="M2" i="14"/>
  <c r="M3" i="14" s="1"/>
  <c r="C13" i="10"/>
  <c r="E112" i="2"/>
  <c r="K2" i="14"/>
  <c r="K3" i="14" s="1"/>
  <c r="H59" i="2"/>
  <c r="H29" i="2"/>
  <c r="H8" i="2"/>
  <c r="G477" i="1"/>
  <c r="D29" i="13"/>
  <c r="C29" i="13" s="1"/>
  <c r="G662" i="1"/>
  <c r="D78" i="2"/>
  <c r="H78" i="2" s="1"/>
  <c r="H77" i="2"/>
  <c r="H11" i="2"/>
  <c r="I409" i="1"/>
  <c r="G62" i="2"/>
  <c r="H61" i="2"/>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H103" i="2" s="1"/>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0" i="2" l="1"/>
  <c r="H114" i="2"/>
  <c r="I663" i="1"/>
  <c r="H112" i="2"/>
  <c r="H91" i="2"/>
  <c r="C81" i="2"/>
  <c r="H81" i="2" s="1"/>
  <c r="F194" i="1"/>
  <c r="G628" i="1" s="1"/>
  <c r="J628" i="1" s="1"/>
  <c r="G24" i="14"/>
  <c r="H24" i="14" s="1"/>
  <c r="I24" i="14" s="1"/>
  <c r="E128" i="2"/>
  <c r="H118" i="2"/>
  <c r="E51" i="2"/>
  <c r="D128" i="2"/>
  <c r="H127" i="2"/>
  <c r="H62" i="2"/>
  <c r="I662" i="1"/>
  <c r="H50" i="2"/>
  <c r="D51" i="2"/>
  <c r="H31"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H51" i="2"/>
  <c r="M24" i="14"/>
  <c r="H104" i="2"/>
  <c r="D145" i="2"/>
  <c r="H128" i="2"/>
  <c r="C144" i="2"/>
  <c r="H144"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<sst xmlns="http://schemas.openxmlformats.org/spreadsheetml/2006/main" count="6563" uniqueCount="1818">
  <si>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</si>
  <si>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</si>
  <si>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</si>
  <si>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</si>
  <si>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</si>
  <si>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</si>
  <si>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</si>
  <si>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</si>
  <si>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</si>
  <si>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</si>
  <si>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</si>
  <si>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</si>
  <si>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</si>
  <si>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</si>
  <si>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</si>
  <si>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</si>
  <si>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</si>
  <si>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</si>
  <si>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</si>
  <si>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</si>
  <si>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</si>
  <si>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</si>
  <si>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</si>
  <si>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</si>
  <si>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</si>
  <si>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</si>
  <si>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</si>
  <si>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</si>
  <si>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</si>
  <si>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</si>
  <si>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</si>
  <si>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</si>
  <si>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</si>
  <si>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</si>
  <si>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</si>
  <si>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</si>
  <si>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</si>
  <si>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</si>
  <si>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</si>
  <si>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</si>
  <si>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</si>
  <si>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</si>
  <si>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</si>
  <si>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</si>
  <si>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</si>
  <si>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</si>
  <si>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</si>
  <si>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</si>
  <si>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</si>
  <si>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</si>
  <si>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</si>
  <si>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</si>
  <si>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</si>
  <si>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</si>
  <si>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</si>
  <si>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</si>
  <si>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</si>
  <si>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</si>
  <si>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</si>
  <si>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</si>
  <si>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</si>
  <si>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</si>
  <si>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</si>
  <si>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</si>
  <si>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</si>
  <si>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</si>
  <si>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</si>
  <si>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</si>
  <si>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</si>
  <si>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</si>
  <si>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</si>
  <si>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</si>
  <si>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</si>
  <si>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</si>
  <si>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</si>
  <si>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</si>
  <si>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</si>
  <si>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</si>
  <si>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</si>
  <si>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</si>
  <si>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</si>
  <si>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</si>
  <si>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</si>
  <si>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</si>
  <si>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</si>
  <si>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</si>
  <si>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</si>
  <si>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</si>
  <si>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</si>
  <si>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</si>
  <si>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</si>
  <si>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</si>
  <si>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</si>
  <si>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</si>
  <si>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</si>
  <si>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</si>
  <si>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</si>
  <si>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</si>
  <si>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</si>
  <si>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</si>
  <si>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</si>
  <si>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</si>
  <si>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</si>
  <si>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</si>
  <si>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</si>
  <si>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</si>
  <si>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</si>
  <si>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</si>
  <si>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</si>
  <si>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</si>
  <si>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</si>
  <si>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</si>
  <si>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</si>
  <si>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</si>
  <si>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</si>
  <si>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</si>
  <si>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</si>
  <si>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</si>
  <si>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</si>
  <si>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</si>
  <si>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</si>
  <si>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</si>
  <si>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</si>
  <si>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</si>
  <si>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</si>
  <si>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</si>
  <si>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</si>
  <si>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</si>
  <si>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</si>
  <si>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</si>
  <si>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</si>
  <si>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</si>
  <si>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</si>
  <si>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</si>
  <si>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</si>
  <si>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</si>
  <si>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</si>
  <si>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</si>
  <si>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</si>
  <si>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</si>
  <si>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</si>
  <si>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</si>
  <si>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</si>
  <si>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</si>
  <si>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</si>
  <si>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</si>
  <si>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</si>
  <si>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</si>
  <si>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</si>
  <si>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</si>
  <si>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</si>
  <si>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</si>
  <si>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</si>
  <si>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</si>
  <si>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</si>
  <si>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</si>
  <si>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</si>
  <si>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</si>
  <si>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</si>
  <si>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</si>
  <si>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</si>
  <si>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</si>
  <si>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</si>
  <si>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</si>
  <si>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</si>
  <si>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</si>
  <si>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</si>
  <si>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</si>
  <si>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</si>
  <si>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</si>
  <si>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</si>
  <si>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</si>
  <si>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</si>
  <si>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</si>
  <si>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</si>
  <si>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</si>
  <si>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</si>
  <si>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</si>
  <si>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</si>
  <si>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</si>
  <si>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</si>
  <si>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</si>
  <si>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</si>
  <si>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</si>
  <si>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</si>
  <si>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</si>
  <si>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</si>
  <si>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</si>
  <si>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</si>
  <si>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</si>
  <si>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</si>
  <si>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</si>
  <si>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</si>
  <si>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</si>
  <si>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</si>
  <si>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</si>
  <si>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</si>
  <si>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</si>
  <si>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</si>
  <si>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</si>
  <si>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</si>
  <si>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</si>
  <si>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</si>
  <si>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</si>
  <si>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</si>
  <si>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</si>
  <si>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</si>
  <si>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</si>
  <si>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</si>
  <si>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</si>
  <si>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</si>
  <si>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</si>
  <si>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</si>
  <si>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</si>
  <si>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</si>
  <si>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</si>
  <si>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</si>
  <si>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</si>
  <si>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</si>
  <si>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</si>
  <si>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</si>
  <si>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</si>
  <si>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</si>
  <si>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</si>
  <si>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</si>
  <si>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</si>
  <si>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</si>
  <si>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</si>
  <si>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</si>
  <si>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</si>
  <si>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</si>
  <si>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</si>
  <si>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</si>
  <si>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</si>
  <si>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</si>
  <si>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</si>
  <si>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</si>
  <si>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</si>
  <si>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</si>
  <si>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</si>
  <si>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</si>
  <si>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</si>
  <si>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</si>
  <si>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</si>
  <si>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</si>
  <si>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</si>
  <si>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</si>
  <si>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</si>
  <si>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</si>
  <si>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</si>
  <si>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</si>
  <si>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</si>
  <si>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</si>
  <si>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</si>
  <si>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</si>
  <si>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</si>
  <si>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</si>
  <si>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</si>
  <si>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</si>
  <si>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</si>
  <si>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</si>
  <si>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</si>
  <si>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</si>
  <si>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</si>
  <si>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</si>
  <si>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</si>
  <si>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</si>
  <si>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</si>
  <si>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</si>
  <si>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</si>
  <si>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</si>
  <si>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</si>
  <si>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</si>
  <si>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</si>
  <si>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</si>
  <si>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</si>
  <si>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</si>
  <si>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</si>
  <si>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</si>
  <si>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</si>
  <si>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</si>
  <si>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</si>
  <si>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</si>
  <si>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</si>
  <si>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</si>
  <si>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</si>
  <si>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</si>
  <si>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</si>
  <si>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</si>
  <si>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</si>
  <si>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</si>
  <si>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</si>
  <si>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</si>
  <si>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</si>
  <si>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</si>
  <si>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</si>
  <si>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</si>
  <si>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</si>
  <si>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</si>
  <si>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</si>
  <si>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</si>
  <si>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</si>
  <si>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</si>
  <si>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</si>
  <si>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</si>
  <si>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</si>
  <si>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</si>
  <si>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</si>
  <si>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</si>
  <si>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</si>
  <si>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</si>
  <si>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</si>
  <si>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</si>
  <si>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</si>
  <si>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</si>
  <si>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</si>
  <si>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</si>
  <si>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</si>
  <si>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</si>
  <si>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</si>
  <si>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</si>
  <si>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</si>
  <si>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</si>
  <si>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</si>
  <si>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</si>
  <si>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</si>
  <si>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</si>
  <si>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</si>
  <si>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</si>
  <si>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</si>
  <si>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</si>
  <si>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</si>
  <si>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</si>
  <si>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</si>
  <si>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</si>
  <si>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</si>
  <si>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</si>
  <si>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</si>
  <si>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</si>
  <si>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</si>
  <si>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</si>
  <si>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</si>
  <si>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</si>
  <si>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</si>
  <si>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</si>
  <si>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</si>
  <si>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</si>
  <si>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</si>
  <si>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</si>
  <si>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</si>
  <si>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</si>
  <si>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</si>
  <si>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</si>
  <si>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</si>
  <si>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</si>
  <si>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</si>
  <si>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</si>
  <si>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</si>
  <si>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</si>
  <si>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</si>
  <si>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</si>
  <si>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</si>
  <si>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</si>
  <si>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</si>
  <si>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</si>
  <si>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</si>
  <si>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</si>
  <si>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</si>
  <si>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</si>
  <si>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</si>
  <si>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</si>
  <si>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</si>
  <si>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</si>
  <si>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</si>
  <si>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</si>
  <si>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</si>
  <si>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</si>
  <si>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</si>
  <si>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</si>
  <si>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</si>
  <si>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</si>
  <si>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</si>
  <si>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</si>
  <si>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</si>
  <si>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</si>
  <si>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</si>
  <si>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</si>
  <si>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</si>
  <si>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</si>
  <si>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</si>
  <si>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</si>
  <si>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</si>
  <si>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</si>
  <si>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</si>
  <si>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</si>
  <si>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</si>
  <si>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</si>
  <si>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</si>
  <si>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</si>
  <si>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</si>
  <si>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</si>
  <si>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</si>
  <si>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</si>
  <si>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</si>
  <si>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</si>
  <si>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</si>
  <si>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</si>
  <si>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</si>
  <si>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</si>
  <si>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</si>
  <si>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</si>
  <si>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</si>
  <si>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</si>
  <si>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</si>
  <si>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</si>
  <si>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</si>
  <si>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</si>
  <si>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</si>
  <si>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</si>
  <si>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</si>
  <si>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</si>
  <si>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</si>
  <si>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</si>
  <si>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</si>
  <si>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</si>
  <si>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</si>
  <si>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</si>
  <si>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</si>
  <si>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</si>
  <si>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</si>
  <si>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</si>
  <si>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</si>
  <si>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</si>
  <si>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</si>
  <si>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</si>
  <si>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</si>
  <si>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</si>
  <si>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</si>
  <si>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</si>
  <si>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</si>
  <si>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</si>
  <si>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</si>
  <si>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</si>
  <si>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</si>
  <si>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</si>
  <si>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</si>
  <si>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</si>
  <si>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</si>
  <si>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</si>
  <si>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</si>
  <si>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</si>
  <si>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</si>
  <si>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</si>
  <si>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</si>
  <si>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</si>
  <si>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</si>
  <si>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</si>
  <si>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</si>
  <si>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</si>
  <si>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</si>
  <si>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</si>
  <si>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</si>
  <si>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</si>
  <si>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</si>
  <si>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</si>
  <si>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</si>
  <si>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</si>
  <si>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</si>
  <si>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</si>
  <si>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</si>
  <si>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</si>
  <si>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</si>
  <si>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</si>
  <si>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</si>
  <si>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</si>
  <si>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</si>
  <si>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</si>
  <si>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</si>
  <si>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</si>
  <si>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</si>
  <si>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</si>
  <si>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</si>
  <si>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</si>
  <si>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</si>
  <si>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</si>
  <si>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</si>
  <si>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</si>
  <si>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</si>
  <si>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</si>
  <si>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</si>
  <si>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</si>
  <si>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</si>
  <si>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</si>
  <si>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</si>
  <si>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</si>
  <si>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</si>
  <si>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</si>
  <si>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</si>
  <si>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</si>
  <si>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</si>
  <si>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</si>
  <si>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</si>
  <si>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</si>
  <si>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</si>
  <si>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</si>
  <si>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</si>
  <si>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</si>
  <si>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</si>
  <si>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</si>
  <si>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</si>
  <si>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</si>
  <si>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</si>
  <si>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</si>
  <si>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</si>
  <si>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</si>
  <si>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</si>
  <si>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</si>
  <si>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</si>
  <si>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</si>
  <si>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</si>
  <si>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</si>
  <si>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</si>
  <si>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</si>
  <si>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</si>
  <si>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</si>
  <si>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</si>
  <si>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</si>
  <si>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</si>
  <si>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</si>
  <si>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</si>
  <si>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</si>
  <si>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</si>
  <si>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</si>
  <si>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</si>
  <si>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</si>
  <si>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</si>
  <si>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</si>
  <si>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</si>
  <si>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</si>
  <si>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</si>
  <si>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</si>
  <si>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</si>
  <si>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</si>
  <si>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</si>
  <si>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</si>
  <si>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</si>
  <si>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</si>
  <si>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</si>
  <si>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</si>
  <si>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</si>
  <si>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</si>
  <si>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</si>
  <si>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</si>
  <si>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</si>
  <si>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</si>
  <si>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</si>
  <si>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</si>
  <si>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</si>
  <si>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</si>
  <si>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</si>
  <si>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</si>
  <si>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</si>
  <si>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</si>
  <si>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</si>
  <si>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</si>
  <si>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</si>
  <si>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</si>
  <si>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</si>
  <si>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</si>
  <si>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</si>
  <si>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</si>
  <si>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</si>
  <si>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</si>
  <si>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</si>
  <si>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</si>
  <si>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</si>
  <si>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</si>
  <si>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</si>
  <si>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</si>
  <si>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</si>
  <si>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</si>
  <si>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</si>
  <si>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</si>
  <si>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</si>
  <si>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</si>
  <si>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</si>
  <si>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</si>
  <si>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</si>
  <si>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</si>
  <si>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</si>
  <si>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</si>
  <si>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</si>
  <si>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</si>
  <si>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</si>
  <si>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</si>
  <si>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</si>
  <si>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</si>
  <si>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</si>
  <si>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</si>
  <si>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</si>
  <si>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</si>
  <si>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</si>
  <si>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</si>
  <si>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</si>
  <si>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</si>
  <si>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</si>
  <si>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</si>
  <si>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</si>
  <si>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</si>
  <si>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</si>
  <si>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</si>
  <si>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</si>
  <si>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</si>
  <si>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</si>
  <si>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</si>
  <si>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</si>
  <si>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</si>
  <si>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</si>
  <si>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</si>
  <si>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</si>
  <si>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</si>
  <si>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</si>
  <si>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</si>
  <si>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</si>
  <si>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</si>
  <si>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</si>
  <si>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</si>
  <si>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</si>
  <si>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</si>
  <si>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</si>
  <si>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</si>
  <si>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</si>
  <si>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</si>
  <si>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</si>
  <si>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</si>
  <si>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</si>
  <si>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</si>
  <si>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</si>
  <si>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</si>
  <si>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</si>
  <si>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</si>
  <si>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</si>
  <si>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</si>
  <si>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</si>
  <si>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</si>
  <si>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</si>
  <si>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</si>
  <si>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</si>
  <si>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</si>
  <si>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</si>
  <si>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</si>
  <si>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</si>
  <si>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</si>
  <si>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</si>
  <si>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</si>
  <si>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</si>
  <si>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</si>
  <si>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</si>
  <si>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</si>
  <si>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</si>
  <si>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</si>
  <si>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</si>
  <si>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</si>
  <si>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</si>
  <si>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</si>
  <si>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</si>
  <si>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</si>
  <si>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</si>
  <si>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</si>
  <si>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</si>
  <si>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</si>
  <si>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</si>
  <si>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</si>
  <si>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</si>
  <si>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</si>
  <si>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</si>
  <si>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</si>
  <si>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</si>
  <si>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</si>
  <si>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</si>
  <si>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</si>
  <si>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</si>
  <si>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</si>
  <si>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</si>
  <si>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</si>
  <si>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</si>
  <si>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</si>
  <si>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</si>
  <si>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</si>
  <si>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</si>
  <si>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</si>
  <si>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</si>
  <si>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</si>
  <si>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</si>
  <si>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</si>
  <si>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</si>
  <si>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</si>
  <si>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</si>
  <si>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</si>
  <si>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</si>
  <si>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</si>
  <si>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</si>
  <si>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</si>
  <si>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</si>
  <si>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</si>
  <si>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</si>
  <si>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</si>
  <si>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</si>
  <si>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</si>
  <si>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</si>
  <si>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</si>
  <si>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</si>
  <si>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</si>
  <si>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</si>
  <si>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</si>
  <si>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</si>
  <si>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</si>
  <si>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</si>
  <si>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</si>
  <si>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</si>
  <si>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</si>
  <si>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</si>
  <si>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</si>
  <si>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</si>
  <si>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</si>
  <si>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</si>
  <si>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</si>
  <si>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</si>
  <si>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</si>
  <si>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</si>
  <si>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</si>
  <si>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</si>
  <si>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</si>
  <si>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</si>
  <si>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</si>
  <si>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</si>
  <si>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</si>
  <si>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</si>
  <si>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</si>
  <si>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</si>
  <si>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</si>
  <si>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</si>
  <si>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</si>
  <si>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</si>
  <si>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</si>
  <si>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</si>
  <si>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</si>
  <si>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</si>
  <si>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</si>
  <si>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</si>
  <si>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</si>
  <si>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</si>
  <si>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</si>
  <si>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</si>
  <si>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</si>
  <si>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</si>
  <si>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</si>
  <si>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</si>
  <si>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</si>
  <si>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</si>
  <si>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</si>
  <si>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</si>
  <si>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</si>
  <si>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</si>
  <si>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</si>
  <si>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</si>
  <si>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</si>
  <si>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</si>
  <si>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</si>
  <si>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</si>
  <si>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</si>
  <si>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</si>
  <si>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</si>
  <si>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</si>
  <si>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</si>
  <si>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</si>
  <si>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</si>
  <si>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</si>
  <si>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</si>
  <si>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</si>
  <si>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</si>
  <si>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</si>
  <si>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</si>
  <si>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</si>
  <si>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</si>
  <si>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</si>
  <si>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</si>
  <si>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</si>
  <si>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</si>
  <si>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</si>
  <si>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</si>
  <si>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</si>
  <si>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</si>
  <si>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</si>
  <si>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</si>
  <si>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</si>
  <si>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</si>
  <si>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</si>
  <si>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</si>
  <si>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</si>
  <si>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</si>
  <si>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</si>
  <si>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</si>
  <si>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</si>
  <si>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</si>
  <si>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</si>
  <si>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</si>
  <si>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</si>
  <si>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</si>
  <si>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</si>
  <si>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</si>
  <si>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</si>
  <si>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</si>
  <si>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</si>
  <si>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</si>
  <si>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</si>
  <si>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</si>
  <si>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</si>
  <si>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</si>
  <si>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</si>
  <si>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</si>
  <si>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</si>
  <si>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</si>
  <si>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</si>
  <si>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</si>
  <si>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</si>
  <si>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</si>
  <si>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</si>
  <si>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</si>
  <si>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</si>
  <si>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</si>
  <si>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</si>
  <si>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</si>
  <si>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</si>
  <si>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</si>
  <si>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</si>
  <si>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</si>
  <si>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</si>
  <si>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</si>
  <si>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</si>
  <si>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</si>
  <si>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</si>
  <si>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</si>
  <si>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</si>
  <si>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</si>
  <si>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</si>
  <si>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</si>
  <si>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</si>
  <si>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</si>
  <si>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</si>
  <si>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</si>
  <si>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</si>
  <si>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</si>
  <si>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</si>
  <si>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</si>
  <si>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</si>
  <si>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</si>
  <si>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</si>
  <si>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</si>
  <si>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</si>
  <si>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</si>
  <si>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</si>
  <si>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</si>
  <si>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</si>
  <si>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</si>
  <si>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</si>
  <si>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</si>
  <si>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</si>
  <si>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</si>
  <si>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</si>
  <si>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</si>
  <si>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</si>
  <si>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</si>
  <si>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</si>
  <si>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</si>
  <si>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</si>
  <si>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</si>
  <si>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</si>
  <si>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</si>
  <si>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</si>
  <si>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</si>
  <si>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</si>
  <si>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</si>
  <si>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</si>
  <si>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</si>
  <si>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</si>
  <si>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</si>
  <si>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</si>
  <si>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</si>
  <si>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</si>
  <si>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</si>
  <si>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</si>
  <si>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</si>
  <si>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</si>
  <si>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</si>
  <si>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</si>
  <si>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</si>
  <si>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</si>
  <si>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</si>
  <si>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</si>
  <si>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</si>
  <si>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</si>
  <si>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</si>
  <si>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</si>
  <si>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</si>
  <si>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</si>
  <si>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</si>
  <si>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</si>
  <si>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</si>
  <si>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</si>
  <si>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</si>
  <si>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</si>
  <si>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</si>
  <si>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</si>
  <si>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</si>
  <si>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</si>
  <si>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</si>
  <si>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</si>
  <si>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</si>
  <si>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</si>
  <si>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</si>
  <si>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</si>
  <si>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</si>
  <si>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</si>
  <si>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</si>
  <si>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</si>
  <si>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</si>
  <si>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</si>
  <si>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</si>
  <si>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</si>
  <si>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</si>
  <si>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</si>
  <si>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</si>
  <si>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</si>
  <si>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</si>
  <si>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</si>
  <si>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</si>
  <si>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</si>
  <si>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</si>
  <si>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</si>
  <si>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</si>
  <si>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</si>
  <si>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</si>
  <si>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</si>
  <si>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</si>
  <si>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</si>
  <si>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</si>
  <si>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</si>
  <si>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</si>
  <si>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</si>
  <si>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</si>
  <si>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</si>
  <si>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</si>
  <si>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</si>
  <si>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</si>
  <si>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</si>
  <si>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</si>
  <si>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</si>
  <si>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</si>
  <si>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</si>
  <si>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</si>
  <si>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</si>
  <si>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</si>
  <si>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</si>
  <si>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</si>
  <si>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</si>
  <si>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</si>
  <si>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</si>
  <si>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</si>
  <si>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</si>
  <si>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</si>
  <si>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</si>
  <si>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</si>
  <si>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</si>
  <si>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</si>
  <si>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</si>
  <si>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</si>
  <si>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</si>
  <si>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</si>
  <si>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</si>
  <si>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</si>
  <si>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</si>
  <si>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</si>
  <si>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</si>
  <si>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</si>
  <si>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</si>
  <si>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</si>
  <si>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</si>
  <si>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</si>
  <si>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</si>
  <si>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</si>
  <si>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</si>
  <si>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</si>
  <si>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</si>
  <si>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</si>
  <si>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</si>
  <si>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</si>
  <si>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</si>
  <si>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</si>
  <si>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</si>
  <si>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</si>
  <si>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</si>
  <si>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</si>
  <si>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</si>
  <si>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</si>
  <si>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</si>
  <si>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</si>
  <si>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</si>
  <si>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</si>
  <si>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</si>
  <si>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</si>
  <si>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</si>
  <si>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</si>
  <si>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</si>
  <si>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</si>
  <si>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</si>
  <si>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</si>
  <si>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</si>
  <si>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</si>
  <si>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</si>
  <si>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</si>
  <si>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</si>
  <si>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</si>
  <si>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</si>
  <si>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</si>
  <si>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</si>
  <si>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</si>
  <si>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</si>
  <si>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</si>
  <si>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</si>
  <si>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</si>
  <si>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</si>
  <si>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</si>
  <si>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</si>
  <si>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</si>
  <si>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</si>
  <si>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</si>
  <si>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</si>
  <si>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</si>
  <si>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</si>
  <si>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</si>
  <si>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</si>
  <si>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</si>
  <si>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</si>
  <si>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</si>
  <si>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</si>
  <si>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</si>
  <si>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</si>
  <si>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</si>
  <si>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</si>
  <si>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</si>
  <si>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</si>
  <si>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</si>
  <si>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</si>
  <si>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</si>
  <si>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</si>
  <si>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</si>
  <si>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</si>
  <si>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</si>
  <si>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</si>
  <si>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</si>
  <si>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</si>
  <si>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</si>
  <si>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</si>
  <si>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</si>
  <si>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</si>
  <si>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</si>
  <si>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</si>
  <si>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</si>
  <si>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</si>
  <si>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</si>
  <si>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</si>
  <si>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</si>
  <si>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</si>
  <si>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</si>
  <si>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</si>
  <si>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</si>
  <si>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</si>
  <si>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</si>
  <si>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</si>
  <si>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</si>
  <si>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</si>
  <si>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</si>
  <si>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</si>
  <si>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</si>
  <si>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</si>
  <si>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</si>
  <si>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</si>
  <si>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</si>
  <si>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</si>
  <si>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</si>
  <si>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</si>
  <si>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</si>
  <si>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</si>
  <si>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</si>
  <si>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</si>
  <si>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</si>
  <si>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</si>
  <si>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</si>
  <si>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</si>
  <si>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</si>
  <si>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</si>
  <si>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</si>
  <si>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</si>
  <si>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</si>
  <si>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</si>
  <si>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</si>
  <si>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</si>
  <si>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</si>
  <si>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</si>
  <si>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</si>
  <si>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</si>
  <si>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</si>
  <si>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</si>
  <si>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</si>
  <si>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</si>
  <si>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</si>
  <si>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</si>
  <si>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</si>
  <si>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</si>
  <si>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</si>
  <si>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</si>
  <si>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</si>
  <si>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</si>
  <si>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</si>
  <si>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</si>
  <si>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</si>
  <si>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</si>
  <si>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</si>
  <si>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</si>
  <si>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</si>
  <si>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</si>
  <si>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</si>
  <si>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</si>
  <si>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</si>
  <si>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</si>
  <si>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</si>
  <si>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</si>
  <si>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</si>
  <si>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</si>
  <si>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</si>
  <si>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</si>
  <si>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</si>
  <si>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</si>
  <si>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</si>
  <si>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</si>
  <si>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</si>
  <si>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</si>
  <si>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</si>
  <si>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</si>
  <si>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</si>
  <si>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</si>
  <si>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</si>
  <si>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</si>
  <si>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</si>
  <si>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</si>
  <si>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</si>
  <si>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</si>
  <si>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</si>
  <si>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</si>
  <si>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</si>
  <si>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</si>
  <si>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</si>
  <si>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</si>
  <si>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</si>
  <si>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</si>
  <si>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</si>
  <si>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</si>
  <si>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</si>
  <si>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</si>
  <si>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</si>
  <si>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</si>
  <si>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</si>
  <si>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</si>
  <si>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</si>
  <si>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</si>
  <si>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</si>
  <si>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</si>
  <si>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</si>
  <si>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</si>
  <si>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</si>
  <si>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</si>
  <si>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</si>
  <si>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</si>
  <si>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</si>
  <si>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</si>
  <si>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</si>
  <si>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</si>
  <si>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</si>
  <si>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</si>
  <si>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</si>
  <si>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</si>
  <si>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</si>
  <si>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</si>
  <si>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</si>
  <si>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</si>
  <si>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</si>
  <si>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</si>
  <si>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</si>
  <si>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</si>
  <si>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</si>
  <si>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</si>
  <si>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</si>
  <si>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</si>
  <si>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</si>
  <si>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</si>
  <si>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</si>
  <si>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</si>
  <si>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</si>
  <si>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</si>
  <si>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</si>
  <si>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</si>
  <si>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</si>
  <si>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</si>
  <si>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</si>
  <si>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</si>
  <si>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</si>
  <si>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</si>
  <si>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</si>
  <si>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</si>
  <si>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</si>
  <si>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</si>
  <si>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</si>
  <si>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</si>
  <si>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</si>
  <si>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</si>
  <si>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</si>
  <si>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</si>
  <si>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</si>
  <si>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</si>
  <si>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</si>
  <si>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</si>
  <si>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</si>
  <si>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</si>
  <si>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</si>
  <si>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</si>
  <si>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</si>
  <si>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</si>
  <si>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</si>
  <si>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</si>
  <si>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</si>
  <si>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</si>
  <si>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</si>
  <si>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</si>
  <si>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</si>
  <si>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</si>
  <si>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</si>
  <si>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</si>
  <si>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</si>
  <si>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</si>
  <si>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</si>
  <si>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</si>
  <si>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</si>
  <si>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</si>
  <si>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</si>
  <si>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</si>
  <si>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</si>
  <si>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</si>
  <si>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</si>
  <si>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</si>
  <si>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</si>
  <si>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</si>
  <si>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</si>
  <si>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</si>
  <si>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</si>
  <si>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</si>
  <si>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</si>
  <si>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</si>
  <si>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</si>
  <si>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</si>
  <si>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</si>
  <si>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</si>
  <si>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</si>
  <si>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</si>
  <si>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</si>
  <si>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</si>
  <si>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</si>
  <si>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</si>
  <si>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</si>
  <si>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</si>
  <si>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</si>
  <si>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</si>
  <si>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</si>
  <si>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</si>
  <si>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</si>
  <si>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</si>
  <si>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</si>
  <si>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</si>
  <si>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</si>
  <si>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</si>
  <si>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</si>
  <si>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</si>
  <si>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</si>
  <si>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</si>
  <si>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</si>
  <si>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</si>
  <si>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</si>
  <si>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</si>
  <si>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</si>
  <si>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</si>
  <si>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</si>
  <si>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</si>
  <si>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</si>
  <si>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</si>
  <si>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</si>
  <si>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</si>
  <si>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</si>
  <si>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</si>
  <si>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</si>
  <si>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</si>
  <si>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</si>
  <si>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</si>
  <si>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</si>
  <si>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</si>
  <si>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</si>
  <si>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</si>
  <si>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</si>
  <si>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</si>
  <si>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</si>
  <si>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</si>
  <si>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</si>
  <si>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</si>
  <si>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</si>
  <si>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</si>
  <si>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</si>
  <si>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</si>
  <si>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</si>
  <si>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</si>
  <si>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</si>
  <si>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</si>
  <si>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</si>
  <si>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</si>
  <si>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</si>
  <si>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</si>
  <si>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</si>
  <si>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</si>
  <si>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</si>
  <si>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</si>
  <si>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</si>
  <si>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</si>
  <si>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</si>
  <si>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</si>
  <si>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</si>
  <si>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</si>
  <si>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</si>
  <si>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</si>
  <si>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</si>
  <si>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</si>
  <si>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</si>
  <si>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</si>
  <si>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</si>
  <si>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</si>
  <si>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</si>
  <si>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</si>
  <si>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</si>
  <si>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</si>
  <si>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</si>
  <si>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</si>
  <si>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</si>
  <si>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</si>
  <si>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</si>
  <si>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</si>
  <si>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</si>
  <si>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</si>
  <si>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</si>
  <si>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</si>
  <si>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</si>
  <si>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</si>
  <si>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</si>
  <si>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</si>
  <si>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</si>
  <si>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</si>
  <si>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</si>
  <si>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</si>
  <si>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</si>
  <si>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</si>
  <si>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</si>
  <si>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</si>
  <si>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</si>
  <si>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</si>
  <si>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</si>
  <si>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</si>
  <si>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</si>
  <si>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</si>
  <si>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</si>
  <si>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</si>
  <si>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</si>
  <si>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</si>
  <si>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</si>
  <si>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</si>
  <si>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</si>
  <si>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</si>
  <si>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</si>
  <si>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</si>
  <si>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</si>
  <si>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</si>
  <si>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</si>
  <si>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</si>
  <si>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</si>
  <si>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</si>
  <si>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</si>
  <si>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</si>
  <si>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</si>
  <si>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</si>
  <si>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</si>
  <si>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</si>
  <si>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</si>
  <si>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</si>
  <si>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</si>
  <si>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</si>
  <si>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</si>
  <si>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</si>
  <si>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</si>
  <si>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</si>
  <si>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</si>
  <si>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</si>
  <si>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</si>
  <si>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</si>
  <si>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</si>
  <si>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</si>
  <si>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</si>
  <si>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</si>
  <si>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</si>
  <si>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</si>
  <si>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</si>
  <si>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</si>
  <si>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</si>
  <si>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</si>
  <si>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</si>
  <si>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</si>
  <si>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</si>
  <si>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</si>
  <si>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</si>
  <si>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</si>
  <si>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</si>
  <si>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</si>
  <si>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</si>
  <si>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</si>
  <si>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</si>
  <si>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</si>
  <si>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</si>
  <si>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</si>
  <si>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</si>
  <si>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</si>
  <si>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</si>
  <si>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</si>
  <si>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</si>
  <si>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</si>
  <si>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</si>
  <si>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</si>
  <si>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</si>
  <si>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</si>
  <si>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</si>
  <si>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</si>
  <si>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</si>
  <si>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</si>
  <si>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</si>
  <si>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</si>
  <si>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</si>
  <si>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</si>
  <si>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</si>
  <si>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</si>
  <si>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</si>
  <si>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</si>
  <si>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</si>
  <si>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</si>
  <si>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</si>
  <si>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</si>
  <si>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</si>
  <si>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</si>
  <si>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</si>
  <si>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</si>
  <si>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</si>
  <si>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</si>
  <si>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</si>
  <si>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</si>
  <si>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</si>
  <si>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</si>
  <si>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</si>
  <si>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</si>
  <si>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</si>
  <si>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</si>
  <si>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</si>
  <si>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</si>
  <si>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</si>
  <si>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</si>
  <si>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</si>
  <si>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</si>
  <si>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</si>
  <si>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</si>
  <si>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</si>
  <si>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</si>
  <si>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</si>
  <si>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</si>
  <si>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</si>
  <si>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</si>
  <si>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</si>
  <si>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</si>
  <si>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</si>
  <si>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</si>
  <si>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</si>
  <si>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</si>
  <si>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</si>
  <si>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</si>
  <si>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</si>
  <si>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</si>
  <si>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</si>
  <si>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</si>
  <si>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</si>
  <si>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</si>
  <si>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</si>
  <si>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</si>
  <si>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</si>
  <si>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</si>
  <si>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</si>
  <si>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</si>
  <si>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</si>
  <si>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</si>
  <si>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</si>
  <si>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</si>
  <si>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</si>
  <si>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</si>
  <si>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</si>
  <si>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</si>
  <si>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</si>
  <si>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</si>
  <si>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</si>
  <si>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</si>
  <si>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</si>
  <si>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</si>
  <si>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</si>
  <si>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</si>
  <si>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</si>
  <si>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</si>
  <si>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</si>
  <si>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</si>
  <si>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</si>
  <si>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</si>
  <si>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</si>
  <si>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</si>
  <si>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</si>
  <si>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</si>
  <si>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</si>
  <si>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</si>
  <si>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</si>
  <si>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</si>
  <si>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</si>
  <si>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</si>
  <si>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</si>
  <si>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</si>
  <si>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</si>
  <si>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</si>
  <si>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</si>
  <si>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</si>
  <si>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</si>
  <si>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</si>
  <si>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</si>
  <si>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</si>
  <si>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</si>
  <si>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</si>
  <si>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</si>
  <si>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</si>
  <si>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</si>
  <si>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</si>
  <si>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</si>
  <si>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</si>
  <si>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</si>
  <si>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</si>
  <si>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</si>
  <si>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</si>
  <si>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</si>
  <si>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</si>
  <si>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</si>
  <si>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</si>
  <si>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</si>
  <si>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</si>
  <si>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</si>
  <si>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</si>
  <si>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</si>
  <si>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</si>
  <si>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</si>
  <si>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</si>
  <si>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</si>
  <si>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</si>
  <si>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</si>
  <si>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</si>
  <si>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</si>
  <si>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</si>
  <si>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</si>
  <si>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</si>
  <si>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</si>
  <si>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</si>
  <si>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</si>
  <si>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</si>
  <si>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</si>
  <si>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</si>
  <si>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</si>
  <si>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</si>
  <si>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</si>
  <si>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</si>
  <si>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</si>
  <si>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</si>
  <si>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</si>
  <si>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</si>
  <si>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</si>
  <si>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</si>
  <si>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</si>
  <si>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</si>
  <si>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</si>
  <si>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</si>
  <si>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</si>
  <si>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</si>
  <si>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</si>
  <si>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</si>
  <si>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</si>
  <si>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</si>
  <si>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</si>
  <si>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</si>
  <si>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</si>
  <si>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</si>
  <si>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</si>
  <si>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</si>
  <si>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</si>
  <si>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</si>
  <si>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</si>
  <si>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</si>
  <si>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</si>
  <si>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</si>
  <si>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</si>
  <si>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</si>
  <si>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</si>
  <si>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</si>
  <si>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</si>
  <si>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</si>
  <si>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</si>
  <si>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</si>
  <si>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</si>
  <si>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</si>
  <si>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</si>
  <si>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</si>
  <si>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</si>
  <si>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</si>
  <si>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</si>
  <si>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</si>
  <si>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</si>
  <si>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</si>
  <si>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</si>
  <si>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</si>
  <si>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</si>
  <si>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</si>
  <si>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</si>
  <si>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</si>
  <si>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</si>
  <si>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</si>
  <si>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</si>
  <si>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</si>
  <si>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</si>
  <si>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</si>
  <si>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</si>
  <si>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</si>
  <si>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</si>
  <si>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</si>
  <si>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</si>
  <si>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</si>
  <si>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</si>
  <si>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</si>
  <si>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</si>
  <si>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</si>
  <si>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</si>
  <si>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</si>
  <si>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</si>
  <si>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</si>
  <si>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</si>
  <si>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</si>
  <si>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</si>
  <si>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</si>
  <si>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</si>
  <si>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</si>
  <si>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</si>
  <si>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</si>
  <si>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</si>
  <si>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</si>
  <si>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</si>
  <si>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</si>
  <si>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</si>
  <si>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</si>
  <si>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</si>
  <si>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</si>
  <si>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</si>
  <si>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</si>
  <si>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</si>
  <si>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</si>
  <si>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</si>
  <si>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</si>
  <si>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</si>
  <si>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</si>
  <si>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</si>
  <si>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</si>
  <si>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</si>
  <si>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</si>
  <si>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</si>
  <si>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</si>
  <si>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</si>
  <si>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</si>
  <si>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</si>
  <si>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</si>
  <si>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</si>
  <si>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</si>
  <si>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</si>
  <si>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</si>
  <si>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</si>
  <si>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</si>
  <si>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</si>
  <si>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</si>
  <si>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</si>
  <si>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</si>
  <si>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</si>
  <si>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</si>
  <si>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</si>
  <si>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</si>
  <si>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</si>
  <si>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</si>
  <si>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</si>
  <si>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</si>
  <si>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</si>
  <si>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</si>
  <si>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</si>
  <si>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</si>
  <si>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</si>
  <si>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</si>
  <si>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</si>
  <si>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</si>
  <si>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</si>
  <si>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</si>
  <si>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</si>
  <si>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</si>
  <si>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</si>
  <si>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</si>
  <si>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</si>
  <si>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</si>
  <si>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</si>
  <si>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</si>
  <si>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</si>
  <si>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</si>
  <si>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</si>
  <si>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</si>
  <si>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</si>
  <si>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</si>
  <si>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</si>
  <si>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</si>
  <si>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</si>
  <si>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</si>
  <si>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</si>
  <si>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</si>
  <si>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</si>
  <si>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</si>
  <si>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</si>
  <si>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</si>
  <si>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</si>
  <si>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</si>
  <si>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</si>
  <si>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</si>
  <si>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</si>
  <si>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</si>
  <si>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</si>
  <si>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</si>
  <si>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</si>
  <si>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</si>
  <si>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</si>
  <si>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</si>
  <si>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</si>
  <si>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</si>
  <si>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</si>
  <si>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</si>
  <si>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</si>
  <si>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</si>
  <si>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</si>
  <si>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</si>
  <si>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</si>
  <si>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</si>
  <si>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</si>
  <si>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</si>
  <si>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</si>
  <si>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</si>
  <si>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</si>
  <si>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</si>
  <si>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</si>
  <si>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</si>
  <si>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</si>
  <si>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</si>
  <si>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</si>
  <si>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</si>
  <si>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</si>
  <si>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</si>
  <si>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</si>
  <si>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</si>
  <si>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</si>
  <si>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</si>
  <si>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</si>
  <si>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</si>
  <si>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</si>
  <si>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</si>
  <si>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</si>
  <si>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</si>
  <si>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</si>
  <si>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</si>
  <si>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</si>
  <si>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</si>
  <si>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</si>
  <si>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</si>
  <si>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</si>
  <si>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</si>
  <si>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Prepaid HealthTrust invoice</t>
  </si>
  <si>
    <t>General Fund Beginning Balance does not tie to FY22 ending balance due to a double counted tuition revenue of $15,961.62</t>
  </si>
  <si>
    <t>This amount was inculded in both lines 4.4.3190 and 2.5.1311</t>
  </si>
  <si>
    <t>Other revenue of $405,149 encompases the following:</t>
  </si>
  <si>
    <t>1. $385,381 for the retirement rebate from the state</t>
  </si>
  <si>
    <t>2. $19,768 for the phase out of the RSA 194-F:10. This was recorded under 3190 per Mark's email dated 10/3/22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</si>
</sst>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1435</v>
      </c>
      <c r="B2">
        <f>INDEX('School Tables'!$AH$3:$AH$209,MATCH('DOE25'!A2,'School Tables'!$AJ$3:$AJ$209,0))</f>
        <v>534</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7201098.64+1831</f>
        <v>7202929.6399999997</v>
      </c>
      <c r="G9" s="18">
        <f>-63681.61+74929+550</f>
        <v>11797.39</v>
      </c>
      <c r="H9" s="18">
        <v>59274.32</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99289.78</v>
      </c>
      <c r="G12" s="18">
        <v>319615.06</v>
      </c>
      <c r="H12" s="18"/>
      <c r="I12" s="18"/>
      <c r="J12" s="13">
        <f>SUM(I442)</f>
        <v>40594.89</v>
      </c>
      <c r="K12" s="23" t="s">
        <v>288</v>
      </c>
      <c r="L12" s="23" t="s">
        <v>288</v>
      </c>
      <c r="M12" s="8"/>
      <c r="N12" s="165"/>
    </row>
    <row r="13" spans="1:14" s="3" customFormat="1" ht="12.2" customHeight="1" x14ac:dyDescent="0.15">
      <c r="A13" s="1" t="s">
        <v>604</v>
      </c>
      <c r="B13" s="2" t="s">
        <v>289</v>
      </c>
      <c r="C13" s="6">
        <v>5</v>
      </c>
      <c r="D13" s="2" t="s">
        <v>428</v>
      </c>
      <c r="E13" s="6">
        <v>140</v>
      </c>
      <c r="F13" s="18">
        <v>14191.46</v>
      </c>
      <c r="G13" s="18">
        <v>80174.25</v>
      </c>
      <c r="H13" s="18">
        <v>431236.57</v>
      </c>
      <c r="I13" s="18"/>
      <c r="J13" s="13">
        <f>SUM(I443)</f>
        <v>1740293.74</v>
      </c>
      <c r="K13" s="23" t="s">
        <v>288</v>
      </c>
      <c r="L13" s="23" t="s">
        <v>288</v>
      </c>
      <c r="M13" s="8"/>
      <c r="N13" s="165"/>
    </row>
    <row r="14" spans="1:14" s="3" customFormat="1" ht="12.2" customHeight="1" x14ac:dyDescent="0.15">
      <c r="A14" s="1" t="s">
        <v>565</v>
      </c>
      <c r="B14" s="2" t="s">
        <v>289</v>
      </c>
      <c r="C14" s="6">
        <v>6</v>
      </c>
      <c r="D14" s="2" t="s">
        <v>428</v>
      </c>
      <c r="E14" s="6">
        <v>150</v>
      </c>
      <c r="F14" s="18">
        <v>4475.38</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35439.57</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1461815.24</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8782701.5</v>
      </c>
      <c r="G19" s="38">
        <f>SUM(G9:G18)</f>
        <v>447026.27</v>
      </c>
      <c r="H19" s="38">
        <f>SUM(H9:H18)</f>
        <v>490510.89</v>
      </c>
      <c r="I19" s="38">
        <f>SUM(I9:I18)</f>
        <v>0</v>
      </c>
      <c r="J19" s="38">
        <f>SUM(J9:J18)</f>
        <v>1780888.63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f>417071.67+50638.94-8210.88</f>
        <v>459499.73</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3216109.42</v>
      </c>
      <c r="G24" s="18">
        <v>74929</v>
      </c>
      <c r="H24" s="18">
        <v>8635.3799999999992</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150990.67000000001</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167990.16</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152344</v>
      </c>
      <c r="G30" s="18">
        <v>41389.769999999997</v>
      </c>
      <c r="H30" s="18">
        <f>14164.9+8210.88</f>
        <v>22375.78</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22208.06</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3709642.31</v>
      </c>
      <c r="G32" s="38">
        <f>SUM(G22:G31)</f>
        <v>116318.76999999999</v>
      </c>
      <c r="H32" s="38">
        <f>SUM(H22:H31)</f>
        <v>490510.89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1461815</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500000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f>379613.75+1439496.42-1488402.67</f>
        <v>330707.5</v>
      </c>
      <c r="H45" s="18"/>
      <c r="I45" s="18"/>
      <c r="J45" s="13">
        <f>I456</f>
        <v>0</v>
      </c>
      <c r="K45" s="23" t="s">
        <v>288</v>
      </c>
      <c r="L45" s="23" t="s">
        <v>288</v>
      </c>
      <c r="M45" s="8"/>
      <c r="N45" s="165"/>
    </row>
    <row r="46" spans="1:14" s="3" customFormat="1" ht="12.2" customHeight="1" x14ac:dyDescent="0.15">
      <c r="A46" s="1" t="s">
        <v>873</v>
      </c>
      <c r="B46" s="6">
        <v>1</v>
      </c>
      <c r="C46" s="6">
        <v>32</v>
      </c>
      <c r="D46" s="2"/>
      <c r="E46" s="6"/>
      <c r="F46" s="18">
        <v>500000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1780888.63</v>
      </c>
      <c r="K48" s="23" t="s">
        <v>288</v>
      </c>
      <c r="L48" s="23" t="s">
        <v>288</v>
      </c>
      <c r="M48" s="8"/>
      <c r="N48" s="165"/>
    </row>
    <row r="49" spans="1:14" s="3" customFormat="1" ht="12.2" customHeight="1" x14ac:dyDescent="0.15">
      <c r="A49" s="1" t="s">
        <v>858</v>
      </c>
      <c r="B49" s="2" t="s">
        <v>289</v>
      </c>
      <c r="C49" s="6">
        <v>34</v>
      </c>
      <c r="D49" s="2"/>
      <c r="E49" s="6">
        <v>753</v>
      </c>
      <c r="F49" s="18">
        <v>1002535.63</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1608708.56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5073059.1899999995</v>
      </c>
      <c r="G51" s="38">
        <f>SUM(G35:G50)</f>
        <v>330707.5</v>
      </c>
      <c r="H51" s="38">
        <f>SUM(H35:H50)</f>
        <v>0</v>
      </c>
      <c r="I51" s="38">
        <f>SUM(I35:I50)</f>
        <v>0</v>
      </c>
      <c r="J51" s="38">
        <f>SUM(J35:J50)</f>
        <v>1780888.63</v>
      </c>
      <c r="K51" s="42" t="s">
        <v>288</v>
      </c>
      <c r="L51" s="42" t="s">
        <v>288</v>
      </c>
      <c r="N51" s="131"/>
    </row>
    <row r="52" spans="1:14" s="3" customFormat="1" ht="12.2" customHeight="1" thickTop="1" x14ac:dyDescent="0.15">
      <c r="A52" s="35" t="s">
        <v>455</v>
      </c>
      <c r="B52" s="36" t="s">
        <v>289</v>
      </c>
      <c r="C52" s="6">
        <v>37</v>
      </c>
      <c r="D52" s="36" t="s">
        <v>653</v>
      </c>
      <c r="E52" s="36"/>
      <c r="F52" s="38">
        <f>F51+F32</f>
        <v>8782701.5</v>
      </c>
      <c r="G52" s="38">
        <f>G51+G32</f>
        <v>447026.27</v>
      </c>
      <c r="H52" s="38">
        <f>H51+H32</f>
        <v>490510.89</v>
      </c>
      <c r="I52" s="38">
        <f>I51+I32</f>
        <v>0</v>
      </c>
      <c r="J52" s="38">
        <f>J51+J32</f>
        <v>1780888.63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13101825+8078220+16292474+14151438-3</f>
        <v>51623954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51623954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779265.39</f>
        <v>779265.39</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779265.39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268286.15000000002</v>
      </c>
      <c r="G96" s="18"/>
      <c r="H96" s="18">
        <v>401.99</v>
      </c>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f>707920.3+54815+186178.78+32837.05+17004.76</f>
        <v>998755.89000000013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v>52857.5</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v>471540.28</v>
      </c>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237873.56+3</f>
        <v>237876.56</v>
      </c>
      <c r="G110" s="18"/>
      <c r="H110" s="18">
        <f>67971.5-52857.5-262.9</f>
        <v>14851.1</v>
      </c>
      <c r="I110" s="18"/>
      <c r="J110" s="18">
        <v>17624.900000000001</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506162.71</v>
      </c>
      <c r="G111" s="38">
        <f>SUM(G96:G110)</f>
        <v>998755.89000000013</v>
      </c>
      <c r="H111" s="38">
        <f>SUM(H96:H110)</f>
        <v>68110.59</v>
      </c>
      <c r="I111" s="38">
        <f>SUM(I96:I110)</f>
        <v>0</v>
      </c>
      <c r="J111" s="38">
        <f>SUM(J96:J110)</f>
        <v>489165.18000000005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52909382.100000001</v>
      </c>
      <c r="G112" s="38">
        <f>G60+G111</f>
        <v>998755.89000000013</v>
      </c>
      <c r="H112" s="38">
        <f>H60+H79+H94+H111</f>
        <v>68110.59</v>
      </c>
      <c r="I112" s="38">
        <f>I60+I111</f>
        <v>0</v>
      </c>
      <c r="J112" s="38">
        <f>J60+J111</f>
        <v>489165.18000000005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11828332.609999999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4822836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405149.09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17056317.699999999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611617.04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31835</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18665.66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643452.04</v>
      </c>
      <c r="G136" s="38">
        <f>SUM(G123:G135)</f>
        <v>18665.66</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17699769.739999998</v>
      </c>
      <c r="G140" s="38">
        <f>G121+SUM(G136:G137)</f>
        <v>18665.66</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16334.02</v>
      </c>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16334.02</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121501.01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123210.31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422074.87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980521.59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446701.66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174159.55</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285617.16+472583.05</f>
        <v>758200.21</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446701.66</v>
      </c>
      <c r="G163" s="38">
        <f>SUM(G150:G162)</f>
        <v>422074.87</v>
      </c>
      <c r="H163" s="38">
        <f>SUM(H150:H162)</f>
        <v>2157592.67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463035.68</v>
      </c>
      <c r="G170" s="38">
        <f>G147+G163+SUM(G164:G169)</f>
        <v>422074.87</v>
      </c>
      <c r="H170" s="38">
        <f>H147+H163+SUM(H164:H169)</f>
        <v>2157592.67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v>262.89999999999998</v>
      </c>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262.89999999999998</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262.89999999999998</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71072187.520000011</v>
      </c>
      <c r="G194" s="38">
        <f>G112+G140+G170+G193</f>
        <v>1439496.4200000002</v>
      </c>
      <c r="H194" s="38">
        <f>H112+H140+H170+H193</f>
        <v>2225966.1599999997</v>
      </c>
      <c r="I194" s="38">
        <f>I112+I140+I170+I193</f>
        <v>0</v>
      </c>
      <c r="J194" s="38">
        <f>J112+J140+J193</f>
        <v>489165.18000000005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8059052.3799999999</v>
      </c>
      <c r="G198" s="18">
        <v>4684550.68</v>
      </c>
      <c r="H198" s="18">
        <v>79401.399999999994</v>
      </c>
      <c r="I198" s="18">
        <v>434718.87</v>
      </c>
      <c r="J198" s="18">
        <v>234753.18</v>
      </c>
      <c r="K198" s="18">
        <v>25</v>
      </c>
      <c r="L198" s="13">
        <f>SUM(F198:K198)</f>
        <v>13492501.509999998</v>
      </c>
      <c r="M198" s="8"/>
      <c r="N198" s="165"/>
    </row>
    <row r="199" spans="1:14" s="3" customFormat="1" ht="12.2" customHeight="1" x14ac:dyDescent="0.15">
      <c r="A199" s="1" t="s">
        <v>439</v>
      </c>
      <c r="B199" s="2" t="s">
        <v>341</v>
      </c>
      <c r="C199" s="2" t="s">
        <v>291</v>
      </c>
      <c r="D199" s="2" t="s">
        <v>431</v>
      </c>
      <c r="E199" s="6">
        <v>1200</v>
      </c>
      <c r="F199" s="18">
        <v>2305016.62</v>
      </c>
      <c r="G199" s="18">
        <v>1339855.69</v>
      </c>
      <c r="H199" s="18">
        <v>828134.81</v>
      </c>
      <c r="I199" s="18">
        <v>71154.22</v>
      </c>
      <c r="J199" s="18">
        <v>12974.79</v>
      </c>
      <c r="K199" s="18">
        <v>179.54</v>
      </c>
      <c r="L199" s="13">
        <f>SUM(F199:K199)</f>
        <v>4557315.67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91587.39</v>
      </c>
      <c r="G201" s="18">
        <v>53237.74</v>
      </c>
      <c r="H201" s="18">
        <v>4966.1899999999996</v>
      </c>
      <c r="I201" s="18">
        <v>8742.4699999999993</v>
      </c>
      <c r="J201" s="18"/>
      <c r="K201" s="18">
        <v>9796.82</v>
      </c>
      <c r="L201" s="13">
        <f>SUM(F201:K201)</f>
        <v>168330.61000000002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1187810.07</v>
      </c>
      <c r="G203" s="18">
        <v>690447.98</v>
      </c>
      <c r="H203" s="18">
        <v>70768.429999999993</v>
      </c>
      <c r="I203" s="18">
        <v>19762.349999999999</v>
      </c>
      <c r="J203" s="18">
        <v>15063.71</v>
      </c>
      <c r="K203" s="18"/>
      <c r="L203" s="13">
        <f t="shared" ref="L203:L209" si="0">SUM(F203:K203)</f>
        <v>1983852.54</v>
      </c>
      <c r="M203" s="8"/>
      <c r="N203" s="165"/>
    </row>
    <row r="204" spans="1:14" s="3" customFormat="1" ht="12.2" customHeight="1" x14ac:dyDescent="0.15">
      <c r="A204" s="1" t="s">
        <v>443</v>
      </c>
      <c r="B204" s="2" t="s">
        <v>341</v>
      </c>
      <c r="C204" s="2" t="s">
        <v>295</v>
      </c>
      <c r="D204" s="2" t="s">
        <v>431</v>
      </c>
      <c r="E204" s="6">
        <v>2200</v>
      </c>
      <c r="F204" s="18">
        <v>429247.93</v>
      </c>
      <c r="G204" s="18">
        <v>292268.63</v>
      </c>
      <c r="H204" s="18">
        <v>43529.82</v>
      </c>
      <c r="I204" s="18">
        <v>75011.899999999994</v>
      </c>
      <c r="J204" s="18">
        <v>349.04</v>
      </c>
      <c r="K204" s="18"/>
      <c r="L204" s="13">
        <f t="shared" si="0"/>
        <v>840407.32000000007</v>
      </c>
      <c r="M204" s="8"/>
      <c r="N204" s="165"/>
    </row>
    <row r="205" spans="1:14" s="3" customFormat="1" ht="12.2" customHeight="1" x14ac:dyDescent="0.15">
      <c r="A205" s="1" t="s">
        <v>444</v>
      </c>
      <c r="B205" s="2" t="s">
        <v>341</v>
      </c>
      <c r="C205" s="2" t="s">
        <v>296</v>
      </c>
      <c r="D205" s="2" t="s">
        <v>431</v>
      </c>
      <c r="E205" s="6">
        <v>2300</v>
      </c>
      <c r="F205" s="18">
        <v>353876.76</v>
      </c>
      <c r="G205" s="18">
        <v>209177.28</v>
      </c>
      <c r="H205" s="18">
        <v>158385.32</v>
      </c>
      <c r="I205" s="18">
        <v>59658.9</v>
      </c>
      <c r="J205" s="18">
        <v>10624.85</v>
      </c>
      <c r="K205" s="18">
        <v>16275.67</v>
      </c>
      <c r="L205" s="13">
        <f t="shared" si="0"/>
        <v>807998.78000000014</v>
      </c>
      <c r="M205" s="8"/>
      <c r="N205" s="165"/>
    </row>
    <row r="206" spans="1:14" s="3" customFormat="1" ht="12.2" customHeight="1" x14ac:dyDescent="0.15">
      <c r="A206" s="1" t="s">
        <v>445</v>
      </c>
      <c r="B206" s="2" t="s">
        <v>341</v>
      </c>
      <c r="C206" s="2" t="s">
        <v>297</v>
      </c>
      <c r="D206" s="2" t="s">
        <v>431</v>
      </c>
      <c r="E206" s="6">
        <v>2400</v>
      </c>
      <c r="F206" s="18">
        <v>1449557.73</v>
      </c>
      <c r="G206" s="18">
        <v>842596.17</v>
      </c>
      <c r="H206" s="18">
        <v>38950.800000000003</v>
      </c>
      <c r="I206" s="18">
        <v>38322.35</v>
      </c>
      <c r="J206" s="18">
        <v>3616.65</v>
      </c>
      <c r="K206" s="18">
        <v>10191.450000000001</v>
      </c>
      <c r="L206" s="13">
        <f t="shared" si="0"/>
        <v>2383235.15</v>
      </c>
      <c r="M206" s="8"/>
      <c r="N206" s="165"/>
    </row>
    <row r="207" spans="1:14" s="3" customFormat="1" ht="12.2" customHeight="1" x14ac:dyDescent="0.15">
      <c r="A207" s="1" t="s">
        <v>446</v>
      </c>
      <c r="B207" s="2" t="s">
        <v>341</v>
      </c>
      <c r="C207" s="2" t="s">
        <v>298</v>
      </c>
      <c r="D207" s="2" t="s">
        <v>431</v>
      </c>
      <c r="E207" s="6">
        <v>2500</v>
      </c>
      <c r="F207" s="18">
        <v>185906.94</v>
      </c>
      <c r="G207" s="18">
        <v>108063.64</v>
      </c>
      <c r="H207" s="18">
        <v>17508.580000000002</v>
      </c>
      <c r="I207" s="18"/>
      <c r="J207" s="18"/>
      <c r="K207" s="18"/>
      <c r="L207" s="13">
        <f t="shared" si="0"/>
        <v>311479.16000000003</v>
      </c>
      <c r="M207" s="8"/>
      <c r="N207" s="165"/>
    </row>
    <row r="208" spans="1:14" s="3" customFormat="1" ht="12.2" customHeight="1" x14ac:dyDescent="0.15">
      <c r="A208" s="1" t="s">
        <v>447</v>
      </c>
      <c r="B208" s="2" t="s">
        <v>341</v>
      </c>
      <c r="C208" s="2" t="s">
        <v>299</v>
      </c>
      <c r="D208" s="2" t="s">
        <v>431</v>
      </c>
      <c r="E208" s="6">
        <v>2600</v>
      </c>
      <c r="F208" s="18">
        <v>984174.88</v>
      </c>
      <c r="G208" s="18">
        <v>581708.25</v>
      </c>
      <c r="H208" s="18">
        <v>495973.26</v>
      </c>
      <c r="I208" s="18">
        <v>637949.06999999995</v>
      </c>
      <c r="J208" s="18">
        <v>161614.82</v>
      </c>
      <c r="K208" s="18"/>
      <c r="L208" s="13">
        <f t="shared" si="0"/>
        <v>2861420.28</v>
      </c>
      <c r="M208" s="8"/>
      <c r="N208" s="165"/>
    </row>
    <row r="209" spans="1:14" s="3" customFormat="1" ht="12.2" customHeight="1" x14ac:dyDescent="0.15">
      <c r="A209" s="1" t="s">
        <v>448</v>
      </c>
      <c r="B209" s="2" t="s">
        <v>341</v>
      </c>
      <c r="C209" s="2" t="s">
        <v>300</v>
      </c>
      <c r="D209" s="2" t="s">
        <v>431</v>
      </c>
      <c r="E209" s="6">
        <v>2700</v>
      </c>
      <c r="F209" s="18"/>
      <c r="G209" s="18"/>
      <c r="H209" s="18">
        <v>1420196.05</v>
      </c>
      <c r="I209" s="18"/>
      <c r="J209" s="18"/>
      <c r="K209" s="18"/>
      <c r="L209" s="13">
        <f t="shared" si="0"/>
        <v>1420196.05</v>
      </c>
      <c r="M209" s="8"/>
      <c r="N209" s="165"/>
    </row>
    <row r="210" spans="1:14" s="3" customFormat="1" ht="12.2" customHeight="1" x14ac:dyDescent="0.15">
      <c r="A210" s="1" t="s">
        <v>449</v>
      </c>
      <c r="B210" s="2" t="s">
        <v>341</v>
      </c>
      <c r="C210" s="2" t="s">
        <v>343</v>
      </c>
      <c r="D210" s="2" t="s">
        <v>431</v>
      </c>
      <c r="E210" s="6">
        <v>2800</v>
      </c>
      <c r="F210" s="18">
        <v>192360.9</v>
      </c>
      <c r="G210" s="18">
        <v>111815.18</v>
      </c>
      <c r="H210" s="18">
        <v>30272.35</v>
      </c>
      <c r="I210" s="18">
        <v>115480.87</v>
      </c>
      <c r="J210" s="18">
        <v>10906.42</v>
      </c>
      <c r="K210" s="18">
        <v>44.89</v>
      </c>
      <c r="L210" s="13">
        <f>SUM(F210:K210)</f>
        <v>460880.60999999993</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15238591.600000001</v>
      </c>
      <c r="G212" s="38">
        <f t="shared" si="1"/>
        <v>8913721.2399999984</v>
      </c>
      <c r="H212" s="38">
        <f t="shared" si="1"/>
        <v>3188087.0100000002</v>
      </c>
      <c r="I212" s="38">
        <f t="shared" si="1"/>
        <v>1460801</v>
      </c>
      <c r="J212" s="38">
        <f t="shared" si="1"/>
        <v>449903.45999999996</v>
      </c>
      <c r="K212" s="38">
        <f t="shared" si="1"/>
        <v>36513.369999999995</v>
      </c>
      <c r="L212" s="38">
        <f t="shared" si="1"/>
        <v>29287617.68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4246050.7</v>
      </c>
      <c r="G216" s="18">
        <v>2468136.2999999998</v>
      </c>
      <c r="H216" s="18">
        <v>42819.76</v>
      </c>
      <c r="I216" s="18">
        <v>202901.26</v>
      </c>
      <c r="J216" s="18">
        <v>147936.21</v>
      </c>
      <c r="K216" s="18">
        <v>350</v>
      </c>
      <c r="L216" s="13">
        <f>SUM(F216:K216)</f>
        <v>7108194.2299999995</v>
      </c>
      <c r="M216" s="8"/>
      <c r="N216" s="165"/>
    </row>
    <row r="217" spans="1:14" s="3" customFormat="1" ht="12.2" customHeight="1" x14ac:dyDescent="0.15">
      <c r="A217" s="1" t="s">
        <v>439</v>
      </c>
      <c r="B217" s="2" t="s">
        <v>346</v>
      </c>
      <c r="C217" s="2" t="s">
        <v>291</v>
      </c>
      <c r="D217" s="2" t="s">
        <v>431</v>
      </c>
      <c r="E217" s="6">
        <v>1200</v>
      </c>
      <c r="F217" s="18">
        <v>1617408.13</v>
      </c>
      <c r="G217" s="18">
        <v>940163.93</v>
      </c>
      <c r="H217" s="18">
        <v>820787.49</v>
      </c>
      <c r="I217" s="18">
        <v>35722.61</v>
      </c>
      <c r="J217" s="18">
        <v>6513.93</v>
      </c>
      <c r="K217" s="18">
        <v>90.14</v>
      </c>
      <c r="L217" s="13">
        <f>SUM(F217:K217)</f>
        <v>3420686.23</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113552.05</v>
      </c>
      <c r="G219" s="18">
        <v>66005.320000000007</v>
      </c>
      <c r="H219" s="18">
        <v>20109.25</v>
      </c>
      <c r="I219" s="18">
        <v>17296.650000000001</v>
      </c>
      <c r="J219" s="18">
        <v>906.99</v>
      </c>
      <c r="K219" s="18">
        <v>6038.44</v>
      </c>
      <c r="L219" s="13">
        <f>SUM(F219:K219)</f>
        <v>223908.69999999998</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758303.9</v>
      </c>
      <c r="G221" s="18">
        <v>440785.45</v>
      </c>
      <c r="H221" s="18">
        <v>42929.13</v>
      </c>
      <c r="I221" s="18">
        <v>9921.59</v>
      </c>
      <c r="J221" s="18">
        <v>7140.98</v>
      </c>
      <c r="K221" s="18">
        <v>0</v>
      </c>
      <c r="L221" s="13">
        <f t="shared" ref="L221:L227" si="2">SUM(F221:K221)</f>
        <v>1259081.05</v>
      </c>
      <c r="M221" s="8"/>
      <c r="N221" s="165"/>
    </row>
    <row r="222" spans="1:14" s="3" customFormat="1" ht="12.2" customHeight="1" x14ac:dyDescent="0.15">
      <c r="A222" s="1" t="s">
        <v>443</v>
      </c>
      <c r="B222" s="2" t="s">
        <v>346</v>
      </c>
      <c r="C222" s="2" t="s">
        <v>295</v>
      </c>
      <c r="D222" s="2" t="s">
        <v>431</v>
      </c>
      <c r="E222" s="6">
        <v>2200</v>
      </c>
      <c r="F222" s="18">
        <v>166699.67000000001</v>
      </c>
      <c r="G222" s="18">
        <v>118364.4</v>
      </c>
      <c r="H222" s="18">
        <v>21191.5</v>
      </c>
      <c r="I222" s="18">
        <v>37180.6</v>
      </c>
      <c r="J222" s="18">
        <v>1123</v>
      </c>
      <c r="K222" s="18">
        <v>0</v>
      </c>
      <c r="L222" s="13">
        <f t="shared" si="2"/>
        <v>344559.17</v>
      </c>
      <c r="M222" s="8"/>
      <c r="N222" s="165"/>
    </row>
    <row r="223" spans="1:14" s="3" customFormat="1" ht="12.2" customHeight="1" x14ac:dyDescent="0.15">
      <c r="A223" s="1" t="s">
        <v>444</v>
      </c>
      <c r="B223" s="2" t="s">
        <v>346</v>
      </c>
      <c r="C223" s="2" t="s">
        <v>296</v>
      </c>
      <c r="D223" s="2" t="s">
        <v>431</v>
      </c>
      <c r="E223" s="6">
        <v>2300</v>
      </c>
      <c r="F223" s="18">
        <v>177662</v>
      </c>
      <c r="G223" s="18">
        <v>105016.37</v>
      </c>
      <c r="H223" s="18">
        <v>79516.53</v>
      </c>
      <c r="I223" s="18">
        <v>29951.439999999999</v>
      </c>
      <c r="J223" s="18">
        <v>5334.15</v>
      </c>
      <c r="K223" s="18">
        <v>8171.12</v>
      </c>
      <c r="L223" s="13">
        <f t="shared" si="2"/>
        <v>405651.61000000004</v>
      </c>
      <c r="M223" s="8"/>
      <c r="N223" s="165"/>
    </row>
    <row r="224" spans="1:14" s="3" customFormat="1" ht="12.2" customHeight="1" x14ac:dyDescent="0.15">
      <c r="A224" s="1" t="s">
        <v>445</v>
      </c>
      <c r="B224" s="2" t="s">
        <v>346</v>
      </c>
      <c r="C224" s="2" t="s">
        <v>297</v>
      </c>
      <c r="D224" s="2" t="s">
        <v>431</v>
      </c>
      <c r="E224" s="6">
        <v>2400</v>
      </c>
      <c r="F224" s="18">
        <v>580665.80000000005</v>
      </c>
      <c r="G224" s="18">
        <v>337528.32000000001</v>
      </c>
      <c r="H224" s="18">
        <v>9370.35</v>
      </c>
      <c r="I224" s="18">
        <v>44123.450000000004</v>
      </c>
      <c r="J224" s="18">
        <v>4210.62</v>
      </c>
      <c r="K224" s="18">
        <v>5245.57</v>
      </c>
      <c r="L224" s="13">
        <f t="shared" si="2"/>
        <v>981144.11</v>
      </c>
      <c r="M224" s="8"/>
      <c r="N224" s="165"/>
    </row>
    <row r="225" spans="1:14" s="3" customFormat="1" ht="12.2" customHeight="1" x14ac:dyDescent="0.15">
      <c r="A225" s="1" t="s">
        <v>446</v>
      </c>
      <c r="B225" s="2" t="s">
        <v>346</v>
      </c>
      <c r="C225" s="2" t="s">
        <v>298</v>
      </c>
      <c r="D225" s="2" t="s">
        <v>431</v>
      </c>
      <c r="E225" s="6">
        <v>2500</v>
      </c>
      <c r="F225" s="18">
        <v>93333.62</v>
      </c>
      <c r="G225" s="18">
        <v>54252.79</v>
      </c>
      <c r="H225" s="18">
        <v>8790.09</v>
      </c>
      <c r="I225" s="18"/>
      <c r="J225" s="18">
        <v>0</v>
      </c>
      <c r="K225" s="18">
        <v>0</v>
      </c>
      <c r="L225" s="13">
        <f t="shared" si="2"/>
        <v>156376.5</v>
      </c>
      <c r="M225" s="8"/>
      <c r="N225" s="165"/>
    </row>
    <row r="226" spans="1:14" s="3" customFormat="1" ht="12.2" customHeight="1" x14ac:dyDescent="0.15">
      <c r="A226" s="1" t="s">
        <v>447</v>
      </c>
      <c r="B226" s="2" t="s">
        <v>346</v>
      </c>
      <c r="C226" s="2" t="s">
        <v>299</v>
      </c>
      <c r="D226" s="2" t="s">
        <v>431</v>
      </c>
      <c r="E226" s="6">
        <v>2600</v>
      </c>
      <c r="F226" s="18">
        <v>470086.19</v>
      </c>
      <c r="G226" s="18">
        <v>278084.96999999997</v>
      </c>
      <c r="H226" s="18">
        <v>249000.82</v>
      </c>
      <c r="I226" s="18">
        <v>313197.69</v>
      </c>
      <c r="J226" s="18">
        <v>81137.88</v>
      </c>
      <c r="K226" s="18">
        <v>0</v>
      </c>
      <c r="L226" s="13">
        <f t="shared" si="2"/>
        <v>1391507.5499999998</v>
      </c>
      <c r="M226" s="8"/>
      <c r="N226" s="165"/>
    </row>
    <row r="227" spans="1:14" s="3" customFormat="1" ht="12.2" customHeight="1" x14ac:dyDescent="0.15">
      <c r="A227" s="1" t="s">
        <v>448</v>
      </c>
      <c r="B227" s="2" t="s">
        <v>346</v>
      </c>
      <c r="C227" s="2" t="s">
        <v>300</v>
      </c>
      <c r="D227" s="2" t="s">
        <v>431</v>
      </c>
      <c r="E227" s="6">
        <v>2700</v>
      </c>
      <c r="F227" s="18"/>
      <c r="G227" s="18">
        <v>0</v>
      </c>
      <c r="H227" s="18">
        <v>732382.08</v>
      </c>
      <c r="I227" s="18"/>
      <c r="J227" s="18">
        <v>0</v>
      </c>
      <c r="K227" s="18">
        <v>0</v>
      </c>
      <c r="L227" s="13">
        <f t="shared" si="2"/>
        <v>732382.08</v>
      </c>
      <c r="M227" s="8"/>
      <c r="N227" s="165"/>
    </row>
    <row r="228" spans="1:14" s="3" customFormat="1" ht="12.2" customHeight="1" x14ac:dyDescent="0.15">
      <c r="A228" s="1" t="s">
        <v>449</v>
      </c>
      <c r="B228" s="2" t="s">
        <v>346</v>
      </c>
      <c r="C228" s="2" t="s">
        <v>343</v>
      </c>
      <c r="D228" s="2" t="s">
        <v>431</v>
      </c>
      <c r="E228" s="6">
        <v>2800</v>
      </c>
      <c r="F228" s="18">
        <v>96573.8</v>
      </c>
      <c r="G228" s="18">
        <v>56136.23</v>
      </c>
      <c r="H228" s="18">
        <v>15198.08</v>
      </c>
      <c r="I228" s="18">
        <v>57976.57</v>
      </c>
      <c r="J228" s="18">
        <v>5475.5</v>
      </c>
      <c r="K228" s="18">
        <v>22.53</v>
      </c>
      <c r="L228" s="13">
        <f>SUM(F228:K228)</f>
        <v>231382.71</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8320335.8600000003</v>
      </c>
      <c r="G230" s="38">
        <f>SUM(G216:G229)</f>
        <v>4864474.08</v>
      </c>
      <c r="H230" s="38">
        <f>SUM(H216:H229)</f>
        <v>2042095.08</v>
      </c>
      <c r="I230" s="38">
        <f>SUM(I216:I229)</f>
        <v>748271.86</v>
      </c>
      <c r="J230" s="38">
        <f>SUM(J216:J229)</f>
        <v>259779.25999999998</v>
      </c>
      <c r="K230" s="38">
        <f t="shared" si="3"/>
        <v>19917.8</v>
      </c>
      <c r="L230" s="38">
        <f t="shared" si="3"/>
        <v>16254873.939999999</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5482960.1100000003</v>
      </c>
      <c r="G234" s="18">
        <v>3187124.65</v>
      </c>
      <c r="H234" s="18">
        <v>86534.9</v>
      </c>
      <c r="I234" s="18">
        <v>335322.42</v>
      </c>
      <c r="J234" s="18">
        <v>218546.44</v>
      </c>
      <c r="K234" s="18">
        <v>25468</v>
      </c>
      <c r="L234" s="13">
        <f>SUM(F234:K234)</f>
        <v>9335956.5199999996</v>
      </c>
      <c r="M234" s="8"/>
      <c r="N234" s="165"/>
    </row>
    <row r="235" spans="1:14" s="3" customFormat="1" ht="12.2" customHeight="1" x14ac:dyDescent="0.15">
      <c r="A235" s="1" t="s">
        <v>439</v>
      </c>
      <c r="B235" s="2" t="s">
        <v>350</v>
      </c>
      <c r="C235" s="2" t="s">
        <v>291</v>
      </c>
      <c r="D235" s="2" t="s">
        <v>431</v>
      </c>
      <c r="E235" s="6">
        <v>1200</v>
      </c>
      <c r="F235" s="18">
        <v>1926001.5</v>
      </c>
      <c r="G235" s="18">
        <v>1119542.5</v>
      </c>
      <c r="H235" s="18">
        <v>1502421.01</v>
      </c>
      <c r="I235" s="18">
        <v>51645.29</v>
      </c>
      <c r="J235" s="18">
        <v>9417.39</v>
      </c>
      <c r="K235" s="18">
        <v>130.32</v>
      </c>
      <c r="L235" s="13">
        <f>SUM(F235:K235)</f>
        <v>4609158.01</v>
      </c>
      <c r="M235" s="8"/>
      <c r="N235" s="165"/>
    </row>
    <row r="236" spans="1:14" s="3" customFormat="1" ht="12.2" customHeight="1" x14ac:dyDescent="0.15">
      <c r="A236" s="1" t="s">
        <v>440</v>
      </c>
      <c r="B236" s="2" t="s">
        <v>350</v>
      </c>
      <c r="C236" s="2" t="s">
        <v>292</v>
      </c>
      <c r="D236" s="2" t="s">
        <v>431</v>
      </c>
      <c r="E236" s="6">
        <v>1300</v>
      </c>
      <c r="F236" s="18"/>
      <c r="G236" s="18"/>
      <c r="H236" s="18">
        <v>163663.34</v>
      </c>
      <c r="I236" s="18"/>
      <c r="J236" s="18"/>
      <c r="K236" s="18"/>
      <c r="L236" s="13">
        <f>SUM(F236:K236)</f>
        <v>163663.34</v>
      </c>
      <c r="M236" s="8"/>
      <c r="N236" s="165"/>
    </row>
    <row r="237" spans="1:14" s="3" customFormat="1" ht="12.2" customHeight="1" x14ac:dyDescent="0.15">
      <c r="A237" s="1" t="s">
        <v>441</v>
      </c>
      <c r="B237" s="2" t="s">
        <v>350</v>
      </c>
      <c r="C237" s="2" t="s">
        <v>293</v>
      </c>
      <c r="D237" s="2" t="s">
        <v>431</v>
      </c>
      <c r="E237" s="6">
        <v>1400</v>
      </c>
      <c r="F237" s="18">
        <v>352904.02</v>
      </c>
      <c r="G237" s="18">
        <v>205135.38</v>
      </c>
      <c r="H237" s="18">
        <v>72098.03</v>
      </c>
      <c r="I237" s="18">
        <v>81457.3</v>
      </c>
      <c r="J237" s="18">
        <v>6400.6500000000005</v>
      </c>
      <c r="K237" s="18">
        <v>96539.82</v>
      </c>
      <c r="L237" s="13">
        <f>SUM(F237:K237)</f>
        <v>814535.20000000019</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1195469.24</v>
      </c>
      <c r="G239" s="18">
        <v>694900.09</v>
      </c>
      <c r="H239" s="18">
        <v>52300.65</v>
      </c>
      <c r="I239" s="18">
        <v>14443.95</v>
      </c>
      <c r="J239" s="18">
        <v>10522.93</v>
      </c>
      <c r="K239" s="18"/>
      <c r="L239" s="13">
        <f t="shared" ref="L239:L245" si="4">SUM(F239:K239)</f>
        <v>1967636.8599999999</v>
      </c>
      <c r="M239" s="8"/>
      <c r="N239" s="165"/>
    </row>
    <row r="240" spans="1:14" s="3" customFormat="1" ht="12.2" customHeight="1" x14ac:dyDescent="0.15">
      <c r="A240" s="1" t="s">
        <v>443</v>
      </c>
      <c r="B240" s="2" t="s">
        <v>350</v>
      </c>
      <c r="C240" s="2" t="s">
        <v>295</v>
      </c>
      <c r="D240" s="2" t="s">
        <v>431</v>
      </c>
      <c r="E240" s="6">
        <v>2200</v>
      </c>
      <c r="F240" s="18">
        <v>148064.51999999999</v>
      </c>
      <c r="G240" s="18">
        <v>117100.05</v>
      </c>
      <c r="H240" s="18">
        <v>30024.22</v>
      </c>
      <c r="I240" s="18">
        <v>39872.559999999998</v>
      </c>
      <c r="J240" s="18">
        <v>5707.09</v>
      </c>
      <c r="K240" s="18"/>
      <c r="L240" s="13">
        <f t="shared" si="4"/>
        <v>340768.44000000006</v>
      </c>
      <c r="M240" s="8"/>
      <c r="N240" s="165"/>
    </row>
    <row r="241" spans="1:14" s="3" customFormat="1" ht="12.2" customHeight="1" x14ac:dyDescent="0.15">
      <c r="A241" s="1" t="s">
        <v>444</v>
      </c>
      <c r="B241" s="2" t="s">
        <v>350</v>
      </c>
      <c r="C241" s="2" t="s">
        <v>296</v>
      </c>
      <c r="D241" s="2" t="s">
        <v>431</v>
      </c>
      <c r="E241" s="6">
        <v>2300</v>
      </c>
      <c r="F241" s="18">
        <v>256851.49</v>
      </c>
      <c r="G241" s="18">
        <v>151825.44</v>
      </c>
      <c r="H241" s="18">
        <v>114959.53</v>
      </c>
      <c r="I241" s="18">
        <v>43301.73</v>
      </c>
      <c r="J241" s="18">
        <v>7711.75</v>
      </c>
      <c r="K241" s="18">
        <v>11813.24</v>
      </c>
      <c r="L241" s="13">
        <f t="shared" si="4"/>
        <v>586463.17999999993</v>
      </c>
      <c r="M241" s="8"/>
      <c r="N241" s="165"/>
    </row>
    <row r="242" spans="1:14" s="3" customFormat="1" ht="12.2" customHeight="1" x14ac:dyDescent="0.15">
      <c r="A242" s="1" t="s">
        <v>445</v>
      </c>
      <c r="B242" s="2" t="s">
        <v>350</v>
      </c>
      <c r="C242" s="2" t="s">
        <v>297</v>
      </c>
      <c r="D242" s="2" t="s">
        <v>431</v>
      </c>
      <c r="E242" s="6">
        <v>2400</v>
      </c>
      <c r="F242" s="18">
        <v>851869.69</v>
      </c>
      <c r="G242" s="18">
        <v>495173.2</v>
      </c>
      <c r="H242" s="18">
        <v>75325.72</v>
      </c>
      <c r="I242" s="18">
        <v>27289.050000000003</v>
      </c>
      <c r="J242" s="18">
        <v>3489.16</v>
      </c>
      <c r="K242" s="18">
        <v>8197.18</v>
      </c>
      <c r="L242" s="13">
        <f t="shared" si="4"/>
        <v>1461343.9999999998</v>
      </c>
      <c r="M242" s="8"/>
      <c r="N242" s="165"/>
    </row>
    <row r="243" spans="1:14" s="3" customFormat="1" ht="12.2" customHeight="1" x14ac:dyDescent="0.15">
      <c r="A243" s="1" t="s">
        <v>446</v>
      </c>
      <c r="B243" s="2" t="s">
        <v>350</v>
      </c>
      <c r="C243" s="2" t="s">
        <v>298</v>
      </c>
      <c r="D243" s="2" t="s">
        <v>431</v>
      </c>
      <c r="E243" s="6">
        <v>2500</v>
      </c>
      <c r="F243" s="18">
        <v>134935.32</v>
      </c>
      <c r="G243" s="18">
        <v>78434.95</v>
      </c>
      <c r="H243" s="18">
        <v>12708.11</v>
      </c>
      <c r="I243" s="18"/>
      <c r="J243" s="18"/>
      <c r="K243" s="18"/>
      <c r="L243" s="13">
        <f t="shared" si="4"/>
        <v>226078.38</v>
      </c>
      <c r="M243" s="8"/>
      <c r="N243" s="165"/>
    </row>
    <row r="244" spans="1:14" s="3" customFormat="1" ht="12.2" customHeight="1" x14ac:dyDescent="0.15">
      <c r="A244" s="1" t="s">
        <v>447</v>
      </c>
      <c r="B244" s="2" t="s">
        <v>350</v>
      </c>
      <c r="C244" s="2" t="s">
        <v>299</v>
      </c>
      <c r="D244" s="2" t="s">
        <v>431</v>
      </c>
      <c r="E244" s="6">
        <v>2600</v>
      </c>
      <c r="F244" s="18">
        <v>437984.95</v>
      </c>
      <c r="G244" s="18">
        <v>261579.96</v>
      </c>
      <c r="H244" s="18">
        <v>422291.23</v>
      </c>
      <c r="I244" s="18">
        <v>457673.88</v>
      </c>
      <c r="J244" s="18">
        <v>117303.57</v>
      </c>
      <c r="K244" s="18"/>
      <c r="L244" s="13">
        <f t="shared" si="4"/>
        <v>1696833.59</v>
      </c>
      <c r="M244" s="8"/>
      <c r="N244" s="165"/>
    </row>
    <row r="245" spans="1:14" s="3" customFormat="1" ht="12.2" customHeight="1" x14ac:dyDescent="0.15">
      <c r="A245" s="1" t="s">
        <v>448</v>
      </c>
      <c r="B245" s="2" t="s">
        <v>350</v>
      </c>
      <c r="C245" s="2" t="s">
        <v>300</v>
      </c>
      <c r="D245" s="2" t="s">
        <v>431</v>
      </c>
      <c r="E245" s="6">
        <v>2700</v>
      </c>
      <c r="F245" s="18"/>
      <c r="G245" s="18"/>
      <c r="H245" s="18">
        <v>1235391.8700000001</v>
      </c>
      <c r="I245" s="18"/>
      <c r="J245" s="18"/>
      <c r="K245" s="18"/>
      <c r="L245" s="13">
        <f t="shared" si="4"/>
        <v>1235391.8700000001</v>
      </c>
      <c r="M245" s="8"/>
      <c r="N245" s="165"/>
    </row>
    <row r="246" spans="1:14" s="3" customFormat="1" ht="12.2" customHeight="1" x14ac:dyDescent="0.15">
      <c r="A246" s="1" t="s">
        <v>449</v>
      </c>
      <c r="B246" s="2" t="s">
        <v>350</v>
      </c>
      <c r="C246" s="2" t="s">
        <v>343</v>
      </c>
      <c r="D246" s="2" t="s">
        <v>431</v>
      </c>
      <c r="E246" s="6">
        <v>2800</v>
      </c>
      <c r="F246" s="18">
        <v>139619.75</v>
      </c>
      <c r="G246" s="18">
        <v>81157.899999999994</v>
      </c>
      <c r="H246" s="18">
        <v>21972.34</v>
      </c>
      <c r="I246" s="18">
        <v>83818.539999999994</v>
      </c>
      <c r="J246" s="18">
        <v>7916.12</v>
      </c>
      <c r="K246" s="18">
        <v>32.58</v>
      </c>
      <c r="L246" s="13">
        <f>SUM(F246:K246)</f>
        <v>334517.23</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10926660.59</v>
      </c>
      <c r="G248" s="38">
        <f t="shared" si="5"/>
        <v>6391974.120000001</v>
      </c>
      <c r="H248" s="38">
        <f t="shared" si="5"/>
        <v>3789690.9499999997</v>
      </c>
      <c r="I248" s="38">
        <f t="shared" si="5"/>
        <v>1134824.7200000002</v>
      </c>
      <c r="J248" s="38">
        <f t="shared" si="5"/>
        <v>387015.1</v>
      </c>
      <c r="K248" s="38">
        <f t="shared" si="5"/>
        <v>142181.13999999998</v>
      </c>
      <c r="L248" s="38">
        <f t="shared" si="5"/>
        <v>22772346.620000001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83055.72</v>
      </c>
      <c r="G252" s="18">
        <v>48278.47</v>
      </c>
      <c r="H252" s="18"/>
      <c r="I252" s="18">
        <v>22388.28</v>
      </c>
      <c r="J252" s="18"/>
      <c r="K252" s="18"/>
      <c r="L252" s="13">
        <f t="shared" si="6"/>
        <v>153722.47</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4770226.28</v>
      </c>
      <c r="I256" s="18"/>
      <c r="J256" s="18"/>
      <c r="K256" s="18"/>
      <c r="L256" s="13">
        <f t="shared" si="6"/>
        <v>4770226.28</v>
      </c>
      <c r="M256" s="8"/>
      <c r="N256" s="165"/>
    </row>
    <row r="257" spans="1:14" s="3" customFormat="1" ht="12.2" customHeight="1" thickTop="1" thickBot="1" x14ac:dyDescent="0.2">
      <c r="A257" s="35" t="s">
        <v>461</v>
      </c>
      <c r="B257" s="37">
        <v>10</v>
      </c>
      <c r="C257" s="37">
        <v>7</v>
      </c>
      <c r="D257" s="36" t="s">
        <v>431</v>
      </c>
      <c r="E257" s="37"/>
      <c r="F257" s="38">
        <f t="shared" ref="F257:K257" si="7">SUM(F251:F256)</f>
        <v>83055.72</v>
      </c>
      <c r="G257" s="38">
        <f t="shared" si="7"/>
        <v>48278.47</v>
      </c>
      <c r="H257" s="38">
        <f t="shared" si="7"/>
        <v>4770226.28</v>
      </c>
      <c r="I257" s="38">
        <f t="shared" si="7"/>
        <v>22388.28</v>
      </c>
      <c r="J257" s="38">
        <f t="shared" si="7"/>
        <v>0</v>
      </c>
      <c r="K257" s="38">
        <f t="shared" si="7"/>
        <v>0</v>
      </c>
      <c r="L257" s="38">
        <f>SUM(F257:K257)</f>
        <v>4923948.7500000009</v>
      </c>
      <c r="M257" s="8"/>
      <c r="N257" s="165"/>
    </row>
    <row r="258" spans="1:14" s="3" customFormat="1" ht="12.2" customHeight="1" thickTop="1" x14ac:dyDescent="0.15">
      <c r="A258" s="35" t="s">
        <v>462</v>
      </c>
      <c r="B258" s="37">
        <v>10</v>
      </c>
      <c r="C258" s="37">
        <v>8</v>
      </c>
      <c r="D258" s="36" t="s">
        <v>431</v>
      </c>
      <c r="E258" s="37"/>
      <c r="F258" s="38">
        <f t="shared" ref="F258:L258" si="8">F212+F230+F248+F257</f>
        <v>34568643.769999996</v>
      </c>
      <c r="G258" s="38">
        <f t="shared" si="8"/>
        <v>20218447.909999996</v>
      </c>
      <c r="H258" s="38">
        <f t="shared" si="8"/>
        <v>13790099.32</v>
      </c>
      <c r="I258" s="38">
        <f t="shared" si="8"/>
        <v>3366285.86</v>
      </c>
      <c r="J258" s="38">
        <f t="shared" si="8"/>
        <v>1096697.8199999998</v>
      </c>
      <c r="K258" s="38">
        <f t="shared" si="8"/>
        <v>198612.31</v>
      </c>
      <c r="L258" s="38">
        <f t="shared" si="8"/>
        <v>73238786.989999995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262.89999999999998</v>
      </c>
      <c r="L265" s="13">
        <f t="shared" ref="L265:L271" si="9">SUM(F265:K265)</f>
        <v>262.89999999999998</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262.89999999999998</v>
      </c>
      <c r="L271" s="38">
        <f t="shared" si="9"/>
        <v>262.89999999999998</v>
      </c>
      <c r="M271" s="8"/>
      <c r="N271" s="165"/>
    </row>
    <row r="272" spans="1:14" s="33" customFormat="1" ht="12.2" customHeight="1" thickTop="1" x14ac:dyDescent="0.2">
      <c r="A272" s="40" t="s">
        <v>464</v>
      </c>
      <c r="B272" s="37">
        <v>10</v>
      </c>
      <c r="C272" s="37">
        <v>18</v>
      </c>
      <c r="D272" s="36" t="s">
        <v>431</v>
      </c>
      <c r="E272" s="37"/>
      <c r="F272" s="39">
        <f t="shared" ref="F272:L272" si="11">F258+F271</f>
        <v>34568643.769999996</v>
      </c>
      <c r="G272" s="39">
        <f t="shared" si="11"/>
        <v>20218447.909999996</v>
      </c>
      <c r="H272" s="39">
        <f t="shared" si="11"/>
        <v>13790099.32</v>
      </c>
      <c r="I272" s="39">
        <f t="shared" si="11"/>
        <v>3366285.86</v>
      </c>
      <c r="J272" s="39">
        <f t="shared" si="11"/>
        <v>1096697.8199999998</v>
      </c>
      <c r="K272" s="39">
        <f t="shared" si="11"/>
        <v>198875.21</v>
      </c>
      <c r="L272" s="39">
        <f t="shared" si="11"/>
        <v>73239049.890000001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80911.66+0.01</f>
        <v>80911.67</v>
      </c>
      <c r="G277" s="18">
        <v>5527.4</v>
      </c>
      <c r="H277" s="18">
        <v>381.53</v>
      </c>
      <c r="I277" s="18">
        <v>182.94</v>
      </c>
      <c r="J277" s="18">
        <v>2985.17</v>
      </c>
      <c r="K277" s="18"/>
      <c r="L277" s="13">
        <f>SUM(F277:K277)</f>
        <v>89988.709999999992</v>
      </c>
      <c r="M277" s="8"/>
      <c r="N277" s="165"/>
    </row>
    <row r="278" spans="1:14" s="3" customFormat="1" ht="12.2" customHeight="1" x14ac:dyDescent="0.15">
      <c r="A278" s="1" t="s">
        <v>439</v>
      </c>
      <c r="B278" s="2" t="s">
        <v>357</v>
      </c>
      <c r="C278" s="2" t="s">
        <v>291</v>
      </c>
      <c r="D278" s="2" t="s">
        <v>431</v>
      </c>
      <c r="E278" s="6">
        <v>1200</v>
      </c>
      <c r="F278" s="18">
        <v>359845.3</v>
      </c>
      <c r="G278" s="18"/>
      <c r="H278" s="18">
        <v>67755.520000000004</v>
      </c>
      <c r="I278" s="18"/>
      <c r="J278" s="18"/>
      <c r="K278" s="18"/>
      <c r="L278" s="13">
        <f>SUM(F278:K278)</f>
        <v>427600.82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v>830.39</v>
      </c>
      <c r="I280" s="18">
        <v>484.88</v>
      </c>
      <c r="J280" s="18">
        <v>644.86</v>
      </c>
      <c r="K280" s="18"/>
      <c r="L280" s="13">
        <f>SUM(F280:K280)</f>
        <v>1960.13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448.86</v>
      </c>
      <c r="I282" s="18"/>
      <c r="J282" s="18"/>
      <c r="K282" s="18"/>
      <c r="L282" s="13">
        <f t="shared" ref="L282:L288" si="12">SUM(F282:K282)</f>
        <v>448.86</v>
      </c>
      <c r="M282" s="8"/>
      <c r="N282" s="165"/>
    </row>
    <row r="283" spans="1:14" s="3" customFormat="1" ht="12.2" customHeight="1" x14ac:dyDescent="0.15">
      <c r="A283" s="1" t="s">
        <v>443</v>
      </c>
      <c r="B283" s="2" t="s">
        <v>357</v>
      </c>
      <c r="C283" s="2" t="s">
        <v>295</v>
      </c>
      <c r="D283" s="2" t="s">
        <v>431</v>
      </c>
      <c r="E283" s="6">
        <v>2200</v>
      </c>
      <c r="F283" s="18">
        <v>17718.740000000002</v>
      </c>
      <c r="G283" s="18">
        <v>1355.48</v>
      </c>
      <c r="H283" s="18">
        <v>33168.5</v>
      </c>
      <c r="I283" s="18"/>
      <c r="J283" s="18"/>
      <c r="K283" s="18"/>
      <c r="L283" s="13">
        <f t="shared" si="12"/>
        <v>52242.720000000001</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458475.70999999996</v>
      </c>
      <c r="G291" s="39">
        <f t="shared" si="13"/>
        <v>6882.8799999999992</v>
      </c>
      <c r="H291" s="39">
        <f t="shared" si="13"/>
        <v>102584.8</v>
      </c>
      <c r="I291" s="39">
        <f t="shared" si="13"/>
        <v>667.81999999999994</v>
      </c>
      <c r="J291" s="39">
        <f t="shared" si="13"/>
        <v>3630.03</v>
      </c>
      <c r="K291" s="39">
        <f t="shared" si="13"/>
        <v>0</v>
      </c>
      <c r="L291" s="38">
        <f t="shared" si="13"/>
        <v>572241.24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40621.279999999999</v>
      </c>
      <c r="G296" s="18">
        <v>2775.01</v>
      </c>
      <c r="H296" s="18">
        <v>191.55</v>
      </c>
      <c r="I296" s="18">
        <v>91.84</v>
      </c>
      <c r="J296" s="18">
        <v>1498.69</v>
      </c>
      <c r="K296" s="18"/>
      <c r="L296" s="13">
        <f>SUM(F296:K296)</f>
        <v>45178.37</v>
      </c>
      <c r="M296" s="8"/>
      <c r="N296" s="165"/>
    </row>
    <row r="297" spans="1:14" s="3" customFormat="1" ht="12.2" customHeight="1" x14ac:dyDescent="0.15">
      <c r="A297" s="1" t="s">
        <v>439</v>
      </c>
      <c r="B297" s="2" t="s">
        <v>358</v>
      </c>
      <c r="C297" s="2" t="s">
        <v>291</v>
      </c>
      <c r="D297" s="2" t="s">
        <v>431</v>
      </c>
      <c r="E297" s="6">
        <v>1200</v>
      </c>
      <c r="F297" s="18">
        <v>180658.48</v>
      </c>
      <c r="G297" s="18"/>
      <c r="H297" s="18">
        <v>34016.31</v>
      </c>
      <c r="I297" s="18"/>
      <c r="J297" s="18"/>
      <c r="K297" s="18"/>
      <c r="L297" s="13">
        <f>SUM(F297:K297)</f>
        <v>214674.79</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v>416.89</v>
      </c>
      <c r="I299" s="18">
        <v>243.43</v>
      </c>
      <c r="J299" s="18">
        <v>323.75</v>
      </c>
      <c r="K299" s="18"/>
      <c r="L299" s="13">
        <f>SUM(F299:K299)</f>
        <v>984.06999999999994</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v>225.35</v>
      </c>
      <c r="I301" s="18"/>
      <c r="J301" s="18"/>
      <c r="K301" s="18"/>
      <c r="L301" s="13">
        <f t="shared" ref="L301:L307" si="14">SUM(F301:K301)</f>
        <v>225.35</v>
      </c>
      <c r="M301" s="8"/>
      <c r="N301" s="165"/>
    </row>
    <row r="302" spans="1:14" s="3" customFormat="1" ht="12.2" customHeight="1" x14ac:dyDescent="0.15">
      <c r="A302" s="1" t="s">
        <v>443</v>
      </c>
      <c r="B302" s="2" t="s">
        <v>358</v>
      </c>
      <c r="C302" s="2" t="s">
        <v>295</v>
      </c>
      <c r="D302" s="2" t="s">
        <v>431</v>
      </c>
      <c r="E302" s="6">
        <v>2200</v>
      </c>
      <c r="F302" s="18">
        <v>8895.6</v>
      </c>
      <c r="G302" s="18">
        <v>680.51</v>
      </c>
      <c r="H302" s="18">
        <v>16652.080000000002</v>
      </c>
      <c r="I302" s="18"/>
      <c r="J302" s="18"/>
      <c r="K302" s="18"/>
      <c r="L302" s="13">
        <f t="shared" si="14"/>
        <v>26228.190000000002</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230175.36000000002</v>
      </c>
      <c r="G310" s="39">
        <f t="shared" si="15"/>
        <v>3455.5200000000004</v>
      </c>
      <c r="H310" s="39">
        <f t="shared" si="15"/>
        <v>51502.18</v>
      </c>
      <c r="I310" s="39">
        <f t="shared" si="15"/>
        <v>335.27</v>
      </c>
      <c r="J310" s="39">
        <f t="shared" si="15"/>
        <v>1822.44</v>
      </c>
      <c r="K310" s="39">
        <f t="shared" si="15"/>
        <v>0</v>
      </c>
      <c r="L310" s="38">
        <f t="shared" si="15"/>
        <v>287290.77</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58727.45</v>
      </c>
      <c r="G315" s="18">
        <v>4011.91</v>
      </c>
      <c r="H315" s="18">
        <v>276.92</v>
      </c>
      <c r="I315" s="18">
        <v>132.78</v>
      </c>
      <c r="J315" s="18">
        <v>2166.6999999999998</v>
      </c>
      <c r="K315" s="18"/>
      <c r="L315" s="13">
        <f>SUM(F315:K315)</f>
        <v>65315.759999999995</v>
      </c>
      <c r="M315" s="8"/>
      <c r="N315" s="165"/>
    </row>
    <row r="316" spans="1:14" s="3" customFormat="1" ht="12.2" customHeight="1" x14ac:dyDescent="0.15">
      <c r="A316" s="1" t="s">
        <v>439</v>
      </c>
      <c r="B316" s="2" t="s">
        <v>359</v>
      </c>
      <c r="C316" s="2" t="s">
        <v>291</v>
      </c>
      <c r="D316" s="2" t="s">
        <v>431</v>
      </c>
      <c r="E316" s="6">
        <v>1200</v>
      </c>
      <c r="F316" s="18">
        <v>261183.59</v>
      </c>
      <c r="G316" s="18"/>
      <c r="H316" s="18">
        <v>49178.44</v>
      </c>
      <c r="I316" s="18"/>
      <c r="J316" s="18"/>
      <c r="K316" s="18"/>
      <c r="L316" s="13">
        <f>SUM(F316:K316)</f>
        <v>310362.03000000003</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v>602.72</v>
      </c>
      <c r="I318" s="18">
        <v>351.94</v>
      </c>
      <c r="J318" s="18">
        <v>468.05</v>
      </c>
      <c r="K318" s="18"/>
      <c r="L318" s="13">
        <f>SUM(F318:K318)</f>
        <v>1422.71</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v>325.79000000000002</v>
      </c>
      <c r="I320" s="18"/>
      <c r="J320" s="18"/>
      <c r="K320" s="18"/>
      <c r="L320" s="13">
        <f t="shared" ref="L320:L326" si="16">SUM(F320:K320)</f>
        <v>325.79000000000002</v>
      </c>
      <c r="M320" s="8"/>
      <c r="N320" s="165"/>
    </row>
    <row r="321" spans="1:14" s="3" customFormat="1" ht="12.2" customHeight="1" x14ac:dyDescent="0.15">
      <c r="A321" s="1" t="s">
        <v>443</v>
      </c>
      <c r="B321" s="2" t="s">
        <v>359</v>
      </c>
      <c r="C321" s="2" t="s">
        <v>295</v>
      </c>
      <c r="D321" s="2" t="s">
        <v>431</v>
      </c>
      <c r="E321" s="6">
        <v>2200</v>
      </c>
      <c r="F321" s="18">
        <v>12860.65</v>
      </c>
      <c r="G321" s="18">
        <v>983.84</v>
      </c>
      <c r="H321" s="18">
        <v>24074.42</v>
      </c>
      <c r="I321" s="18"/>
      <c r="J321" s="18"/>
      <c r="K321" s="18"/>
      <c r="L321" s="13">
        <f t="shared" si="16"/>
        <v>37918.909999999996</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332771.69</v>
      </c>
      <c r="G329" s="39">
        <f t="shared" si="17"/>
        <v>4995.75</v>
      </c>
      <c r="H329" s="39">
        <f t="shared" si="17"/>
        <v>74458.290000000008</v>
      </c>
      <c r="I329" s="39">
        <f t="shared" si="17"/>
        <v>484.72</v>
      </c>
      <c r="J329" s="39">
        <f t="shared" si="17"/>
        <v>2634.75</v>
      </c>
      <c r="K329" s="39">
        <f t="shared" si="17"/>
        <v>0</v>
      </c>
      <c r="L329" s="38">
        <f t="shared" si="17"/>
        <v>415345.2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v>12716.73</v>
      </c>
      <c r="G336" s="18"/>
      <c r="H336" s="18">
        <v>8491.85</v>
      </c>
      <c r="I336" s="18">
        <v>2285.65</v>
      </c>
      <c r="J336" s="18">
        <v>31930.16</v>
      </c>
      <c r="K336" s="18"/>
      <c r="L336" s="13">
        <f t="shared" si="18"/>
        <v>55424.39</v>
      </c>
      <c r="M336" s="8"/>
      <c r="N336" s="165"/>
    </row>
    <row r="337" spans="1:43" s="3" customFormat="1" ht="12.2" customHeight="1" thickBot="1" x14ac:dyDescent="0.2">
      <c r="A337" s="1" t="s">
        <v>584</v>
      </c>
      <c r="B337" s="6">
        <v>14</v>
      </c>
      <c r="C337" s="6">
        <v>5</v>
      </c>
      <c r="D337" s="2" t="s">
        <v>431</v>
      </c>
      <c r="E337" s="6">
        <v>4000</v>
      </c>
      <c r="F337" s="18"/>
      <c r="G337" s="18"/>
      <c r="H337" s="18">
        <v>895664.56</v>
      </c>
      <c r="I337" s="18"/>
      <c r="J337" s="18"/>
      <c r="K337" s="18"/>
      <c r="L337" s="13">
        <f t="shared" si="18"/>
        <v>895664.56</v>
      </c>
      <c r="M337" s="8"/>
      <c r="N337" s="165"/>
    </row>
    <row r="338" spans="1:43" s="3" customFormat="1" ht="12.2" customHeight="1" thickTop="1" thickBot="1" x14ac:dyDescent="0.2">
      <c r="A338" s="46" t="s">
        <v>467</v>
      </c>
      <c r="B338" s="37">
        <v>14</v>
      </c>
      <c r="C338" s="47">
        <v>6</v>
      </c>
      <c r="D338" s="44" t="s">
        <v>431</v>
      </c>
      <c r="E338" s="47"/>
      <c r="F338" s="38">
        <f t="shared" ref="F338:K338" si="19">SUM(F333:F337)</f>
        <v>12716.73</v>
      </c>
      <c r="G338" s="38">
        <f t="shared" si="19"/>
        <v>0</v>
      </c>
      <c r="H338" s="38">
        <f t="shared" si="19"/>
        <v>904156.41</v>
      </c>
      <c r="I338" s="38">
        <f t="shared" si="19"/>
        <v>2285.65</v>
      </c>
      <c r="J338" s="38">
        <f t="shared" si="19"/>
        <v>31930.16</v>
      </c>
      <c r="K338" s="38">
        <f t="shared" si="19"/>
        <v>0</v>
      </c>
      <c r="L338" s="38">
        <f t="shared" si="18"/>
        <v>951088.95000000007</v>
      </c>
      <c r="M338" s="8"/>
      <c r="N338" s="165"/>
    </row>
    <row r="339" spans="1:43" s="3" customFormat="1" ht="12.2" customHeight="1" thickTop="1" x14ac:dyDescent="0.15">
      <c r="A339" s="35" t="s">
        <v>468</v>
      </c>
      <c r="B339" s="37">
        <v>14</v>
      </c>
      <c r="C339" s="37">
        <v>7</v>
      </c>
      <c r="D339" s="36" t="s">
        <v>431</v>
      </c>
      <c r="E339" s="37"/>
      <c r="F339" s="38">
        <f t="shared" ref="F339:L339" si="20">F291+F310+F329+F338</f>
        <v>1034139.49</v>
      </c>
      <c r="G339" s="38">
        <f t="shared" si="20"/>
        <v>15334.15</v>
      </c>
      <c r="H339" s="38">
        <f t="shared" si="20"/>
        <v>1132701.6800000002</v>
      </c>
      <c r="I339" s="38">
        <f t="shared" si="20"/>
        <v>3773.46</v>
      </c>
      <c r="J339" s="38">
        <f t="shared" si="20"/>
        <v>40017.379999999997</v>
      </c>
      <c r="K339" s="38">
        <f t="shared" si="20"/>
        <v>0</v>
      </c>
      <c r="L339" s="38">
        <f t="shared" si="20"/>
        <v>2225966.16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1034139.49</v>
      </c>
      <c r="G353" s="38">
        <f>G339</f>
        <v>15334.15</v>
      </c>
      <c r="H353" s="38">
        <f>H339</f>
        <v>1132701.6800000002</v>
      </c>
      <c r="I353" s="38">
        <f>I339</f>
        <v>3773.46</v>
      </c>
      <c r="J353" s="38">
        <f>J339</f>
        <v>40017.379999999997</v>
      </c>
      <c r="K353" s="38">
        <f>K339+K352</f>
        <v>0</v>
      </c>
      <c r="L353" s="38">
        <f>L339+L352</f>
        <v>2225966.16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373924.66</v>
      </c>
      <c r="G359" s="18">
        <f>18662.77-0.01</f>
        <v>18662.760000000002</v>
      </c>
      <c r="H359" s="18"/>
      <c r="I359" s="18">
        <f>262031.04</f>
        <v>262031.04</v>
      </c>
      <c r="J359" s="18"/>
      <c r="K359" s="18">
        <v>13465.8</v>
      </c>
      <c r="L359" s="13">
        <f>SUM(F359:K359)</f>
        <v>668084.26</v>
      </c>
      <c r="M359" s="8"/>
      <c r="N359" s="165"/>
    </row>
    <row r="360" spans="1:22" s="3" customFormat="1" ht="12.2" customHeight="1" x14ac:dyDescent="0.15">
      <c r="A360" s="1" t="s">
        <v>542</v>
      </c>
      <c r="B360" s="2" t="s">
        <v>366</v>
      </c>
      <c r="C360" s="6">
        <v>2</v>
      </c>
      <c r="D360" s="2" t="s">
        <v>431</v>
      </c>
      <c r="E360" s="6"/>
      <c r="F360" s="18">
        <v>187726.94</v>
      </c>
      <c r="G360" s="18">
        <v>9369.5499999999993</v>
      </c>
      <c r="H360" s="18"/>
      <c r="I360" s="18">
        <v>131551.32999999999</v>
      </c>
      <c r="J360" s="18"/>
      <c r="K360" s="18">
        <v>6760.43</v>
      </c>
      <c r="L360" s="13">
        <f>SUM(F360:K360)</f>
        <v>335408.24999999994</v>
      </c>
      <c r="M360" s="8"/>
      <c r="N360" s="165"/>
    </row>
    <row r="361" spans="1:22" s="3" customFormat="1" ht="12.2" customHeight="1" x14ac:dyDescent="0.15">
      <c r="A361" s="3" t="s">
        <v>543</v>
      </c>
      <c r="B361" s="2" t="s">
        <v>366</v>
      </c>
      <c r="C361" s="6">
        <v>3</v>
      </c>
      <c r="D361" s="2" t="s">
        <v>431</v>
      </c>
      <c r="E361" s="6"/>
      <c r="F361" s="18">
        <v>271402.69</v>
      </c>
      <c r="G361" s="18">
        <v>13545.85</v>
      </c>
      <c r="H361" s="18"/>
      <c r="I361" s="18">
        <v>190187.85</v>
      </c>
      <c r="J361" s="18"/>
      <c r="K361" s="18">
        <v>9773.77</v>
      </c>
      <c r="L361" s="13">
        <f>SUM(F361:K361)</f>
        <v>484910.16000000003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833054.29</v>
      </c>
      <c r="G363" s="38">
        <f t="shared" si="22"/>
        <v>41578.160000000003</v>
      </c>
      <c r="H363" s="38">
        <f t="shared" si="22"/>
        <v>0</v>
      </c>
      <c r="I363" s="38">
        <f t="shared" si="22"/>
        <v>583770.22</v>
      </c>
      <c r="J363" s="38">
        <f t="shared" si="22"/>
        <v>0</v>
      </c>
      <c r="K363" s="38">
        <f t="shared" si="22"/>
        <v>30000</v>
      </c>
      <c r="L363" s="38">
        <f t="shared" si="22"/>
        <v>1488402.67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196379.51+0.01</f>
        <v>196379.52000000002</v>
      </c>
      <c r="G368" s="18">
        <v>98591.32</v>
      </c>
      <c r="H368" s="18">
        <v>142536.54</v>
      </c>
      <c r="I368" s="13">
        <f>SUM(F368:H368)</f>
        <v>437507.38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65651.520000000004</v>
      </c>
      <c r="G369" s="53">
        <v>32960.01</v>
      </c>
      <c r="H369" s="53">
        <v>47651.31</v>
      </c>
      <c r="I369" s="13">
        <f>SUM(F369:H369)</f>
        <v>146262.84</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262031.04000000004</v>
      </c>
      <c r="G370" s="38">
        <f>SUM(G368:G369)</f>
        <v>131551.33000000002</v>
      </c>
      <c r="H370" s="38">
        <f>SUM(H368:H369)</f>
        <v>190187.85</v>
      </c>
      <c r="I370" s="38">
        <f>SUM(I368:I369)</f>
        <v>583770.22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f>17624.9+471540.28</f>
        <v>489165.18000000005</v>
      </c>
      <c r="J401" s="23" t="s">
        <v>288</v>
      </c>
      <c r="K401" s="23" t="s">
        <v>288</v>
      </c>
      <c r="L401" s="13">
        <f t="shared" si="26"/>
        <v>489165.18000000005</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489165.18000000005</v>
      </c>
      <c r="J402" s="42" t="s">
        <v>288</v>
      </c>
      <c r="K402" s="42" t="s">
        <v>288</v>
      </c>
      <c r="L402" s="38">
        <f>SUM(L396:L401)</f>
        <v>489165.18000000005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489165.18000000005</v>
      </c>
      <c r="J409" s="23" t="s">
        <v>288</v>
      </c>
      <c r="K409" s="23" t="s">
        <v>288</v>
      </c>
      <c r="L409" s="38">
        <f>L394+L402+L408</f>
        <v>489165.18000000005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f>3818+53627</f>
        <v>57445</v>
      </c>
      <c r="I427" s="18">
        <f>61570.69-26385.66+29517.32</f>
        <v>64702.35</v>
      </c>
      <c r="J427" s="18"/>
      <c r="K427" s="18"/>
      <c r="L427" s="13">
        <f t="shared" si="29"/>
        <v>122147.35</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57445</v>
      </c>
      <c r="I428" s="38">
        <f t="shared" si="30"/>
        <v>64702.35</v>
      </c>
      <c r="J428" s="38">
        <f t="shared" si="30"/>
        <v>0</v>
      </c>
      <c r="K428" s="38">
        <f t="shared" si="30"/>
        <v>0</v>
      </c>
      <c r="L428" s="38">
        <f t="shared" si="30"/>
        <v>122147.35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57445</v>
      </c>
      <c r="I435" s="38">
        <f t="shared" si="32"/>
        <v>64702.35</v>
      </c>
      <c r="J435" s="38">
        <f t="shared" si="32"/>
        <v>0</v>
      </c>
      <c r="K435" s="38">
        <f t="shared" si="32"/>
        <v>0</v>
      </c>
      <c r="L435" s="38">
        <f t="shared" si="32"/>
        <v>122147.35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v>40594.89</v>
      </c>
      <c r="H442" s="18"/>
      <c r="I442" s="13">
        <f t="shared" si="33"/>
        <v>40594.89</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1043972.45</v>
      </c>
      <c r="G443" s="18"/>
      <c r="H443" s="18">
        <v>696321.29</v>
      </c>
      <c r="I443" s="13">
        <f t="shared" si="33"/>
        <v>1740293.74</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1043972.45</v>
      </c>
      <c r="G447" s="13">
        <f>SUM(G440:G446)</f>
        <v>40594.89</v>
      </c>
      <c r="H447" s="13">
        <f>SUM(H440:H446)</f>
        <v>696321.29</v>
      </c>
      <c r="I447" s="13">
        <f>SUM(I440:I446)</f>
        <v>1780888.63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1043972.45</v>
      </c>
      <c r="G460" s="18">
        <f>80414.99+17624.9-57445</f>
        <v>40594.890000000014</v>
      </c>
      <c r="H460" s="18">
        <v>696321.29</v>
      </c>
      <c r="I460" s="13">
        <f t="shared" si="34"/>
        <v>1780888.63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1043972.45</v>
      </c>
      <c r="G461" s="65">
        <f>SUM(G455:G460)</f>
        <v>40594.890000000014</v>
      </c>
      <c r="H461" s="65">
        <f>SUM(H455:H460)</f>
        <v>696321.29</v>
      </c>
      <c r="I461" s="65">
        <f>SUM(I455:I460)</f>
        <v>1780888.63</v>
      </c>
      <c r="J461" s="23" t="s">
        <v>288</v>
      </c>
      <c r="K461" s="23" t="s">
        <v>288</v>
      </c>
      <c r="L461" s="23" t="s">
        <v>288</v>
      </c>
      <c r="N461" s="131"/>
    </row>
    <row r="462" spans="1:86" ht="12.2" customHeight="1" thickTop="1" x14ac:dyDescent="0.2">
      <c r="A462" s="40" t="s">
        <v>424</v>
      </c>
      <c r="B462" s="41">
        <v>18</v>
      </c>
      <c r="C462" s="64">
        <v>21</v>
      </c>
      <c r="D462" s="114" t="s">
        <v>432</v>
      </c>
      <c r="E462" s="64"/>
      <c r="F462" s="39">
        <f>F453+F461</f>
        <v>1043972.45</v>
      </c>
      <c r="G462" s="39">
        <f>G453+G461</f>
        <v>40594.890000000014</v>
      </c>
      <c r="H462" s="39">
        <f>H453+H461</f>
        <v>696321.29</v>
      </c>
      <c r="I462" s="39">
        <f>I453+I461</f>
        <v>1780888.63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7255883.18-15961.62</f>
        <v>7239921.5599999996</v>
      </c>
      <c r="G466" s="18">
        <v>379613.75</v>
      </c>
      <c r="H466" s="18">
        <v>0</v>
      </c>
      <c r="I466" s="18">
        <v>0</v>
      </c>
      <c r="J466" s="18">
        <v>1413870.8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71072187.519999996</v>
      </c>
      <c r="G469" s="18">
        <v>1439496.42</v>
      </c>
      <c r="H469" s="18">
        <v>2225966.16</v>
      </c>
      <c r="I469" s="18"/>
      <c r="J469" s="18">
        <f>17624.9+471540.28</f>
        <v>489165.18000000005</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71072187.519999996</v>
      </c>
      <c r="G471" s="19">
        <f>SUM(G469:G470)</f>
        <v>1439496.42</v>
      </c>
      <c r="H471" s="19">
        <f>SUM(H469:H470)</f>
        <v>2225966.16</v>
      </c>
      <c r="I471" s="19">
        <f>SUM(I469:I470)</f>
        <v>0</v>
      </c>
      <c r="J471" s="19">
        <f>SUM(J469:J470)</f>
        <v>489165.18000000005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73239049.890000001</v>
      </c>
      <c r="G473" s="18">
        <v>1488402.67</v>
      </c>
      <c r="H473" s="18">
        <v>2225966.16</v>
      </c>
      <c r="I473" s="18"/>
      <c r="J473" s="18">
        <f>61570.69-26385.66+29517.32+57445</f>
        <v>122147.35</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73239049.890000001</v>
      </c>
      <c r="G475" s="19">
        <f>SUM(G473:G474)</f>
        <v>1488402.67</v>
      </c>
      <c r="H475" s="19">
        <f>SUM(H473:H474)</f>
        <v>2225966.16</v>
      </c>
      <c r="I475" s="19">
        <f>SUM(I473:I474)</f>
        <v>0</v>
      </c>
      <c r="J475" s="19">
        <f>SUM(J473:J474)</f>
        <v>122147.35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5073059.1899999976</v>
      </c>
      <c r="G477" s="19">
        <f>(G466+G471)- G475</f>
        <v>330707.5</v>
      </c>
      <c r="H477" s="19">
        <f>(H466+H471)- H475</f>
        <v>0</v>
      </c>
      <c r="I477" s="19">
        <f>(I466+I471)- I475</f>
        <v>0</v>
      </c>
      <c r="J477" s="19">
        <f>(J466+J471)- J475</f>
        <v>1780888.63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2528482.6</v>
      </c>
      <c r="G522" s="18">
        <v>1260581.3799999999</v>
      </c>
      <c r="H522" s="18">
        <v>895105.79</v>
      </c>
      <c r="I522" s="18">
        <v>71115.72</v>
      </c>
      <c r="J522" s="18">
        <v>12974.79</v>
      </c>
      <c r="K522" s="18">
        <v>179.54</v>
      </c>
      <c r="L522" s="69">
        <f>SUM(F522:K522)</f>
        <v>4768439.8199999994</v>
      </c>
      <c r="N522" s="131"/>
    </row>
    <row r="523" spans="1:14" ht="12.2" customHeight="1" x14ac:dyDescent="0.2">
      <c r="A523" s="21" t="s">
        <v>634</v>
      </c>
      <c r="B523" s="22">
        <v>21</v>
      </c>
      <c r="C523" s="22">
        <v>2</v>
      </c>
      <c r="D523" s="2" t="s">
        <v>432</v>
      </c>
      <c r="E523" s="22"/>
      <c r="F523" s="18">
        <v>1729598.0799999998</v>
      </c>
      <c r="G523" s="18">
        <v>900364.67</v>
      </c>
      <c r="H523" s="18">
        <v>854409.92999999993</v>
      </c>
      <c r="I523" s="18">
        <v>35703.279999999999</v>
      </c>
      <c r="J523" s="18">
        <v>6513.93</v>
      </c>
      <c r="K523" s="18">
        <v>90.14</v>
      </c>
      <c r="L523" s="69">
        <f>SUM(F523:K523)</f>
        <v>3526680.03</v>
      </c>
      <c r="N523" s="131"/>
    </row>
    <row r="524" spans="1:14" ht="12.2" customHeight="1" thickBot="1" x14ac:dyDescent="0.25">
      <c r="A524" s="21" t="s">
        <v>635</v>
      </c>
      <c r="B524" s="22">
        <v>21</v>
      </c>
      <c r="C524" s="22">
        <v>3</v>
      </c>
      <c r="D524" s="2" t="s">
        <v>432</v>
      </c>
      <c r="E524" s="22"/>
      <c r="F524" s="18">
        <v>2088198</v>
      </c>
      <c r="G524" s="18">
        <v>1062003.47</v>
      </c>
      <c r="H524" s="18">
        <v>1551030.01</v>
      </c>
      <c r="I524" s="18">
        <v>51617.340000000004</v>
      </c>
      <c r="J524" s="18">
        <v>9417.39</v>
      </c>
      <c r="K524" s="18">
        <v>130.32</v>
      </c>
      <c r="L524" s="69">
        <f>SUM(F524:K524)</f>
        <v>4762396.5299999993</v>
      </c>
      <c r="N524" s="131"/>
    </row>
    <row r="525" spans="1:14" ht="12.2" customHeight="1" thickTop="1" x14ac:dyDescent="0.2">
      <c r="A525" s="97" t="s">
        <v>63</v>
      </c>
      <c r="B525" s="41">
        <v>21</v>
      </c>
      <c r="C525" s="41">
        <v>4</v>
      </c>
      <c r="D525" s="115" t="s">
        <v>432</v>
      </c>
      <c r="E525" s="41"/>
      <c r="F525" s="81">
        <f>SUM(F522:F524)</f>
        <v>6346278.6799999997</v>
      </c>
      <c r="G525" s="81">
        <f t="shared" ref="G525:L525" si="36">SUM(G522:G524)</f>
        <v>3222949.5199999996</v>
      </c>
      <c r="H525" s="81">
        <f t="shared" si="36"/>
        <v>3300545.73</v>
      </c>
      <c r="I525" s="81">
        <f t="shared" si="36"/>
        <v>158436.34</v>
      </c>
      <c r="J525" s="81">
        <f t="shared" si="36"/>
        <v>28906.11</v>
      </c>
      <c r="K525" s="81">
        <f t="shared" si="36"/>
        <v>400</v>
      </c>
      <c r="L525" s="70">
        <f t="shared" si="36"/>
        <v>13057516.379999999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510839.51267677778</v>
      </c>
      <c r="G527" s="18">
        <v>0</v>
      </c>
      <c r="H527" s="18">
        <v>65291.060688342906</v>
      </c>
      <c r="I527" s="18">
        <v>11058.682274681634</v>
      </c>
      <c r="J527" s="18">
        <v>4367.222686317099</v>
      </c>
      <c r="K527" s="18">
        <v>0</v>
      </c>
      <c r="L527" s="69">
        <f>SUM(F527:K527)</f>
        <v>591556.47832611937</v>
      </c>
      <c r="M527" s="8"/>
      <c r="N527" s="165"/>
    </row>
    <row r="528" spans="1:14" s="3" customFormat="1" ht="12.2" customHeight="1" x14ac:dyDescent="0.15">
      <c r="A528" s="21" t="s">
        <v>634</v>
      </c>
      <c r="B528" s="22">
        <v>21</v>
      </c>
      <c r="C528" s="22">
        <v>6</v>
      </c>
      <c r="D528" s="2" t="s">
        <v>432</v>
      </c>
      <c r="E528" s="22"/>
      <c r="F528" s="18">
        <v>256464.34100128413</v>
      </c>
      <c r="G528" s="18">
        <v>0</v>
      </c>
      <c r="H528" s="18">
        <v>32779.040064791589</v>
      </c>
      <c r="I528" s="18">
        <v>5551.9543644097903</v>
      </c>
      <c r="J528" s="18">
        <v>2192.5416113237325</v>
      </c>
      <c r="K528" s="18">
        <v>0</v>
      </c>
      <c r="L528" s="69">
        <f>SUM(F528:K528)</f>
        <v>296987.8770418092</v>
      </c>
      <c r="M528" s="8"/>
      <c r="N528" s="165"/>
    </row>
    <row r="529" spans="1:14" s="3" customFormat="1" ht="12.2" customHeight="1" thickBot="1" x14ac:dyDescent="0.2">
      <c r="A529" s="21" t="s">
        <v>635</v>
      </c>
      <c r="B529" s="22">
        <v>21</v>
      </c>
      <c r="C529" s="22">
        <v>7</v>
      </c>
      <c r="D529" s="2" t="s">
        <v>432</v>
      </c>
      <c r="E529" s="22"/>
      <c r="F529" s="18">
        <v>370778.48632193817</v>
      </c>
      <c r="G529" s="18">
        <v>0</v>
      </c>
      <c r="H529" s="18">
        <v>47389.679246865511</v>
      </c>
      <c r="I529" s="18">
        <v>8026.6333609085759</v>
      </c>
      <c r="J529" s="18">
        <v>3169.8257023591686</v>
      </c>
      <c r="K529" s="18">
        <v>0</v>
      </c>
      <c r="L529" s="69">
        <f>SUM(F529:K529)</f>
        <v>429364.62463207141</v>
      </c>
      <c r="M529" s="8"/>
      <c r="N529" s="165"/>
    </row>
    <row r="530" spans="1:14" s="3" customFormat="1" ht="12.2" customHeight="1" thickTop="1" x14ac:dyDescent="0.15">
      <c r="A530" s="97" t="s">
        <v>65</v>
      </c>
      <c r="B530" s="41">
        <v>21</v>
      </c>
      <c r="C530" s="41">
        <v>8</v>
      </c>
      <c r="D530" s="115" t="s">
        <v>432</v>
      </c>
      <c r="E530" s="41"/>
      <c r="F530" s="70">
        <f>SUM(F527:F529)</f>
        <v>1138082.3400000001</v>
      </c>
      <c r="G530" s="70">
        <f t="shared" ref="G530:L530" si="37">SUM(G527:G529)</f>
        <v>0</v>
      </c>
      <c r="H530" s="70">
        <f t="shared" si="37"/>
        <v>145459.78</v>
      </c>
      <c r="I530" s="70">
        <f t="shared" si="37"/>
        <v>24637.270000000004</v>
      </c>
      <c r="J530" s="70">
        <f t="shared" si="37"/>
        <v>9729.59</v>
      </c>
      <c r="K530" s="70">
        <f t="shared" si="37"/>
        <v>0</v>
      </c>
      <c r="L530" s="70">
        <f t="shared" si="37"/>
        <v>1317908.98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136379.32</v>
      </c>
      <c r="G532" s="18">
        <v>79274.31</v>
      </c>
      <c r="H532" s="18">
        <v>784.54</v>
      </c>
      <c r="I532" s="18">
        <v>38.5</v>
      </c>
      <c r="J532" s="18">
        <v>0</v>
      </c>
      <c r="K532" s="18">
        <v>0</v>
      </c>
      <c r="L532" s="69">
        <f>SUM(F532:K532)</f>
        <v>216476.67</v>
      </c>
      <c r="M532" s="8"/>
      <c r="N532" s="165"/>
    </row>
    <row r="533" spans="1:14" s="3" customFormat="1" ht="12.2" customHeight="1" x14ac:dyDescent="0.15">
      <c r="A533" s="21" t="s">
        <v>634</v>
      </c>
      <c r="B533" s="22">
        <v>21</v>
      </c>
      <c r="C533" s="22">
        <v>10</v>
      </c>
      <c r="D533" s="2" t="s">
        <v>432</v>
      </c>
      <c r="E533" s="22"/>
      <c r="F533" s="18">
        <v>68468.53</v>
      </c>
      <c r="G533" s="18">
        <v>39799.26</v>
      </c>
      <c r="H533" s="18">
        <v>393.87</v>
      </c>
      <c r="I533" s="18">
        <v>19.329999999999998</v>
      </c>
      <c r="J533" s="18">
        <v>0</v>
      </c>
      <c r="K533" s="18">
        <v>0</v>
      </c>
      <c r="L533" s="69">
        <f>SUM(F533:K533)</f>
        <v>108680.99</v>
      </c>
      <c r="M533" s="8"/>
      <c r="N533" s="165"/>
    </row>
    <row r="534" spans="1:14" s="3" customFormat="1" ht="12.2" customHeight="1" thickBot="1" x14ac:dyDescent="0.2">
      <c r="A534" s="21" t="s">
        <v>635</v>
      </c>
      <c r="B534" s="22">
        <v>21</v>
      </c>
      <c r="C534" s="22">
        <v>11</v>
      </c>
      <c r="D534" s="2" t="s">
        <v>432</v>
      </c>
      <c r="E534" s="22"/>
      <c r="F534" s="18">
        <v>98987.09</v>
      </c>
      <c r="G534" s="18">
        <v>57539.030000000006</v>
      </c>
      <c r="H534" s="18">
        <v>569.44000000000017</v>
      </c>
      <c r="I534" s="18">
        <v>27.950000000000003</v>
      </c>
      <c r="J534" s="18">
        <v>0</v>
      </c>
      <c r="K534" s="18">
        <v>0</v>
      </c>
      <c r="L534" s="69">
        <f>SUM(F534:K534)</f>
        <v>157123.51</v>
      </c>
      <c r="M534" s="8"/>
      <c r="N534" s="165"/>
    </row>
    <row r="535" spans="1:14" s="3" customFormat="1" ht="12.2" customHeight="1" thickTop="1" x14ac:dyDescent="0.15">
      <c r="A535" s="97" t="s">
        <v>67</v>
      </c>
      <c r="B535" s="41">
        <v>21</v>
      </c>
      <c r="C535" s="41">
        <v>12</v>
      </c>
      <c r="D535" s="115" t="s">
        <v>432</v>
      </c>
      <c r="E535" s="41"/>
      <c r="F535" s="70">
        <f>SUM(F532:F534)</f>
        <v>303834.94</v>
      </c>
      <c r="G535" s="70">
        <f t="shared" ref="G535:L535" si="38">SUM(G532:G534)</f>
        <v>176612.6</v>
      </c>
      <c r="H535" s="70">
        <f t="shared" si="38"/>
        <v>1747.85</v>
      </c>
      <c r="I535" s="70">
        <f t="shared" si="38"/>
        <v>85.78</v>
      </c>
      <c r="J535" s="70">
        <f t="shared" si="38"/>
        <v>0</v>
      </c>
      <c r="K535" s="70">
        <f t="shared" si="38"/>
        <v>0</v>
      </c>
      <c r="L535" s="70">
        <f t="shared" si="38"/>
        <v>482281.17000000004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82033.679999999993</v>
      </c>
      <c r="I537" s="18"/>
      <c r="J537" s="18"/>
      <c r="K537" s="18"/>
      <c r="L537" s="69">
        <f>SUM(F537:K537)</f>
        <v>82033.679999999993</v>
      </c>
      <c r="M537" s="8"/>
      <c r="N537" s="165"/>
    </row>
    <row r="538" spans="1:14" s="3" customFormat="1" ht="12.2" customHeight="1" x14ac:dyDescent="0.15">
      <c r="A538" s="21" t="s">
        <v>634</v>
      </c>
      <c r="B538" s="22">
        <v>21</v>
      </c>
      <c r="C538" s="22">
        <v>14</v>
      </c>
      <c r="D538" s="2" t="s">
        <v>432</v>
      </c>
      <c r="E538" s="22"/>
      <c r="F538" s="18"/>
      <c r="G538" s="18"/>
      <c r="H538" s="18">
        <v>41184.58</v>
      </c>
      <c r="I538" s="18"/>
      <c r="J538" s="18"/>
      <c r="K538" s="18"/>
      <c r="L538" s="69">
        <f>SUM(F538:K538)</f>
        <v>41184.58</v>
      </c>
      <c r="M538" s="8"/>
      <c r="N538" s="165"/>
    </row>
    <row r="539" spans="1:14" s="3" customFormat="1" ht="12.2" customHeight="1" thickBot="1" x14ac:dyDescent="0.2">
      <c r="A539" s="21" t="s">
        <v>635</v>
      </c>
      <c r="B539" s="22">
        <v>21</v>
      </c>
      <c r="C539" s="22">
        <v>15</v>
      </c>
      <c r="D539" s="2" t="s">
        <v>432</v>
      </c>
      <c r="E539" s="22"/>
      <c r="F539" s="18"/>
      <c r="G539" s="18"/>
      <c r="H539" s="18">
        <v>59541.84</v>
      </c>
      <c r="I539" s="18"/>
      <c r="J539" s="18"/>
      <c r="K539" s="18"/>
      <c r="L539" s="69">
        <f>SUM(F539:K539)</f>
        <v>59541.84</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182760.09999999998</v>
      </c>
      <c r="I540" s="70">
        <f t="shared" si="39"/>
        <v>0</v>
      </c>
      <c r="J540" s="70">
        <f t="shared" si="39"/>
        <v>0</v>
      </c>
      <c r="K540" s="70">
        <f t="shared" si="39"/>
        <v>0</v>
      </c>
      <c r="L540" s="70">
        <f t="shared" si="39"/>
        <v>182760.09999999998</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355555.50048771448</v>
      </c>
      <c r="I542" s="18"/>
      <c r="J542" s="18"/>
      <c r="K542" s="18"/>
      <c r="L542" s="69">
        <f>SUM(F542:K542)</f>
        <v>355555.50048771448</v>
      </c>
      <c r="M542" s="8"/>
      <c r="N542" s="165"/>
    </row>
    <row r="543" spans="1:14" s="3" customFormat="1" ht="12.2" customHeight="1" x14ac:dyDescent="0.15">
      <c r="A543" s="21" t="s">
        <v>634</v>
      </c>
      <c r="B543" s="22">
        <v>21</v>
      </c>
      <c r="C543" s="22">
        <v>18</v>
      </c>
      <c r="D543" s="2" t="s">
        <v>432</v>
      </c>
      <c r="E543" s="22"/>
      <c r="F543" s="18"/>
      <c r="G543" s="18"/>
      <c r="H543" s="18">
        <v>178504.80407074574</v>
      </c>
      <c r="I543" s="18"/>
      <c r="J543" s="18"/>
      <c r="K543" s="18"/>
      <c r="L543" s="69">
        <f>SUM(F543:K543)</f>
        <v>178504.80407074574</v>
      </c>
      <c r="M543" s="8"/>
      <c r="N543" s="165"/>
    </row>
    <row r="544" spans="1:14" s="3" customFormat="1" ht="12.2" customHeight="1" thickBot="1" x14ac:dyDescent="0.2">
      <c r="A544" s="21" t="s">
        <v>635</v>
      </c>
      <c r="B544" s="22">
        <v>21</v>
      </c>
      <c r="C544" s="22">
        <v>19</v>
      </c>
      <c r="D544" s="2" t="s">
        <v>432</v>
      </c>
      <c r="E544" s="22"/>
      <c r="F544" s="18"/>
      <c r="G544" s="18"/>
      <c r="H544" s="18">
        <v>258069.95544153976</v>
      </c>
      <c r="I544" s="18"/>
      <c r="J544" s="18"/>
      <c r="K544" s="18"/>
      <c r="L544" s="69">
        <f>SUM(F544:K544)</f>
        <v>258069.95544153976</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792130.26</v>
      </c>
      <c r="I545" s="141">
        <f t="shared" si="40"/>
        <v>0</v>
      </c>
      <c r="J545" s="141">
        <f t="shared" si="40"/>
        <v>0</v>
      </c>
      <c r="K545" s="141">
        <f t="shared" si="40"/>
        <v>0</v>
      </c>
      <c r="L545" s="141">
        <f t="shared" si="40"/>
        <v>792130.26</v>
      </c>
      <c r="M545" s="8"/>
      <c r="N545" s="165"/>
    </row>
    <row r="546" spans="1:14" s="3" customFormat="1" ht="12.2" customHeight="1" thickTop="1" x14ac:dyDescent="0.15">
      <c r="A546" s="75" t="s">
        <v>72</v>
      </c>
      <c r="B546" s="41">
        <v>21</v>
      </c>
      <c r="C546" s="41">
        <v>21</v>
      </c>
      <c r="D546" s="115" t="s">
        <v>432</v>
      </c>
      <c r="E546" s="41"/>
      <c r="F546" s="70">
        <f>F525+F530+F535+F540+F545</f>
        <v>7788195.96</v>
      </c>
      <c r="G546" s="70">
        <f t="shared" ref="G546:L546" si="41">G525+G530+G535+G540+G545</f>
        <v>3399562.1199999996</v>
      </c>
      <c r="H546" s="70">
        <f t="shared" si="41"/>
        <v>4422643.72</v>
      </c>
      <c r="I546" s="70">
        <f t="shared" si="41"/>
        <v>183159.38999999998</v>
      </c>
      <c r="J546" s="70">
        <f t="shared" si="41"/>
        <v>38635.699999999997</v>
      </c>
      <c r="K546" s="70">
        <f t="shared" si="41"/>
        <v>400</v>
      </c>
      <c r="L546" s="70">
        <f t="shared" si="41"/>
        <v>15832596.889999999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4768439.8199999994</v>
      </c>
      <c r="G550" s="69">
        <f>L527</f>
        <v>591556.47832611937</v>
      </c>
      <c r="H550" s="69">
        <f>L532</f>
        <v>216476.67</v>
      </c>
      <c r="I550" s="69">
        <f>L537</f>
        <v>82033.679999999993</v>
      </c>
      <c r="J550" s="69">
        <f>L542</f>
        <v>355555.50048771448</v>
      </c>
      <c r="K550" s="69">
        <f>SUM(F550:J550)</f>
        <v>6014062.1488138326</v>
      </c>
      <c r="L550" s="23" t="s">
        <v>288</v>
      </c>
      <c r="M550" s="8"/>
      <c r="N550" s="165"/>
    </row>
    <row r="551" spans="1:14" s="3" customFormat="1" ht="12.2" customHeight="1" x14ac:dyDescent="0.15">
      <c r="A551" s="21" t="s">
        <v>634</v>
      </c>
      <c r="B551" s="22">
        <v>21</v>
      </c>
      <c r="C551" s="22">
        <v>23</v>
      </c>
      <c r="D551" s="2" t="s">
        <v>432</v>
      </c>
      <c r="E551" s="22"/>
      <c r="F551" s="69">
        <f>L523</f>
        <v>3526680.03</v>
      </c>
      <c r="G551" s="69">
        <f>L528</f>
        <v>296987.8770418092</v>
      </c>
      <c r="H551" s="69">
        <f>L533</f>
        <v>108680.99</v>
      </c>
      <c r="I551" s="69">
        <f>L538</f>
        <v>41184.58</v>
      </c>
      <c r="J551" s="69">
        <f>L543</f>
        <v>178504.80407074574</v>
      </c>
      <c r="K551" s="69">
        <f>SUM(F551:J551)</f>
        <v>4152038.2811125549</v>
      </c>
      <c r="L551" s="23" t="s">
        <v>288</v>
      </c>
      <c r="M551" s="8"/>
      <c r="N551" s="165"/>
    </row>
    <row r="552" spans="1:14" s="3" customFormat="1" ht="12.2" customHeight="1" thickBot="1" x14ac:dyDescent="0.2">
      <c r="A552" s="21" t="s">
        <v>635</v>
      </c>
      <c r="B552" s="22">
        <v>21</v>
      </c>
      <c r="C552" s="22">
        <v>24</v>
      </c>
      <c r="D552" s="2" t="s">
        <v>432</v>
      </c>
      <c r="E552" s="22"/>
      <c r="F552" s="69">
        <f>L524</f>
        <v>4762396.5299999993</v>
      </c>
      <c r="G552" s="69">
        <f>L529</f>
        <v>429364.62463207141</v>
      </c>
      <c r="H552" s="69">
        <f>L534</f>
        <v>157123.51</v>
      </c>
      <c r="I552" s="69">
        <f>L539</f>
        <v>59541.84</v>
      </c>
      <c r="J552" s="69">
        <f>L544</f>
        <v>258069.95544153976</v>
      </c>
      <c r="K552" s="69">
        <f>SUM(F552:J552)</f>
        <v>5666496.4600736108</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13057516.379999999</v>
      </c>
      <c r="G553" s="70">
        <f t="shared" si="42"/>
        <v>1317908.98</v>
      </c>
      <c r="H553" s="70">
        <f t="shared" si="42"/>
        <v>482281.17000000004</v>
      </c>
      <c r="I553" s="70">
        <f t="shared" si="42"/>
        <v>182760.09999999998</v>
      </c>
      <c r="J553" s="70">
        <f t="shared" si="42"/>
        <v>792130.26</v>
      </c>
      <c r="K553" s="70">
        <f t="shared" si="42"/>
        <v>15832596.889999999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14238</v>
      </c>
      <c r="I576" s="69">
        <f>SUM(F576:H576)</f>
        <v>14238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482620.87</v>
      </c>
      <c r="G583" s="18">
        <v>647324.01</v>
      </c>
      <c r="H583" s="18">
        <v>1251639.44</v>
      </c>
      <c r="I583" s="69">
        <f t="shared" si="47"/>
        <v>2381584.3199999998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163663.34</v>
      </c>
      <c r="I585" s="69">
        <f t="shared" si="47"/>
        <v>163663.34</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4844.64+1049255.95</f>
        <v>1054100.5899999999</v>
      </c>
      <c r="I592" s="18">
        <f>2432.23+526773.54</f>
        <v>529205.77</v>
      </c>
      <c r="J592" s="18">
        <f>3516.35+761572.91</f>
        <v>765089.26</v>
      </c>
      <c r="K592" s="80">
        <f t="shared" ref="K592:K598" si="48">SUM(H592:J592)</f>
        <v>2348395.62</v>
      </c>
      <c r="L592" s="23" t="s">
        <v>288</v>
      </c>
      <c r="M592" s="8"/>
      <c r="N592" s="165"/>
    </row>
    <row r="593" spans="1:14" s="3" customFormat="1" ht="12.2" customHeight="1" x14ac:dyDescent="0.15">
      <c r="A593" s="3" t="s">
        <v>638</v>
      </c>
      <c r="B593" s="22">
        <v>23</v>
      </c>
      <c r="C593" s="22">
        <v>2</v>
      </c>
      <c r="D593" s="2" t="s">
        <v>432</v>
      </c>
      <c r="E593" s="22"/>
      <c r="F593" s="78">
        <v>2722</v>
      </c>
      <c r="G593" s="79" t="s">
        <v>97</v>
      </c>
      <c r="H593" s="18">
        <f>325486.07+30069.43+0.01</f>
        <v>355555.51</v>
      </c>
      <c r="I593" s="18">
        <f>163408.6+15096.2</f>
        <v>178504.80000000002</v>
      </c>
      <c r="J593" s="18">
        <f>236244.9+21825.05</f>
        <v>258069.94999999998</v>
      </c>
      <c r="K593" s="80">
        <f t="shared" si="48"/>
        <v>792130.26</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131099.24</v>
      </c>
      <c r="K594" s="80">
        <f t="shared" si="48"/>
        <v>131099.24</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15850.49</v>
      </c>
      <c r="J595" s="18">
        <v>72158.23</v>
      </c>
      <c r="K595" s="80">
        <f t="shared" si="48"/>
        <v>88008.72</v>
      </c>
      <c r="L595" s="23" t="s">
        <v>288</v>
      </c>
      <c r="M595" s="8"/>
      <c r="N595" s="165"/>
    </row>
    <row r="596" spans="1:14" s="3" customFormat="1" ht="12.2" customHeight="1" x14ac:dyDescent="0.15">
      <c r="A596" s="103" t="s">
        <v>652</v>
      </c>
      <c r="B596" s="22">
        <v>23</v>
      </c>
      <c r="C596" s="22">
        <v>5</v>
      </c>
      <c r="D596" s="2" t="s">
        <v>432</v>
      </c>
      <c r="E596" s="22"/>
      <c r="F596" s="78">
        <v>2725</v>
      </c>
      <c r="G596" s="79" t="s">
        <v>97</v>
      </c>
      <c r="H596" s="18">
        <f>1956.36+2170.22+1119.71+1082.7</f>
        <v>6328.99</v>
      </c>
      <c r="I596" s="18">
        <v>6706.93</v>
      </c>
      <c r="J596" s="18">
        <v>5918.78</v>
      </c>
      <c r="K596" s="80">
        <f t="shared" si="48"/>
        <v>18954.7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4210.96</v>
      </c>
      <c r="I598" s="18">
        <v>2114.09</v>
      </c>
      <c r="J598" s="18">
        <v>3056.41</v>
      </c>
      <c r="K598" s="80">
        <f t="shared" si="48"/>
        <v>9381.4599999999991</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1420196.0499999998</v>
      </c>
      <c r="I599" s="81">
        <f>SUM(I592:I598)</f>
        <v>732382.08000000007</v>
      </c>
      <c r="J599" s="81">
        <f>SUM(J592:J598)</f>
        <v>1235391.8699999999</v>
      </c>
      <c r="K599" s="81">
        <f>SUM(K592:K598)</f>
        <v>3387970.0000000005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2985.17+644.86+14332.17+449903.46</f>
        <v>467865.66000000003</v>
      </c>
      <c r="I605" s="18">
        <f>1498.69+323.75+7195.39+259779.27</f>
        <v>268797.09999999998</v>
      </c>
      <c r="J605" s="18">
        <f>2166.7+468.05+10402.6+387015.09</f>
        <v>400052.44</v>
      </c>
      <c r="K605" s="80">
        <f>SUM(H605:J605)</f>
        <v>1136715.2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467865.66000000003</v>
      </c>
      <c r="I606" s="81">
        <f>SUM(I603:I605)</f>
        <v>268797.09999999998</v>
      </c>
      <c r="J606" s="81">
        <f>SUM(J603:J605)</f>
        <v>400052.44</v>
      </c>
      <c r="K606" s="81">
        <f>SUM(K603:K605)</f>
        <v>1136715.2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8782701.5</v>
      </c>
      <c r="H618" s="80">
        <f>SUM(F52)</f>
        <v>8782701.5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447026.27</v>
      </c>
      <c r="H619" s="80">
        <f>SUM(G52)</f>
        <v>447026.27</v>
      </c>
      <c r="I619" s="87" t="s">
        <v>875</v>
      </c>
      <c r="J619" s="80">
        <f>G619-H619</f>
        <v>0</v>
      </c>
      <c r="K619" s="80"/>
      <c r="L619" s="80"/>
      <c r="M619" s="8"/>
    </row>
    <row r="620" spans="1:14" s="3" customFormat="1" ht="12.2" customHeight="1" x14ac:dyDescent="0.15">
      <c r="A620" s="74"/>
      <c r="B620" s="22"/>
      <c r="C620" s="22"/>
      <c r="D620" s="22"/>
      <c r="E620" s="22"/>
      <c r="F620" s="87" t="s">
        <v>685</v>
      </c>
      <c r="G620" s="80">
        <f>SUM(H19)</f>
        <v>490510.89</v>
      </c>
      <c r="H620" s="80">
        <f>SUM(H52)</f>
        <v>490510.89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1780888.63</v>
      </c>
      <c r="H622" s="80">
        <f>SUM(J52)</f>
        <v>1780888.63</v>
      </c>
      <c r="I622" s="87" t="s">
        <v>878</v>
      </c>
      <c r="J622" s="80">
        <f>G622-H622</f>
        <v>0</v>
      </c>
      <c r="K622" s="80"/>
      <c r="L622" s="80"/>
      <c r="M622" s="8"/>
    </row>
    <row r="623" spans="1:14" s="3" customFormat="1" ht="12.2" customHeight="1" x14ac:dyDescent="0.15">
      <c r="A623" s="74"/>
      <c r="B623" s="22"/>
      <c r="C623" s="22"/>
      <c r="D623" s="22"/>
      <c r="E623" s="22"/>
      <c r="F623" s="87" t="s">
        <v>864</v>
      </c>
      <c r="G623" s="80">
        <f>F51</f>
        <v>5073059.1899999995</v>
      </c>
      <c r="H623" s="80">
        <f>F477</f>
        <v>5073059.1899999976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330707.5</v>
      </c>
      <c r="H624" s="80">
        <f>G477</f>
        <v>330707.5</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1780888.63</v>
      </c>
      <c r="H627" s="80">
        <f>J477</f>
        <v>1780888.63</v>
      </c>
      <c r="I627" s="87" t="s">
        <v>105</v>
      </c>
      <c r="J627" s="80">
        <f t="shared" si="50"/>
        <v>0</v>
      </c>
      <c r="K627" s="67"/>
      <c r="L627" s="69"/>
      <c r="M627" s="8"/>
    </row>
    <row r="628" spans="1:13" s="3" customFormat="1" ht="12.2" customHeight="1" x14ac:dyDescent="0.15">
      <c r="A628" s="21"/>
      <c r="B628" s="22"/>
      <c r="C628" s="22"/>
      <c r="D628" s="22"/>
      <c r="E628" s="22"/>
      <c r="F628" s="86" t="s">
        <v>658</v>
      </c>
      <c r="G628" s="80">
        <f>F194</f>
        <v>71072187.520000011</v>
      </c>
      <c r="H628" s="80">
        <f>SUM(F469)</f>
        <v>71072187.519999996</v>
      </c>
      <c r="I628" s="87" t="s">
        <v>106</v>
      </c>
      <c r="J628" s="80">
        <f>G628-H628</f>
        <v>0</v>
      </c>
      <c r="K628" s="67"/>
      <c r="L628" s="69"/>
      <c r="M628" s="8"/>
    </row>
    <row r="629" spans="1:13" s="3" customFormat="1" ht="12.2" customHeight="1" x14ac:dyDescent="0.15">
      <c r="A629" s="21"/>
      <c r="B629" s="22"/>
      <c r="C629" s="22"/>
      <c r="D629" s="22"/>
      <c r="E629" s="22"/>
      <c r="F629" s="86" t="s">
        <v>659</v>
      </c>
      <c r="G629" s="80">
        <f>G194</f>
        <v>1439496.4200000002</v>
      </c>
      <c r="H629" s="80">
        <f>SUM(G469)</f>
        <v>1439496.42</v>
      </c>
      <c r="I629" s="87" t="s">
        <v>107</v>
      </c>
      <c r="J629" s="80">
        <f>G629-H629</f>
        <v>0</v>
      </c>
      <c r="K629" s="67"/>
      <c r="L629" s="69"/>
      <c r="M629" s="8"/>
    </row>
    <row r="630" spans="1:13" s="3" customFormat="1" ht="12.2" customHeight="1" x14ac:dyDescent="0.15">
      <c r="A630" s="21"/>
      <c r="B630" s="22"/>
      <c r="C630" s="22"/>
      <c r="D630" s="22"/>
      <c r="E630" s="22"/>
      <c r="F630" s="86" t="s">
        <v>660</v>
      </c>
      <c r="G630" s="80">
        <f>H194</f>
        <v>2225966.1599999997</v>
      </c>
      <c r="H630" s="80">
        <f>SUM(H469)</f>
        <v>2225966.16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489165.18000000005</v>
      </c>
      <c r="H632" s="80">
        <f>SUM(J469)</f>
        <v>489165.18000000005</v>
      </c>
      <c r="I632" s="87" t="s">
        <v>110</v>
      </c>
      <c r="J632" s="80">
        <f>G632-H632</f>
        <v>0</v>
      </c>
      <c r="K632" s="67"/>
      <c r="L632" s="69"/>
      <c r="M632" s="8"/>
    </row>
    <row r="633" spans="1:13" s="3" customFormat="1" ht="12.2" customHeight="1" x14ac:dyDescent="0.15">
      <c r="A633" s="21"/>
      <c r="B633" s="22"/>
      <c r="C633" s="22"/>
      <c r="D633" s="22"/>
      <c r="E633" s="22"/>
      <c r="F633" s="86" t="s">
        <v>394</v>
      </c>
      <c r="G633" s="80">
        <f>SUM(L272)</f>
        <v>73239049.890000001</v>
      </c>
      <c r="H633" s="80">
        <f>SUM(F473)</f>
        <v>73239049.890000001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2225966.16</v>
      </c>
      <c r="H634" s="80">
        <f>SUM(H473)</f>
        <v>2225966.16</v>
      </c>
      <c r="I634" s="87" t="s">
        <v>112</v>
      </c>
      <c r="J634" s="80">
        <f>G634-H634</f>
        <v>0</v>
      </c>
      <c r="K634" s="67"/>
      <c r="L634" s="69"/>
      <c r="M634" s="8"/>
    </row>
    <row r="635" spans="1:13" s="124" customFormat="1" ht="12.2" customHeight="1" x14ac:dyDescent="0.15">
      <c r="A635" s="21"/>
      <c r="B635" s="22"/>
      <c r="C635" s="22"/>
      <c r="D635" s="22"/>
      <c r="E635" s="22"/>
      <c r="F635" s="99" t="s">
        <v>247</v>
      </c>
      <c r="G635" s="80">
        <f>I363</f>
        <v>583770.22</v>
      </c>
      <c r="H635" s="80">
        <f>I370</f>
        <v>583770.22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1488402.67</v>
      </c>
      <c r="H636" s="80">
        <f>SUM(G473)</f>
        <v>1488402.67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489165.18000000005</v>
      </c>
      <c r="H638" s="108">
        <f>SUM(J469)</f>
        <v>489165.18000000005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122147.35</v>
      </c>
      <c r="H639" s="108">
        <f>SUM(J473)</f>
        <v>122147.35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1043972.45</v>
      </c>
      <c r="H640" s="80">
        <f>SUM(F462)</f>
        <v>1043972.45</v>
      </c>
      <c r="I640" s="87" t="s">
        <v>840</v>
      </c>
      <c r="J640" s="80">
        <f t="shared" si="50"/>
        <v>0</v>
      </c>
      <c r="K640" s="67"/>
      <c r="L640" s="69"/>
      <c r="M640" s="8"/>
    </row>
    <row r="641" spans="1:13" s="3" customFormat="1" ht="12.2" customHeight="1" x14ac:dyDescent="0.15">
      <c r="A641" s="21"/>
      <c r="B641" s="22"/>
      <c r="C641" s="22"/>
      <c r="D641" s="22"/>
      <c r="E641" s="22"/>
      <c r="F641" s="86" t="s">
        <v>119</v>
      </c>
      <c r="G641" s="80">
        <f>SUM(G447)</f>
        <v>40594.89</v>
      </c>
      <c r="H641" s="80">
        <f>SUM(G462)</f>
        <v>40594.890000000014</v>
      </c>
      <c r="I641" s="87" t="s">
        <v>841</v>
      </c>
      <c r="J641" s="80">
        <f t="shared" si="50"/>
        <v>0</v>
      </c>
      <c r="K641" s="67"/>
      <c r="L641" s="69"/>
      <c r="M641" s="8"/>
    </row>
    <row r="642" spans="1:13" s="3" customFormat="1" ht="12.2" customHeight="1" x14ac:dyDescent="0.15">
      <c r="A642" s="21"/>
      <c r="B642" s="22"/>
      <c r="C642" s="22"/>
      <c r="D642" s="22"/>
      <c r="E642" s="22"/>
      <c r="F642" s="86" t="s">
        <v>120</v>
      </c>
      <c r="G642" s="80">
        <f>SUM(H447)</f>
        <v>696321.29</v>
      </c>
      <c r="H642" s="80">
        <f>SUM(H462)</f>
        <v>696321.29</v>
      </c>
      <c r="I642" s="87" t="s">
        <v>842</v>
      </c>
      <c r="J642" s="80">
        <f t="shared" si="50"/>
        <v>0</v>
      </c>
      <c r="K642" s="67"/>
      <c r="L642" s="69"/>
      <c r="M642" s="8"/>
    </row>
    <row r="643" spans="1:13" s="3" customFormat="1" ht="12.2" customHeight="1" x14ac:dyDescent="0.15">
      <c r="A643" s="21"/>
      <c r="B643" s="22"/>
      <c r="C643" s="22"/>
      <c r="D643" s="22"/>
      <c r="E643" s="22"/>
      <c r="F643" s="86" t="s">
        <v>121</v>
      </c>
      <c r="G643" s="80">
        <f>SUM(I447)</f>
        <v>1780888.63</v>
      </c>
      <c r="H643" s="80">
        <f>SUM(I462)</f>
        <v>1780888.63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489165.18000000005</v>
      </c>
      <c r="H647" s="80">
        <f>L409</f>
        <v>489165.18000000005</v>
      </c>
      <c r="I647" s="87" t="s">
        <v>477</v>
      </c>
      <c r="J647" s="80">
        <f t="shared" si="50"/>
        <v>0</v>
      </c>
      <c r="K647" s="67"/>
      <c r="L647" s="69"/>
      <c r="M647" s="8"/>
    </row>
    <row r="648" spans="1:13" s="3" customFormat="1" ht="12.2" customHeight="1" x14ac:dyDescent="0.15">
      <c r="A648" s="21"/>
      <c r="B648" s="22"/>
      <c r="C648" s="22"/>
      <c r="D648" s="22"/>
      <c r="E648" s="22"/>
      <c r="F648" s="86" t="s">
        <v>51</v>
      </c>
      <c r="G648" s="80">
        <f>K599</f>
        <v>3387970.0000000005</v>
      </c>
      <c r="H648" s="80">
        <f>L209+L227+L245</f>
        <v>3387970</v>
      </c>
      <c r="I648" s="87" t="s">
        <v>396</v>
      </c>
      <c r="J648" s="80">
        <f t="shared" si="50"/>
        <v>0</v>
      </c>
      <c r="K648" s="67"/>
      <c r="L648" s="69"/>
      <c r="M648" s="8"/>
    </row>
    <row r="649" spans="1:13" s="3" customFormat="1" ht="12.2" customHeight="1" x14ac:dyDescent="0.15">
      <c r="A649" s="21"/>
      <c r="B649" s="22"/>
      <c r="C649" s="22"/>
      <c r="D649" s="22"/>
      <c r="E649" s="22"/>
      <c r="F649" s="86" t="s">
        <v>52</v>
      </c>
      <c r="G649" s="80">
        <f>K606</f>
        <v>1136715.2</v>
      </c>
      <c r="H649" s="80">
        <f>(J258+J339)-(J256+J337)</f>
        <v>1136715.1999999997</v>
      </c>
      <c r="I649" s="87" t="s">
        <v>699</v>
      </c>
      <c r="J649" s="80">
        <f t="shared" si="50"/>
        <v>0</v>
      </c>
      <c r="K649" s="67"/>
      <c r="L649" s="69"/>
      <c r="M649" s="8"/>
    </row>
    <row r="650" spans="1:13" s="3" customFormat="1" ht="12.2" customHeight="1" x14ac:dyDescent="0.15">
      <c r="A650" s="21"/>
      <c r="B650" s="22"/>
      <c r="C650" s="22"/>
      <c r="D650" s="22"/>
      <c r="E650" s="22"/>
      <c r="F650" s="86" t="s">
        <v>387</v>
      </c>
      <c r="G650" s="80">
        <f>L209</f>
        <v>1420196.05</v>
      </c>
      <c r="H650" s="80">
        <f>H599</f>
        <v>1420196.0499999998</v>
      </c>
      <c r="I650" s="87" t="s">
        <v>388</v>
      </c>
      <c r="J650" s="80">
        <f t="shared" si="50"/>
        <v>0</v>
      </c>
      <c r="K650" s="67"/>
      <c r="L650" s="69"/>
      <c r="M650" s="8"/>
    </row>
    <row r="651" spans="1:13" s="3" customFormat="1" ht="12.2" customHeight="1" x14ac:dyDescent="0.15">
      <c r="A651" s="21"/>
      <c r="B651" s="22"/>
      <c r="C651" s="22"/>
      <c r="D651" s="22"/>
      <c r="E651" s="22"/>
      <c r="F651" s="86" t="s">
        <v>392</v>
      </c>
      <c r="G651" s="80">
        <f>L227</f>
        <v>732382.08</v>
      </c>
      <c r="H651" s="80">
        <f>I599</f>
        <v>732382.08000000007</v>
      </c>
      <c r="I651" s="87" t="s">
        <v>389</v>
      </c>
      <c r="J651" s="80">
        <f t="shared" si="50"/>
        <v>0</v>
      </c>
      <c r="K651" s="67"/>
      <c r="L651" s="69"/>
      <c r="M651" s="8"/>
    </row>
    <row r="652" spans="1:13" s="3" customFormat="1" ht="12.2" customHeight="1" x14ac:dyDescent="0.15">
      <c r="A652" s="21"/>
      <c r="B652" s="22"/>
      <c r="C652" s="22"/>
      <c r="D652" s="22"/>
      <c r="E652" s="22"/>
      <c r="F652" s="86" t="s">
        <v>393</v>
      </c>
      <c r="G652" s="80">
        <f>L245</f>
        <v>1235391.8700000001</v>
      </c>
      <c r="H652" s="80">
        <f>J599</f>
        <v>1235391.8699999999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262.89999999999998</v>
      </c>
      <c r="H654" s="80">
        <f>K265</f>
        <v>262.89999999999998</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30527943.18</v>
      </c>
      <c r="G661" s="13">
        <f>(L230+L310+L360)</f>
        <v>16877572.959999997</v>
      </c>
      <c r="H661" s="13">
        <f>(L248+L329+L361)</f>
        <v>23672601.98</v>
      </c>
      <c r="I661" s="13">
        <f>SUM(F661:H661)</f>
        <v>71078118.120000005</v>
      </c>
      <c r="J661" s="13"/>
      <c r="K661" s="13"/>
      <c r="L661" s="13"/>
      <c r="M661" s="9"/>
    </row>
    <row r="662" spans="1:13" s="3" customFormat="1" ht="12.2" customHeight="1" x14ac:dyDescent="0.2">
      <c r="A662" s="1" t="s">
        <v>127</v>
      </c>
      <c r="F662" s="13">
        <f>(L359/IF(SUM(L359:L361)=0,1,SUM(L359:L361))*(SUM(G97:G110)))</f>
        <v>448301.45977317519</v>
      </c>
      <c r="G662" s="13">
        <f>(L360/IF(SUM(L359:L361)=0,1,SUM(L359:L361))*(SUM(G97:G110)))</f>
        <v>225067.43100782836</v>
      </c>
      <c r="H662" s="13">
        <f>(L361/IF(SUM(L359:L361)=0,1,SUM(L359:L361))*(SUM(G97:G110)))</f>
        <v>325386.99921899661</v>
      </c>
      <c r="I662" s="13">
        <f>SUM(F662:H662)</f>
        <v>998755.89000000013</v>
      </c>
      <c r="J662"/>
      <c r="K662" s="13"/>
      <c r="L662" s="13"/>
      <c r="M662" s="8"/>
    </row>
    <row r="663" spans="1:13" s="3" customFormat="1" ht="12.2" customHeight="1" x14ac:dyDescent="0.2">
      <c r="A663" s="1" t="s">
        <v>128</v>
      </c>
      <c r="F663" s="13">
        <f>(L209+L288)-(J209+J288)</f>
        <v>1420196.05</v>
      </c>
      <c r="G663" s="13">
        <f>(L227+L307)-(J227+J307)</f>
        <v>732382.08</v>
      </c>
      <c r="H663" s="13">
        <f>(L245+L326)-(J245+J326)</f>
        <v>1235391.8700000001</v>
      </c>
      <c r="I663" s="13">
        <f>SUM(F663:H663)</f>
        <v>3387970</v>
      </c>
      <c r="J663"/>
      <c r="K663" s="13"/>
      <c r="L663" s="13"/>
      <c r="M663" s="9"/>
    </row>
    <row r="664" spans="1:13" s="3" customFormat="1" ht="12.2" customHeight="1" x14ac:dyDescent="0.15">
      <c r="A664" s="142" t="s">
        <v>129</v>
      </c>
      <c r="B664" s="124"/>
      <c r="C664" s="124"/>
      <c r="D664" s="124"/>
      <c r="E664" s="124"/>
      <c r="F664" s="143">
        <f>SUM(F576:F588)+SUM(H603:H605)+SUM(L612)</f>
        <v>950486.53</v>
      </c>
      <c r="G664" s="143">
        <f>SUM(G576:G588)+SUM(I603:I605)+L613</f>
        <v>916121.11</v>
      </c>
      <c r="H664" s="143">
        <f>SUM(H576:H588)+SUM(J603:J605)+L614</f>
        <v>1829593.22</v>
      </c>
      <c r="I664" s="13">
        <f>SUM(F664:H664)</f>
        <v>3696200.8600000003</v>
      </c>
      <c r="J664" s="13"/>
      <c r="K664" s="13"/>
      <c r="L664" s="13"/>
      <c r="M664" s="9"/>
    </row>
    <row r="665" spans="1:13" s="3" customFormat="1" ht="12.2" customHeight="1" x14ac:dyDescent="0.15">
      <c r="A665" s="1" t="s">
        <v>130</v>
      </c>
      <c r="F665" s="13">
        <f>F661-SUM(F662:F664)</f>
        <v>27708959.140226826</v>
      </c>
      <c r="G665" s="13">
        <f>G661-SUM(G662:G664)</f>
        <v>15004002.338992169</v>
      </c>
      <c r="H665" s="13">
        <f>H661-SUM(H662:H664)</f>
        <v>20282229.890781004</v>
      </c>
      <c r="I665" s="13">
        <f>I661-SUM(I662:I664)</f>
        <v>62995191.370000005</v>
      </c>
      <c r="J665" s="13"/>
      <c r="K665" s="13"/>
      <c r="L665" s="13"/>
      <c r="M665" s="8"/>
    </row>
    <row r="666" spans="1:13" s="3" customFormat="1" ht="12.2" customHeight="1" x14ac:dyDescent="0.2">
      <c r="A666" s="1" t="s">
        <v>131</v>
      </c>
      <c r="F666" s="183">
        <v>1463.07</v>
      </c>
      <c r="G666" s="184">
        <v>732.8</v>
      </c>
      <c r="H666" s="184">
        <v>987.68</v>
      </c>
      <c r="I666" s="13">
        <f>SUM(F666:H666)</f>
        <v>3183.5499999999997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18938.919999999998</v>
      </c>
      <c r="G668" s="13">
        <f>ROUND(G665/G666,2)</f>
        <v>20474.89</v>
      </c>
      <c r="H668" s="13">
        <f>ROUND(H665/H666,2)</f>
        <v>20535.22</v>
      </c>
      <c r="I668" s="13">
        <f>ROUND(I665/I666,2)</f>
        <v>19787.72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-35.67</v>
      </c>
      <c r="I671" s="13">
        <f>SUM(F671:H671)</f>
        <v>-35.67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18938.919999999998</v>
      </c>
      <c r="G673" s="13">
        <f>ROUND((G665+G670)/(G666+G671),2)</f>
        <v>20474.89</v>
      </c>
      <c r="H673" s="13">
        <f>ROUND((H665+H670)/(H666+H671),2)</f>
        <v>21304.639999999999</v>
      </c>
      <c r="I673" s="13">
        <f>ROUND((I665+I670)/(I666+I671),2)</f>
        <v>20011.939999999999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11" man="1"/>
    <brk id="170" max="11" man="1"/>
    <brk id="194" max="11" man="1"/>
    <brk id="212" max="11" man="1"/>
    <brk id="230" max="11" man="1"/>
    <brk id="248" max="11" man="1"/>
    <brk id="272" max="11" man="1"/>
    <brk id="291" max="11" man="1"/>
    <brk id="310" max="11" man="1"/>
    <brk id="329" max="11" man="1"/>
    <brk id="353" max="11" man="1"/>
    <brk id="383" max="11" man="1"/>
    <brk id="409" max="11" man="1"/>
    <brk id="435" max="11" man="1"/>
    <brk id="462" max="11" man="1"/>
    <brk id="486" max="11" man="1"/>
    <brk id="518" max="11" man="1"/>
    <brk id="553" max="11" man="1"/>
    <brk id="589" max="11" man="1"/>
    <brk id="616" max="11" man="1"/>
    <brk id="657" max="11"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123210.31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68494.83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9300+15415.48+30000</f>
        <v>54715.479999999996</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Timberlane Regional</v>
      </c>
      <c r="C5" s="317"/>
      <c r="D5" s="317"/>
      <c r="E5" s="317"/>
      <c r="F5" s="317"/>
    </row>
    <row r="8" spans="1:9" ht="18" x14ac:dyDescent="0.25">
      <c r="A8" s="240" t="s">
        <v>1560</v>
      </c>
      <c r="F8" s="247" t="s">
        <v>1578</v>
      </c>
    </row>
    <row r="9" spans="1:9" ht="15" x14ac:dyDescent="0.2">
      <c r="A9" s="238" t="s">
        <v>1561</v>
      </c>
      <c r="B9" s="241">
        <f>'DOE25'!G97</f>
        <v>998755.89000000013</v>
      </c>
      <c r="F9" s="238" t="s">
        <v>1574</v>
      </c>
    </row>
    <row r="10" spans="1:9" ht="15" x14ac:dyDescent="0.2">
      <c r="A10" s="238" t="s">
        <v>1562</v>
      </c>
      <c r="B10" s="241">
        <f>'DOE25'!G112-'DOE25'!G97</f>
        <v>0</v>
      </c>
      <c r="F10" s="238" t="s">
        <v>1575</v>
      </c>
    </row>
    <row r="11" spans="1:9" ht="15" x14ac:dyDescent="0.2">
      <c r="A11" s="238" t="s">
        <v>1563</v>
      </c>
      <c r="B11" s="241">
        <f>'DOE25'!G140</f>
        <v>18665.66</v>
      </c>
      <c r="F11" s="238" t="s">
        <v>1576</v>
      </c>
    </row>
    <row r="12" spans="1:9" ht="15" x14ac:dyDescent="0.2">
      <c r="A12" s="238" t="s">
        <v>1564</v>
      </c>
      <c r="B12" s="241">
        <f>'DOE25'!G170</f>
        <v>422074.87</v>
      </c>
      <c r="F12" s="238" t="s">
        <v>1577</v>
      </c>
    </row>
    <row r="13" spans="1:9" ht="15" x14ac:dyDescent="0.2">
      <c r="A13" s="238" t="s">
        <v>1565</v>
      </c>
      <c r="B13" s="241">
        <f>'DOE25'!G193-'DOE25'!G180</f>
        <v>0</v>
      </c>
      <c r="F13" s="238" t="s">
        <v>1587</v>
      </c>
    </row>
    <row r="14" spans="1:9" ht="18" x14ac:dyDescent="0.25">
      <c r="A14" s="240" t="s">
        <v>732</v>
      </c>
      <c r="B14" s="242">
        <f>SUM(B9:B13)</f>
        <v>1439496.4200000002</v>
      </c>
    </row>
    <row r="16" spans="1:9" ht="18" x14ac:dyDescent="0.25">
      <c r="A16" s="240" t="s">
        <v>786</v>
      </c>
      <c r="F16" s="247" t="s">
        <v>1579</v>
      </c>
    </row>
    <row r="17" spans="1:6" ht="15" x14ac:dyDescent="0.2">
      <c r="A17" s="238" t="s">
        <v>1566</v>
      </c>
      <c r="B17" s="241">
        <f>'DOE25'!L363-'DOE25'!L362</f>
        <v>1488402.67</v>
      </c>
      <c r="F17" s="238" t="s">
        <v>1580</v>
      </c>
    </row>
    <row r="18" spans="1:6" ht="15" x14ac:dyDescent="0.2">
      <c r="A18" s="238" t="s">
        <v>1567</v>
      </c>
      <c r="B18" s="251"/>
      <c r="F18" s="247" t="s">
        <v>1604</v>
      </c>
    </row>
    <row r="19" spans="1:6" ht="18" x14ac:dyDescent="0.25">
      <c r="A19" s="240" t="s">
        <v>725</v>
      </c>
      <c r="B19" s="242">
        <f>SUM(B17:B18)</f>
        <v>1488402.67</v>
      </c>
    </row>
    <row r="21" spans="1:6" ht="18.75" thickBot="1" x14ac:dyDescent="0.3">
      <c r="A21" s="240" t="s">
        <v>1568</v>
      </c>
    </row>
    <row r="22" spans="1:6" ht="18.75" thickTop="1" x14ac:dyDescent="0.25">
      <c r="A22" s="240" t="s">
        <v>1569</v>
      </c>
      <c r="B22" s="246">
        <f>B14-B19</f>
        <v>-48906.249999999767</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379613.75</v>
      </c>
      <c r="F31" s="238" t="s">
        <v>1584</v>
      </c>
    </row>
    <row r="33" spans="1:6" ht="15" x14ac:dyDescent="0.2">
      <c r="A33" s="238" t="s">
        <v>1798</v>
      </c>
      <c r="B33" s="241">
        <f>'DOE25'!G477</f>
        <v>330707.5</v>
      </c>
      <c r="F33" s="238" t="s">
        <v>1585</v>
      </c>
    </row>
    <row r="36" spans="1:6" ht="15" x14ac:dyDescent="0.2">
      <c r="A36" s="238" t="s">
        <v>1571</v>
      </c>
      <c r="B36" s="252">
        <v>123982.13</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23" sqref="E2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Timberlane Regional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17968323.590000004</v>
      </c>
      <c r="C9" s="167">
        <f>'DOE25'!G198+'DOE25'!G216+'DOE25'!G234+'DOE25'!G277+'DOE25'!G296+'DOE25'!G315</f>
        <v>10352125.949999999</v>
      </c>
    </row>
    <row r="10" spans="1:3" x14ac:dyDescent="0.2">
      <c r="A10" t="s">
        <v>775</v>
      </c>
      <c r="B10" s="177">
        <v>15891882.74</v>
      </c>
      <c r="C10" s="177">
        <v>9155821.9598554708</v>
      </c>
    </row>
    <row r="11" spans="1:3" x14ac:dyDescent="0.2">
      <c r="A11" t="s">
        <v>776</v>
      </c>
      <c r="B11" s="177">
        <v>1611229.98</v>
      </c>
      <c r="C11" s="177">
        <v>928281.12783202494</v>
      </c>
    </row>
    <row r="12" spans="1:3" x14ac:dyDescent="0.2">
      <c r="A12" t="s">
        <v>777</v>
      </c>
      <c r="B12" s="177">
        <v>465210.87</v>
      </c>
      <c r="C12" s="177">
        <v>268022.86231250333</v>
      </c>
    </row>
    <row r="13" spans="1:3" x14ac:dyDescent="0.2">
      <c r="A13" t="str">
        <f>IF(B9=B13,IF(C9=C13,"Check Total OK","Check Total Error"),"Check Total Error")</f>
        <v>Check Total OK</v>
      </c>
      <c r="B13" s="169">
        <f>SUM(B10:B12)</f>
        <v>17968323.59</v>
      </c>
      <c r="C13" s="169">
        <f>SUM(C10:C12)</f>
        <v>10352125.949999999</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6650113.6200000001</v>
      </c>
      <c r="C18" s="167">
        <f>'DOE25'!G199+'DOE25'!G217+'DOE25'!G235+'DOE25'!G278+'DOE25'!G297+'DOE25'!G316</f>
        <v>3399562.12</v>
      </c>
    </row>
    <row r="19" spans="1:3" x14ac:dyDescent="0.2">
      <c r="A19" t="s">
        <v>775</v>
      </c>
      <c r="B19" s="177">
        <v>3880223.73</v>
      </c>
      <c r="C19" s="177">
        <v>1983584.3962066181</v>
      </c>
    </row>
    <row r="20" spans="1:3" x14ac:dyDescent="0.2">
      <c r="A20" t="s">
        <v>776</v>
      </c>
      <c r="B20" s="177">
        <v>2280728.7400000002</v>
      </c>
      <c r="C20" s="177">
        <v>1165916.7757947764</v>
      </c>
    </row>
    <row r="21" spans="1:3" x14ac:dyDescent="0.2">
      <c r="A21" t="s">
        <v>777</v>
      </c>
      <c r="B21" s="177">
        <v>489161.15</v>
      </c>
      <c r="C21" s="177">
        <v>250060.94799860549</v>
      </c>
    </row>
    <row r="22" spans="1:3" x14ac:dyDescent="0.2">
      <c r="A22" t="str">
        <f>IF(B18=B22,IF(C18=C22,"Check Total OK","Check Total Error"),"Check Total Error")</f>
        <v>Check Total OK</v>
      </c>
      <c r="B22" s="169">
        <f>SUM(B19:B21)</f>
        <v>6650113.620000001</v>
      </c>
      <c r="C22" s="169">
        <f>SUM(C19:C21)</f>
        <v>3399562.12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558043.46</v>
      </c>
      <c r="C36" s="173">
        <f>'DOE25'!G201+'DOE25'!G219+'DOE25'!G237+'DOE25'!G280+'DOE25'!G299+'DOE25'!G318</f>
        <v>324378.44</v>
      </c>
    </row>
    <row r="37" spans="1:3" x14ac:dyDescent="0.2">
      <c r="A37" t="s">
        <v>775</v>
      </c>
      <c r="B37" s="177">
        <v>401641.74</v>
      </c>
      <c r="C37" s="177">
        <v>233465.54596318648</v>
      </c>
    </row>
    <row r="38" spans="1:3" x14ac:dyDescent="0.2">
      <c r="A38" t="s">
        <v>776</v>
      </c>
      <c r="B38" s="177">
        <v>0</v>
      </c>
      <c r="C38" s="177">
        <v>0</v>
      </c>
    </row>
    <row r="39" spans="1:3" x14ac:dyDescent="0.2">
      <c r="A39" t="s">
        <v>777</v>
      </c>
      <c r="B39" s="177">
        <v>156401.72</v>
      </c>
      <c r="C39" s="177">
        <v>90912.894036813566</v>
      </c>
    </row>
    <row r="40" spans="1:3" x14ac:dyDescent="0.2">
      <c r="A40" t="str">
        <f>IF(B36=B40,IF(C36=C40,"Check Total OK","Check Total Error"),"Check Total Error")</f>
        <v>Check Total OK</v>
      </c>
      <c r="B40" s="169">
        <f>SUM(B37:B39)</f>
        <v>558043.46</v>
      </c>
      <c r="C40" s="169">
        <f>SUM(C37:C39)</f>
        <v>324378.44000000006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0" sqref="F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Timberlane Regional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43894250.019999996</v>
      </c>
      <c r="D5" s="19">
        <f>SUM('DOE25'!L198:L201)+SUM('DOE25'!L216:L219)+SUM('DOE25'!L234:L237)-F5-G5-H5</f>
        <v>43118182.359999999</v>
      </c>
      <c r="E5" s="180"/>
      <c r="F5" s="181"/>
      <c r="G5" s="19">
        <f>SUM('DOE25'!J198:J201)+SUM('DOE25'!J216:J219)+SUM('DOE25'!J234:J237)</f>
        <v>637449.57999999996</v>
      </c>
      <c r="H5" s="19">
        <f>SUM('DOE25'!K198:K201)+SUM('DOE25'!K216:K219)+SUM('DOE25'!K234:K237)</f>
        <v>138618.08000000002</v>
      </c>
      <c r="I5" s="192"/>
    </row>
    <row r="6" spans="1:9" x14ac:dyDescent="0.2">
      <c r="A6" s="31">
        <v>2100</v>
      </c>
      <c r="B6" t="s">
        <v>796</v>
      </c>
      <c r="C6" s="206">
        <f t="shared" si="0"/>
        <v>5210570.4499999993</v>
      </c>
      <c r="D6" s="19">
        <f>'DOE25'!L203+'DOE25'!L221+'DOE25'!L239-F6-G6-H6</f>
        <v>5177842.8299999991</v>
      </c>
      <c r="E6" s="180"/>
      <c r="F6" s="181"/>
      <c r="G6" s="19">
        <f>'DOE25'!J203+'DOE25'!J221+'DOE25'!J239</f>
        <v>32727.62</v>
      </c>
      <c r="H6" s="19">
        <f>'DOE25'!K203+'DOE25'!K221+'DOE25'!K239</f>
        <v>0</v>
      </c>
      <c r="I6" s="192"/>
    </row>
    <row r="7" spans="1:9" x14ac:dyDescent="0.2">
      <c r="A7" s="31">
        <v>2200</v>
      </c>
      <c r="B7" t="s">
        <v>820</v>
      </c>
      <c r="C7" s="206">
        <f t="shared" si="0"/>
        <v>1525734.9300000002</v>
      </c>
      <c r="D7" s="19">
        <f>'DOE25'!L204+'DOE25'!L222+'DOE25'!L240-F7-G7-H7</f>
        <v>1518555.8000000003</v>
      </c>
      <c r="E7" s="180"/>
      <c r="F7" s="181"/>
      <c r="G7" s="19">
        <f>'DOE25'!J204+'DOE25'!J222+'DOE25'!J240</f>
        <v>7179.13</v>
      </c>
      <c r="H7" s="19">
        <f>'DOE25'!K204+'DOE25'!K222+'DOE25'!K240</f>
        <v>0</v>
      </c>
      <c r="I7" s="192"/>
    </row>
    <row r="8" spans="1:9" x14ac:dyDescent="0.2">
      <c r="A8" s="31">
        <v>2300</v>
      </c>
      <c r="B8" t="s">
        <v>797</v>
      </c>
      <c r="C8" s="206">
        <f t="shared" si="0"/>
        <v>1800113.57</v>
      </c>
      <c r="D8" s="180"/>
      <c r="E8" s="19">
        <f>'DOE25'!L205+'DOE25'!L223+'DOE25'!L241-F8-G8-H8-D9-D11</f>
        <v>1740182.79</v>
      </c>
      <c r="F8" s="181"/>
      <c r="G8" s="19">
        <f>'DOE25'!J205+'DOE25'!J223+'DOE25'!J241</f>
        <v>23670.75</v>
      </c>
      <c r="H8" s="19">
        <f>'DOE25'!K205+'DOE25'!K223+'DOE25'!K241</f>
        <v>36260.03</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4825723.26</v>
      </c>
      <c r="D12" s="19">
        <f>'DOE25'!L206+'DOE25'!L224+'DOE25'!L242-F12-G12-H12</f>
        <v>4790772.63</v>
      </c>
      <c r="E12" s="180"/>
      <c r="F12" s="181"/>
      <c r="G12" s="19">
        <f>'DOE25'!J206+'DOE25'!J224+'DOE25'!J242</f>
        <v>11316.43</v>
      </c>
      <c r="H12" s="19">
        <f>'DOE25'!K206+'DOE25'!K224+'DOE25'!K242</f>
        <v>23634.2</v>
      </c>
      <c r="I12" s="192"/>
    </row>
    <row r="13" spans="1:9" x14ac:dyDescent="0.2">
      <c r="A13" s="31">
        <v>2500</v>
      </c>
      <c r="B13" t="s">
        <v>798</v>
      </c>
      <c r="C13" s="206">
        <f t="shared" si="0"/>
        <v>693934.04</v>
      </c>
      <c r="D13" s="180"/>
      <c r="E13" s="19">
        <f>'DOE25'!L207+'DOE25'!L225+'DOE25'!L243-F13-G13-H13</f>
        <v>693934.04</v>
      </c>
      <c r="F13" s="181"/>
      <c r="G13" s="19">
        <f>'DOE25'!J207+'DOE25'!J225+'DOE25'!J243</f>
        <v>0</v>
      </c>
      <c r="H13" s="19">
        <f>'DOE25'!K207+'DOE25'!K225+'DOE25'!K243</f>
        <v>0</v>
      </c>
      <c r="I13" s="192"/>
    </row>
    <row r="14" spans="1:9" x14ac:dyDescent="0.2">
      <c r="A14" s="31">
        <v>2600</v>
      </c>
      <c r="B14" t="s">
        <v>818</v>
      </c>
      <c r="C14" s="206">
        <f t="shared" si="0"/>
        <v>5949761.4199999999</v>
      </c>
      <c r="D14" s="19">
        <f>'DOE25'!L208+'DOE25'!L226+'DOE25'!L244-F14-G14-H14</f>
        <v>5589705.1500000004</v>
      </c>
      <c r="E14" s="180"/>
      <c r="F14" s="181"/>
      <c r="G14" s="19">
        <f>'DOE25'!J208+'DOE25'!J226+'DOE25'!J244</f>
        <v>360056.27</v>
      </c>
      <c r="H14" s="19">
        <f>'DOE25'!K208+'DOE25'!K226+'DOE25'!K244</f>
        <v>0</v>
      </c>
      <c r="I14" s="192"/>
    </row>
    <row r="15" spans="1:9" x14ac:dyDescent="0.2">
      <c r="A15" s="31">
        <v>2700</v>
      </c>
      <c r="B15" t="s">
        <v>799</v>
      </c>
      <c r="C15" s="206">
        <f t="shared" si="0"/>
        <v>3387970</v>
      </c>
      <c r="D15" s="19">
        <f>'DOE25'!L209+'DOE25'!L227+'DOE25'!L245-F15-G15-H15</f>
        <v>3387970</v>
      </c>
      <c r="E15" s="180"/>
      <c r="F15" s="181"/>
      <c r="G15" s="19">
        <f>'DOE25'!J209+'DOE25'!J227+'DOE25'!J245</f>
        <v>0</v>
      </c>
      <c r="H15" s="19">
        <f>'DOE25'!K209+'DOE25'!K227+'DOE25'!K245</f>
        <v>0</v>
      </c>
      <c r="I15" s="192"/>
    </row>
    <row r="16" spans="1:9" x14ac:dyDescent="0.2">
      <c r="A16" s="31">
        <v>2800</v>
      </c>
      <c r="B16" t="s">
        <v>800</v>
      </c>
      <c r="C16" s="206">
        <f t="shared" si="0"/>
        <v>1026780.5499999999</v>
      </c>
      <c r="D16" s="180"/>
      <c r="E16" s="19">
        <f>'DOE25'!L210+'DOE25'!L228+'DOE25'!L246-F16-G16-H16</f>
        <v>1002382.5099999999</v>
      </c>
      <c r="F16" s="181"/>
      <c r="G16" s="19">
        <f>'DOE25'!J210+'DOE25'!J228+'DOE25'!J246</f>
        <v>24298.04</v>
      </c>
      <c r="H16" s="19">
        <f>'DOE25'!K210+'DOE25'!K228+'DOE25'!K246</f>
        <v>100</v>
      </c>
      <c r="I16" s="192"/>
    </row>
    <row r="17" spans="1:9" x14ac:dyDescent="0.2">
      <c r="A17" s="31">
        <v>1600</v>
      </c>
      <c r="B17" t="s">
        <v>801</v>
      </c>
      <c r="C17" s="206">
        <f t="shared" si="0"/>
        <v>153722.47</v>
      </c>
      <c r="D17" s="19">
        <f>'DOE25'!L252-F17-G17-H17</f>
        <v>153722.47</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5665890.8399999999</v>
      </c>
      <c r="D22" s="180"/>
      <c r="E22" s="180"/>
      <c r="F22" s="180"/>
      <c r="G22" s="19">
        <f>'DOE25'!L256+'DOE25'!L337</f>
        <v>5665890.8399999999</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613387.91</v>
      </c>
      <c r="D29" s="212">
        <f>'DOE25'!L359+'DOE25'!L360+'DOE25'!L361-'DOE25'!I368-F29-G29-H29-F39</f>
        <v>583387.91</v>
      </c>
      <c r="E29" s="180"/>
      <c r="F29" s="180"/>
      <c r="G29" s="19">
        <f>'DOE25'!J359+'DOE25'!J360+'DOE25'!J361</f>
        <v>0</v>
      </c>
      <c r="H29" s="19">
        <f>'DOE25'!K359+'DOE25'!K360+'DOE25'!K361</f>
        <v>30000</v>
      </c>
      <c r="I29" s="192"/>
    </row>
    <row r="30" spans="1:9" x14ac:dyDescent="0.2">
      <c r="A30" s="31"/>
      <c r="C30" s="207"/>
      <c r="D30" s="19"/>
      <c r="F30" s="201"/>
      <c r="G30" s="19"/>
      <c r="H30" s="19"/>
      <c r="I30" s="192"/>
    </row>
    <row r="31" spans="1:9" x14ac:dyDescent="0.2">
      <c r="A31" s="31" t="s">
        <v>817</v>
      </c>
      <c r="B31" t="s">
        <v>816</v>
      </c>
      <c r="C31" s="206">
        <f>SUM(D31:I31)</f>
        <v>1330301.5999999999</v>
      </c>
      <c r="D31" s="19">
        <f>'DOE25'!L291+'DOE25'!L310+'DOE25'!L329+'DOE25'!L334+'DOE25'!L335+'DOE25'!L336-F31-G31-H31</f>
        <v>1290284.22</v>
      </c>
      <c r="E31" s="180"/>
      <c r="F31" s="181"/>
      <c r="G31" s="19">
        <f>'DOE25'!J291+'DOE25'!J310+'DOE25'!J329+'DOE25'!J334+'DOE25'!J335+'DOE25'!J336</f>
        <v>40017.379999999997</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65610423.36999999</v>
      </c>
      <c r="E33" s="182">
        <f t="shared" si="1"/>
        <v>3436499.34</v>
      </c>
      <c r="F33" s="182">
        <f t="shared" si="1"/>
        <v>0</v>
      </c>
      <c r="G33" s="182">
        <f t="shared" si="1"/>
        <v>6802606.04</v>
      </c>
      <c r="H33" s="182">
        <f t="shared" si="1"/>
        <v>228612.31000000003</v>
      </c>
      <c r="I33" s="182">
        <f t="shared" si="1"/>
        <v>0</v>
      </c>
    </row>
    <row r="34" spans="1:9" ht="12" thickBot="1" x14ac:dyDescent="0.25"/>
    <row r="35" spans="1:9" ht="12" thickBot="1" x14ac:dyDescent="0.25">
      <c r="B35" s="188" t="s">
        <v>830</v>
      </c>
      <c r="D35" s="189">
        <f>E33</f>
        <v>3436499.34</v>
      </c>
      <c r="E35" s="185"/>
      <c r="F35" s="295" t="s">
        <v>1608</v>
      </c>
      <c r="G35" s="296"/>
      <c r="H35" s="296"/>
      <c r="I35" s="297"/>
    </row>
    <row r="36" spans="1:9" ht="12" thickTop="1" x14ac:dyDescent="0.2">
      <c r="B36" t="s">
        <v>810</v>
      </c>
      <c r="D36" s="19">
        <f>D33</f>
        <v>65610423.36999999</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437507.38</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Timberlane Regional</v>
      </c>
      <c r="B2">
        <f>'DOE25'!B2</f>
        <v>534</v>
      </c>
      <c r="J2" s="224" t="s">
        <v>1808</v>
      </c>
      <c r="K2" s="309">
        <f>SUM('DOE25'!L198:L201)+SUM('DOE25'!L216:L219)+SUM('DOE25'!L234:L237)+SUM('DOE25'!L277:L280)+SUM('DOE25'!L296:L299)+SUM('DOE25'!L315:L318)</f>
        <v>45051737.409999989</v>
      </c>
      <c r="L2" s="309">
        <f>'DOE25'!L203+'DOE25'!L221+'DOE25'!L239+'DOE25'!L282+'DOE25'!L301+'DOE25'!L320</f>
        <v>5211570.4499999993</v>
      </c>
      <c r="M2" s="309">
        <f>'DOE25'!L204+'DOE25'!L222+'DOE25'!L240+'DOE25'!L283+'DOE25'!L302+'DOE25'!L321</f>
        <v>1642124.75</v>
      </c>
      <c r="N2" s="309">
        <f>'DOE25'!L206+'DOE25'!L224+'DOE25'!L242+'DOE25'!L285+'DOE25'!L304+'DOE25'!L323</f>
        <v>4825723.26</v>
      </c>
      <c r="O2" s="309">
        <f>'Salaries-Benefits'!B10+'Salaries-Benefits'!B12+'Salaries-Benefits'!B19+'Salaries-Benefits'!B21+'Salaries-Benefits'!B28+'Salaries-Benefits'!B30+'Salaries-Benefits'!B37+'Salaries-Benefits'!B39</f>
        <v>21284521.949999996</v>
      </c>
      <c r="P2" s="309">
        <f>'Salaries-Benefits'!B11+'Salaries-Benefits'!B20+'Salaries-Benefits'!B29+'Salaries-Benefits'!B38</f>
        <v>3891958.72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-45051737.409999989</v>
      </c>
      <c r="L3" s="311">
        <f t="shared" ref="L3:P3" si="0">L21+L33+L43-L2</f>
        <v>-5211570.4499999993</v>
      </c>
      <c r="M3" s="311">
        <f t="shared" si="0"/>
        <v>-1642124.75</v>
      </c>
      <c r="N3" s="311">
        <f t="shared" si="0"/>
        <v>-4825723.26</v>
      </c>
      <c r="O3" s="311">
        <f t="shared" si="0"/>
        <v>-21284521.949999996</v>
      </c>
      <c r="P3" s="311">
        <f t="shared" si="0"/>
        <v>-3891958.72</v>
      </c>
      <c r="Q3" s="310"/>
      <c r="R3" s="306"/>
      <c r="S3" s="215"/>
      <c r="T3" s="215"/>
      <c r="U3" s="216"/>
    </row>
    <row r="4" spans="1:21" ht="55.5" customHeight="1" thickBot="1" x14ac:dyDescent="0.25">
      <c r="A4" s="224" t="s">
        <v>1522</v>
      </c>
      <c r="B4" s="224" t="s">
        <v>1523</v>
      </c>
      <c r="C4" s="224" t="s">
        <v>896</v>
      </c>
      <c r="D4" s="224" t="s">
        <v>786</v>
      </c>
      <c r="E4" s="224" t="s">
        <v>786</v>
      </c>
      <c r="F4" s="228">
        <f>SUM(F5:F20)</f>
        <v>29859858.919999998</v>
      </c>
      <c r="G4" s="229">
        <f>'DOE25'!L212+'DOE25'!L291</f>
        <v>29859858.919999998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482620.87</v>
      </c>
      <c r="E5" s="220"/>
      <c r="F5" s="232">
        <f>D5+E5</f>
        <v>482620.87</v>
      </c>
      <c r="G5" s="223"/>
      <c r="H5" s="223"/>
      <c r="J5" s="223"/>
      <c r="K5" s="223"/>
      <c r="L5" s="223"/>
      <c r="M5" s="223"/>
      <c r="N5" s="223"/>
      <c r="O5" s="223"/>
      <c r="P5" s="223"/>
      <c r="Q5" s="223"/>
    </row>
    <row r="6" spans="1:21" x14ac:dyDescent="0.2">
      <c r="A6" t="str" cm="1">
        <f t="array" ref="A6">IFERROR(INDEX('School Tables'!$A$4:$G$325,'School Tables'!$J4,3),"")</f>
        <v>Atkinson Academy</v>
      </c>
      <c r="B6" s="230">
        <f>IFERROR(VLOOKUP(A6,'School Tables'!$C$3:$D$365,2,FALSE),"")</f>
        <v>22740</v>
      </c>
      <c r="C6" s="223" t="str">
        <f>IFERROR(INDEX('School Tables'!$B$3:$B$365,MATCH('School Level Expenditures'!B6,'School Tables'!$D$3:$D$365,0)),"")</f>
        <v>Timberlane Regional</v>
      </c>
      <c r="D6" s="220">
        <v>6794487.7599999998</v>
      </c>
      <c r="E6" s="220">
        <v>134979.57</v>
      </c>
      <c r="F6" s="232">
        <f t="shared" ref="F6:F20" si="1">D6+E6</f>
        <v>6929467.3300000001</v>
      </c>
      <c r="G6" s="223"/>
      <c r="H6" s="223"/>
      <c r="J6" t="str">
        <f>A6</f>
        <v>Atkinson Academy</v>
      </c>
      <c r="K6" s="20"/>
      <c r="L6" s="20"/>
      <c r="M6" s="308"/>
      <c r="N6" s="20"/>
      <c r="O6" s="20"/>
      <c r="P6" s="20"/>
      <c r="Q6" s="20"/>
    </row>
    <row r="7" spans="1:21" x14ac:dyDescent="0.2">
      <c r="A7" t="str" cm="1">
        <f t="array" ref="A7">IFERROR(INDEX('School Tables'!$A$4:$G$325,'School Tables'!$J5,3),"")</f>
        <v>Danville Elementary School</v>
      </c>
      <c r="B7" s="230">
        <f>IFERROR(VLOOKUP(A7,'School Tables'!$C$3:$D$365,2,FALSE),"")</f>
        <v>22745</v>
      </c>
      <c r="C7" s="223" t="str">
        <f>IFERROR(INDEX('School Tables'!$B$3:$B$365,MATCH('School Level Expenditures'!B7,'School Tables'!$D$3:$D$365,0)),"")</f>
        <v>Timberlane Regional</v>
      </c>
      <c r="D7" s="220">
        <v>5451297.8300000001</v>
      </c>
      <c r="E7" s="220">
        <v>108295.71</v>
      </c>
      <c r="F7" s="232">
        <f t="shared" si="1"/>
        <v>5559593.54</v>
      </c>
      <c r="G7" s="223"/>
      <c r="H7" s="223"/>
      <c r="J7" t="str">
        <f t="shared" ref="J7:J20" si="2">A7</f>
        <v>Danville Elementary School</v>
      </c>
      <c r="K7" s="20"/>
      <c r="L7" s="20"/>
      <c r="M7" s="308"/>
      <c r="N7" s="20"/>
      <c r="O7" s="20"/>
      <c r="P7" s="20"/>
      <c r="Q7" s="20"/>
    </row>
    <row r="8" spans="1:21" x14ac:dyDescent="0.2">
      <c r="A8" t="str" cm="1">
        <f t="array" ref="A8">IFERROR(INDEX('School Tables'!$A$4:$G$325,'School Tables'!$J6,3),"")</f>
        <v>Pollard Elementary School</v>
      </c>
      <c r="B8" s="230">
        <f>IFERROR(VLOOKUP(A8,'School Tables'!$C$3:$D$365,2,FALSE),"")</f>
        <v>22765</v>
      </c>
      <c r="C8" s="223" t="str">
        <f>IFERROR(INDEX('School Tables'!$B$3:$B$365,MATCH('School Level Expenditures'!B8,'School Tables'!$D$3:$D$365,0)),"")</f>
        <v>Timberlane Regional</v>
      </c>
      <c r="D8" s="220">
        <v>8597707.5700000003</v>
      </c>
      <c r="E8" s="220">
        <v>170802.41</v>
      </c>
      <c r="F8" s="232">
        <f t="shared" si="1"/>
        <v>8768509.9800000004</v>
      </c>
      <c r="G8" s="223"/>
      <c r="H8" s="223"/>
      <c r="J8" t="str">
        <f t="shared" si="2"/>
        <v>Pollard Elementary School</v>
      </c>
      <c r="K8" s="20"/>
      <c r="L8" s="20"/>
      <c r="M8" s="308"/>
      <c r="N8" s="20"/>
      <c r="O8" s="20"/>
      <c r="P8" s="20"/>
      <c r="Q8" s="20"/>
    </row>
    <row r="9" spans="1:21" x14ac:dyDescent="0.2">
      <c r="A9" t="str" cm="1">
        <f t="array" ref="A9">IFERROR(INDEX('School Tables'!$A$4:$G$325,'School Tables'!$J7,3),"")</f>
        <v>Sandown Central School</v>
      </c>
      <c r="B9" s="230">
        <f>IFERROR(VLOOKUP(A9,'School Tables'!$C$3:$D$365,2,FALSE),"")</f>
        <v>22775</v>
      </c>
      <c r="C9" s="223" t="str">
        <f>IFERROR(INDEX('School Tables'!$B$3:$B$365,MATCH('School Level Expenditures'!B9,'School Tables'!$D$3:$D$365,0)),"")</f>
        <v>Timberlane Regional</v>
      </c>
      <c r="D9" s="220">
        <v>1038632.17</v>
      </c>
      <c r="E9" s="220">
        <v>20633.509999999998</v>
      </c>
      <c r="F9" s="232">
        <f t="shared" si="1"/>
        <v>1059265.68</v>
      </c>
      <c r="G9" s="223"/>
      <c r="H9" s="223"/>
      <c r="J9" t="str">
        <f t="shared" si="2"/>
        <v>Sandown Central School</v>
      </c>
      <c r="K9" s="20"/>
      <c r="L9" s="20"/>
      <c r="M9" s="308"/>
      <c r="N9" s="20"/>
      <c r="O9" s="20"/>
      <c r="P9" s="20"/>
      <c r="Q9" s="20"/>
    </row>
    <row r="10" spans="1:21" x14ac:dyDescent="0.2">
      <c r="A10" t="str" cm="1">
        <f t="array" ref="A10">IFERROR(INDEX('School Tables'!$A$4:$G$325,'School Tables'!$J8,3),"")</f>
        <v>Sandown North Elementary School</v>
      </c>
      <c r="B10" s="230">
        <f>IFERROR(VLOOKUP(A10,'School Tables'!$C$3:$D$365,2,FALSE),"")</f>
        <v>27910</v>
      </c>
      <c r="C10" s="223" t="str">
        <f>IFERROR(INDEX('School Tables'!$B$3:$B$365,MATCH('School Level Expenditures'!B10,'School Tables'!$D$3:$D$365,0)),"")</f>
        <v>Timberlane Regional</v>
      </c>
      <c r="D10" s="220">
        <v>6922871.4800000004</v>
      </c>
      <c r="E10" s="220">
        <v>137530.04</v>
      </c>
      <c r="F10" s="232">
        <f t="shared" si="1"/>
        <v>7060401.5200000005</v>
      </c>
      <c r="G10" s="223"/>
      <c r="H10" s="223"/>
      <c r="J10" t="str">
        <f t="shared" si="2"/>
        <v>Sandown North Elementary School</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29287617.680000003</v>
      </c>
      <c r="E21" s="262">
        <f>SUM(E5:E20)</f>
        <v>572241.24000000011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16542164.709999999</v>
      </c>
      <c r="G24" s="229">
        <f>'DOE25'!L230+'DOE25'!L310</f>
        <v>16542164.709999999</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647324.01</v>
      </c>
      <c r="E25" s="220"/>
      <c r="F25" s="232">
        <f>D25+E25</f>
        <v>647324.01</v>
      </c>
      <c r="G25" s="223"/>
      <c r="H25" s="223"/>
      <c r="J25" s="223"/>
      <c r="K25" s="223"/>
      <c r="L25" s="224"/>
      <c r="M25" s="223"/>
      <c r="N25" s="223"/>
      <c r="O25" s="223"/>
      <c r="P25" s="223"/>
      <c r="Q25" s="223"/>
    </row>
    <row r="26" spans="1:17" x14ac:dyDescent="0.2">
      <c r="A26" t="str" cm="1">
        <f t="array" ref="A26">IFERROR(INDEX('School Tables'!$L$4:$R$75,'School Tables'!$U4,3),"")</f>
        <v>Timberlane Regional Middle School</v>
      </c>
      <c r="B26" s="230">
        <f>IFERROR(VLOOKUP(A26,'School Tables'!$N$4:$O$75,2,FALSE),"")</f>
        <v>22760</v>
      </c>
      <c r="C26" s="223" t="str">
        <f>IFERROR(INDEX('School Tables'!$M$4:$M$75,MATCH('School Level Expenditures'!A26,'School Tables'!$N$4:$N$75,0)),"")</f>
        <v>Timberlane Regional</v>
      </c>
      <c r="D26" s="220">
        <f>16254873.94-647324.01</f>
        <v>15607549.93</v>
      </c>
      <c r="E26" s="220">
        <v>287290.77</v>
      </c>
      <c r="F26" s="232">
        <f t="shared" ref="F26:F32" si="4">D26+E26</f>
        <v>15894840.699999999</v>
      </c>
      <c r="G26" s="223"/>
      <c r="H26" s="223"/>
      <c r="J26" t="str">
        <f t="shared" ref="J26:J32" si="5">A26</f>
        <v>Timberlane Regional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16254873.939999999</v>
      </c>
      <c r="E33" s="262">
        <f>SUM(E25:E32)</f>
        <v>287290.77</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23187691.82</v>
      </c>
      <c r="G36" s="229">
        <f>'DOE25'!L248+'DOE25'!L329</f>
        <v>23187691.82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1251639.44</v>
      </c>
      <c r="E37" s="220"/>
      <c r="F37" s="232">
        <f t="shared" ref="F37:F42" si="7">D37+E37</f>
        <v>1251639.44</v>
      </c>
      <c r="G37" s="223"/>
      <c r="H37" s="223"/>
      <c r="J37" s="223"/>
      <c r="K37" s="223"/>
      <c r="L37" s="224"/>
      <c r="M37" s="223"/>
      <c r="N37" s="223"/>
      <c r="O37" s="223"/>
      <c r="P37" s="223"/>
      <c r="Q37" s="223"/>
    </row>
    <row r="38" spans="1:18" x14ac:dyDescent="0.2">
      <c r="A38" t="str" cm="1">
        <f t="array" ref="A38">IFERROR(INDEX('School Tables'!$W$4:$AC$100,'School Tables'!$AF4,3),"")</f>
        <v>Timberlane Regional High School</v>
      </c>
      <c r="B38" s="230">
        <f>IFERROR(VLOOKUP(A38,'School Tables'!$Y$4:$Z$100,2,FALSE),"")</f>
        <v>22770</v>
      </c>
      <c r="C38" s="223" t="str">
        <f>IFERROR(INDEX('School Tables'!$X$4:$X$100,MATCH('School Level Expenditures'!A38,'School Tables'!$Y$4:$Y$100,0)),"")</f>
        <v>Timberlane Regional</v>
      </c>
      <c r="D38" s="220">
        <f>22926069.09-1251639.44-153722.47</f>
        <v>21520707.18</v>
      </c>
      <c r="E38" s="220">
        <v>415345.2</v>
      </c>
      <c r="F38" s="232">
        <f t="shared" si="7"/>
        <v>21936052.379999999</v>
      </c>
      <c r="G38" s="223"/>
      <c r="H38" s="223"/>
      <c r="J38" t="str">
        <f t="shared" ref="J38:J42" si="8">A38</f>
        <v>Timberlane Regional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22772346.620000001</v>
      </c>
      <c r="E43" s="263">
        <f>SUM(E37:E42)</f>
        <v>415345.2</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1" sqref="C1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Timberlane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7202929.6399999997</v>
      </c>
      <c r="D8" s="73">
        <f>'DOE25'!G9</f>
        <v>11797.39</v>
      </c>
      <c r="E8" s="73">
        <f>'DOE25'!H9</f>
        <v>59274.32</v>
      </c>
      <c r="F8" s="73">
        <f>'DOE25'!I9</f>
        <v>0</v>
      </c>
      <c r="G8" s="73">
        <f>'DOE25'!J9</f>
        <v>0</v>
      </c>
      <c r="H8" s="13">
        <f>SUM(C8:G8)</f>
        <v>7274001.3499999996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99289.78</v>
      </c>
      <c r="D11" s="73">
        <f>'DOE25'!G12</f>
        <v>319615.06</v>
      </c>
      <c r="E11" s="73">
        <f>'DOE25'!H12</f>
        <v>0</v>
      </c>
      <c r="F11" s="73">
        <f>'DOE25'!I12</f>
        <v>0</v>
      </c>
      <c r="G11" s="73">
        <f>'DOE25'!J12</f>
        <v>40594.89</v>
      </c>
      <c r="H11" s="13">
        <f t="shared" si="0"/>
        <v>459499.73</v>
      </c>
      <c r="I11" s="90"/>
    </row>
    <row r="12" spans="1:9" x14ac:dyDescent="0.2">
      <c r="A12" s="1" t="s">
        <v>143</v>
      </c>
      <c r="B12" s="6">
        <v>140</v>
      </c>
      <c r="C12" s="73">
        <f>'DOE25'!F13</f>
        <v>14191.46</v>
      </c>
      <c r="D12" s="73">
        <f>'DOE25'!G13</f>
        <v>80174.25</v>
      </c>
      <c r="E12" s="73">
        <f>'DOE25'!H13</f>
        <v>431236.57</v>
      </c>
      <c r="F12" s="73">
        <f>'DOE25'!I13</f>
        <v>0</v>
      </c>
      <c r="G12" s="73">
        <f>'DOE25'!J13</f>
        <v>1740293.74</v>
      </c>
      <c r="H12" s="13">
        <f t="shared" si="0"/>
        <v>2265896.02</v>
      </c>
      <c r="I12" s="90"/>
    </row>
    <row r="13" spans="1:9" x14ac:dyDescent="0.2">
      <c r="A13" s="1" t="s">
        <v>144</v>
      </c>
      <c r="B13" s="6">
        <v>150</v>
      </c>
      <c r="C13" s="73">
        <f>'DOE25'!F14</f>
        <v>4475.38</v>
      </c>
      <c r="D13" s="73">
        <f>'DOE25'!G14</f>
        <v>0</v>
      </c>
      <c r="E13" s="73">
        <f>'DOE25'!H14</f>
        <v>0</v>
      </c>
      <c r="F13" s="73">
        <f>'DOE25'!I14</f>
        <v>0</v>
      </c>
      <c r="G13" s="73">
        <f>'DOE25'!J14</f>
        <v>0</v>
      </c>
      <c r="H13" s="13">
        <f t="shared" si="0"/>
        <v>4475.38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35439.57</v>
      </c>
      <c r="E15" s="73">
        <f>'DOE25'!H16</f>
        <v>0</v>
      </c>
      <c r="F15" s="73">
        <f>'DOE25'!I16</f>
        <v>0</v>
      </c>
      <c r="G15" s="23" t="s">
        <v>288</v>
      </c>
      <c r="H15" s="13">
        <f t="shared" si="0"/>
        <v>35439.57</v>
      </c>
      <c r="I15" s="90"/>
    </row>
    <row r="16" spans="1:9" x14ac:dyDescent="0.2">
      <c r="A16" s="1" t="s">
        <v>147</v>
      </c>
      <c r="B16" s="6">
        <v>180</v>
      </c>
      <c r="C16" s="73">
        <f>'DOE25'!F17</f>
        <v>1461815.24</v>
      </c>
      <c r="D16" s="73">
        <f>'DOE25'!G17</f>
        <v>0</v>
      </c>
      <c r="E16" s="73">
        <f>'DOE25'!H17</f>
        <v>0</v>
      </c>
      <c r="F16" s="73">
        <f>'DOE25'!I17</f>
        <v>0</v>
      </c>
      <c r="G16" s="73">
        <f>'DOE25'!J17</f>
        <v>0</v>
      </c>
      <c r="H16" s="13">
        <f t="shared" si="0"/>
        <v>1461815.24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8782701.5</v>
      </c>
      <c r="D18" s="38">
        <f>SUM(D8:D17)</f>
        <v>447026.27</v>
      </c>
      <c r="E18" s="38">
        <f>SUM(E8:E17)</f>
        <v>490510.89</v>
      </c>
      <c r="F18" s="38">
        <f>SUM(F8:F17)</f>
        <v>0</v>
      </c>
      <c r="G18" s="38">
        <f>SUM(G8:G17)</f>
        <v>1780888.63</v>
      </c>
      <c r="H18" s="38">
        <f t="shared" si="0"/>
        <v>11501127.289999999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459499.73</v>
      </c>
      <c r="F21" s="73">
        <f>'DOE25'!I22</f>
        <v>0</v>
      </c>
      <c r="G21" s="73">
        <f>'DOE25'!J22</f>
        <v>0</v>
      </c>
      <c r="H21" s="13">
        <f t="shared" ref="H21:H31" si="1">SUM(C21:G21)</f>
        <v>459499.73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3216109.42</v>
      </c>
      <c r="D23" s="73">
        <f>'DOE25'!G24</f>
        <v>74929</v>
      </c>
      <c r="E23" s="73">
        <f>'DOE25'!H24</f>
        <v>8635.3799999999992</v>
      </c>
      <c r="F23" s="73">
        <f>'DOE25'!I24</f>
        <v>0</v>
      </c>
      <c r="G23" s="73">
        <f>'DOE25'!J24</f>
        <v>0</v>
      </c>
      <c r="H23" s="13">
        <f t="shared" si="1"/>
        <v>3299673.8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150990.67000000001</v>
      </c>
      <c r="D27" s="73">
        <f>'DOE25'!G28</f>
        <v>0</v>
      </c>
      <c r="E27" s="73">
        <f>'DOE25'!H28</f>
        <v>0</v>
      </c>
      <c r="F27" s="73">
        <f>'DOE25'!I28</f>
        <v>0</v>
      </c>
      <c r="G27" s="23" t="s">
        <v>288</v>
      </c>
      <c r="H27" s="13">
        <f t="shared" si="1"/>
        <v>150990.67000000001</v>
      </c>
      <c r="I27" s="90"/>
    </row>
    <row r="28" spans="1:9" x14ac:dyDescent="0.2">
      <c r="A28" s="1" t="s">
        <v>157</v>
      </c>
      <c r="B28" s="6">
        <v>470</v>
      </c>
      <c r="C28" s="73">
        <f>'DOE25'!F29</f>
        <v>167990.16</v>
      </c>
      <c r="D28" s="73">
        <f>'DOE25'!G29</f>
        <v>0</v>
      </c>
      <c r="E28" s="73">
        <f>'DOE25'!H29</f>
        <v>0</v>
      </c>
      <c r="F28" s="73">
        <f>'DOE25'!I29</f>
        <v>0</v>
      </c>
      <c r="G28" s="23" t="s">
        <v>288</v>
      </c>
      <c r="H28" s="13">
        <f t="shared" si="1"/>
        <v>167990.16</v>
      </c>
      <c r="I28" s="90"/>
    </row>
    <row r="29" spans="1:9" x14ac:dyDescent="0.2">
      <c r="A29" s="1" t="s">
        <v>158</v>
      </c>
      <c r="B29" s="6">
        <v>480</v>
      </c>
      <c r="C29" s="73">
        <f>'DOE25'!F30</f>
        <v>152344</v>
      </c>
      <c r="D29" s="73">
        <f>'DOE25'!G30</f>
        <v>41389.769999999997</v>
      </c>
      <c r="E29" s="73">
        <f>'DOE25'!H30</f>
        <v>22375.78</v>
      </c>
      <c r="F29" s="73">
        <f>'DOE25'!I30</f>
        <v>0</v>
      </c>
      <c r="G29" s="23" t="s">
        <v>288</v>
      </c>
      <c r="H29" s="13">
        <f t="shared" si="1"/>
        <v>216109.55</v>
      </c>
      <c r="I29" s="90"/>
    </row>
    <row r="30" spans="1:9" ht="12" thickBot="1" x14ac:dyDescent="0.25">
      <c r="A30" s="1" t="s">
        <v>159</v>
      </c>
      <c r="B30" s="56">
        <v>490</v>
      </c>
      <c r="C30" s="73">
        <f>'DOE25'!F31</f>
        <v>22208.06</v>
      </c>
      <c r="D30" s="73">
        <f>'DOE25'!G31</f>
        <v>0</v>
      </c>
      <c r="E30" s="73">
        <f>'DOE25'!H31</f>
        <v>0</v>
      </c>
      <c r="F30" s="73">
        <f>'DOE25'!I31</f>
        <v>0</v>
      </c>
      <c r="G30" s="73">
        <f>'DOE25'!J31</f>
        <v>0</v>
      </c>
      <c r="H30" s="13">
        <f t="shared" si="1"/>
        <v>22208.06</v>
      </c>
      <c r="I30" s="90"/>
    </row>
    <row r="31" spans="1:9" ht="12" thickTop="1" x14ac:dyDescent="0.2">
      <c r="A31" s="35" t="s">
        <v>160</v>
      </c>
      <c r="B31" s="2"/>
      <c r="C31" s="38">
        <f>SUM(C21:C30)</f>
        <v>3709642.31</v>
      </c>
      <c r="D31" s="38">
        <f>SUM(D21:D30)</f>
        <v>116318.76999999999</v>
      </c>
      <c r="E31" s="38">
        <f>SUM(E21:E30)</f>
        <v>490510.89</v>
      </c>
      <c r="F31" s="38">
        <f>SUM(F21:F30)</f>
        <v>0</v>
      </c>
      <c r="G31" s="38">
        <f>SUM(G21:G30)</f>
        <v>0</v>
      </c>
      <c r="H31" s="38">
        <f t="shared" si="1"/>
        <v>4316471.97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1461815</v>
      </c>
      <c r="D35" s="73">
        <f>'DOE25'!G36</f>
        <v>0</v>
      </c>
      <c r="E35" s="73">
        <f>'DOE25'!H36</f>
        <v>0</v>
      </c>
      <c r="F35" s="73">
        <f>'DOE25'!I36</f>
        <v>0</v>
      </c>
      <c r="G35" s="23" t="s">
        <v>288</v>
      </c>
      <c r="H35" s="13">
        <f t="shared" si="2"/>
        <v>1461815</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500000</v>
      </c>
      <c r="D43" s="73">
        <f>'DOE25'!G44</f>
        <v>0</v>
      </c>
      <c r="E43" s="73">
        <f>'DOE25'!H44</f>
        <v>0</v>
      </c>
      <c r="F43" s="73">
        <f>'DOE25'!I44</f>
        <v>0</v>
      </c>
      <c r="G43" s="23" t="s">
        <v>288</v>
      </c>
      <c r="H43" s="13">
        <f t="shared" si="2"/>
        <v>500000</v>
      </c>
      <c r="I43" s="90"/>
    </row>
    <row r="44" spans="1:9" x14ac:dyDescent="0.2">
      <c r="A44" s="1" t="s">
        <v>863</v>
      </c>
      <c r="B44" s="6">
        <v>753</v>
      </c>
      <c r="C44" s="73">
        <f>'DOE25'!F45</f>
        <v>0</v>
      </c>
      <c r="D44" s="73">
        <f>'DOE25'!G45</f>
        <v>330707.5</v>
      </c>
      <c r="E44" s="73">
        <f>'DOE25'!H45</f>
        <v>0</v>
      </c>
      <c r="F44" s="73">
        <f>'DOE25'!I45</f>
        <v>0</v>
      </c>
      <c r="G44" s="73">
        <f>'DOE25'!J45</f>
        <v>0</v>
      </c>
      <c r="H44" s="13">
        <f t="shared" si="2"/>
        <v>330707.5</v>
      </c>
      <c r="I44" s="90"/>
    </row>
    <row r="45" spans="1:9" x14ac:dyDescent="0.2">
      <c r="A45" s="1" t="s">
        <v>879</v>
      </c>
      <c r="B45" s="6"/>
      <c r="C45" s="73">
        <f>'DOE25'!F46</f>
        <v>500000</v>
      </c>
      <c r="D45" s="23" t="s">
        <v>288</v>
      </c>
      <c r="E45" s="23" t="s">
        <v>288</v>
      </c>
      <c r="F45" s="23" t="s">
        <v>288</v>
      </c>
      <c r="G45" s="23" t="s">
        <v>288</v>
      </c>
      <c r="H45" s="13">
        <f t="shared" si="2"/>
        <v>500000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1780888.63</v>
      </c>
      <c r="H47" s="13">
        <f t="shared" si="2"/>
        <v>1780888.63</v>
      </c>
      <c r="I47" s="90"/>
    </row>
    <row r="48" spans="1:9" x14ac:dyDescent="0.2">
      <c r="A48" s="1" t="s">
        <v>881</v>
      </c>
      <c r="B48" s="6">
        <v>753</v>
      </c>
      <c r="C48" s="73">
        <f>'DOE25'!F49</f>
        <v>1002535.63</v>
      </c>
      <c r="D48" s="73">
        <f>'DOE25'!G49</f>
        <v>0</v>
      </c>
      <c r="E48" s="73">
        <f>'DOE25'!H49</f>
        <v>0</v>
      </c>
      <c r="F48" s="73">
        <f>'DOE25'!I49</f>
        <v>0</v>
      </c>
      <c r="G48" s="73">
        <f>'DOE25'!J49</f>
        <v>0</v>
      </c>
      <c r="H48" s="13">
        <f t="shared" si="2"/>
        <v>1002535.63</v>
      </c>
      <c r="I48" s="90"/>
    </row>
    <row r="49" spans="1:9" ht="12" thickBot="1" x14ac:dyDescent="0.25">
      <c r="A49" s="28" t="s">
        <v>882</v>
      </c>
      <c r="B49" s="56">
        <v>770</v>
      </c>
      <c r="C49" s="73">
        <f>'DOE25'!F50</f>
        <v>1608708.56</v>
      </c>
      <c r="D49" s="23" t="s">
        <v>288</v>
      </c>
      <c r="E49" s="23" t="s">
        <v>288</v>
      </c>
      <c r="F49" s="23" t="s">
        <v>288</v>
      </c>
      <c r="G49" s="23" t="s">
        <v>288</v>
      </c>
      <c r="H49" s="13">
        <f t="shared" si="2"/>
        <v>1608708.56</v>
      </c>
      <c r="I49" s="90"/>
    </row>
    <row r="50" spans="1:9" ht="12.75" thickTop="1" thickBot="1" x14ac:dyDescent="0.25">
      <c r="A50" s="35" t="s">
        <v>883</v>
      </c>
      <c r="B50" s="44"/>
      <c r="C50" s="38">
        <f>SUM(C34:C49)</f>
        <v>5073059.1899999995</v>
      </c>
      <c r="D50" s="38">
        <f>SUM(D34:D49)</f>
        <v>330707.5</v>
      </c>
      <c r="E50" s="38">
        <f>SUM(E34:E49)</f>
        <v>0</v>
      </c>
      <c r="F50" s="38">
        <f>SUM(F34:F49)</f>
        <v>0</v>
      </c>
      <c r="G50" s="38">
        <f>SUM(G34:G49)</f>
        <v>1780888.63</v>
      </c>
      <c r="H50" s="38">
        <f t="shared" si="2"/>
        <v>7184655.3199999994</v>
      </c>
      <c r="I50" s="90"/>
    </row>
    <row r="51" spans="1:9" ht="12" thickTop="1" x14ac:dyDescent="0.2">
      <c r="A51" s="35" t="s">
        <v>884</v>
      </c>
      <c r="B51" s="2"/>
      <c r="C51" s="38">
        <f>C50+C31</f>
        <v>8782701.5</v>
      </c>
      <c r="D51" s="38">
        <f>D50+D31</f>
        <v>447026.27</v>
      </c>
      <c r="E51" s="38">
        <f>E50+E31</f>
        <v>490510.89</v>
      </c>
      <c r="F51" s="38">
        <f>F50+F31</f>
        <v>0</v>
      </c>
      <c r="G51" s="38">
        <f>G50+G31</f>
        <v>1780888.63</v>
      </c>
      <c r="H51" s="38">
        <f t="shared" si="2"/>
        <v>11501127.289999999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51623954</v>
      </c>
      <c r="D56" s="73">
        <f>'DOE25'!G60</f>
        <v>0</v>
      </c>
      <c r="E56" s="73">
        <f>'DOE25'!H60</f>
        <v>0</v>
      </c>
      <c r="F56" s="73">
        <f>'DOE25'!I60</f>
        <v>0</v>
      </c>
      <c r="G56" s="73">
        <f>'DOE25'!J60</f>
        <v>0</v>
      </c>
      <c r="H56" s="13">
        <f t="shared" ref="H56:H63" si="3">SUM(C56:G56)</f>
        <v>51623954</v>
      </c>
      <c r="I56"/>
    </row>
    <row r="57" spans="1:9" x14ac:dyDescent="0.2">
      <c r="A57" s="1" t="s">
        <v>164</v>
      </c>
      <c r="B57" s="6" t="s">
        <v>165</v>
      </c>
      <c r="C57" s="73">
        <f>'DOE25'!F79</f>
        <v>779265.39</v>
      </c>
      <c r="D57" s="23" t="s">
        <v>288</v>
      </c>
      <c r="E57" s="73">
        <f>'DOE25'!H79</f>
        <v>0</v>
      </c>
      <c r="F57" s="23" t="s">
        <v>288</v>
      </c>
      <c r="G57" s="23" t="s">
        <v>288</v>
      </c>
      <c r="H57" s="13">
        <f t="shared" si="3"/>
        <v>779265.39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268286.15000000002</v>
      </c>
      <c r="D59" s="73">
        <f>'DOE25'!G96</f>
        <v>0</v>
      </c>
      <c r="E59" s="73">
        <f>'DOE25'!H96</f>
        <v>401.99</v>
      </c>
      <c r="F59" s="73">
        <f>'DOE25'!I96</f>
        <v>0</v>
      </c>
      <c r="G59" s="73">
        <f>'DOE25'!J96</f>
        <v>0</v>
      </c>
      <c r="H59" s="13">
        <f t="shared" si="3"/>
        <v>268688.14</v>
      </c>
      <c r="I59"/>
    </row>
    <row r="60" spans="1:9" x14ac:dyDescent="0.2">
      <c r="A60" s="1" t="s">
        <v>170</v>
      </c>
      <c r="B60" s="22" t="s">
        <v>171</v>
      </c>
      <c r="C60" s="23" t="s">
        <v>288</v>
      </c>
      <c r="D60" s="73">
        <f>'DOE25'!G97</f>
        <v>998755.89000000013</v>
      </c>
      <c r="E60" s="23" t="s">
        <v>288</v>
      </c>
      <c r="F60" s="23" t="s">
        <v>288</v>
      </c>
      <c r="G60" s="23" t="s">
        <v>288</v>
      </c>
      <c r="H60" s="13">
        <f t="shared" si="3"/>
        <v>998755.89000000013</v>
      </c>
      <c r="I60"/>
    </row>
    <row r="61" spans="1:9" ht="12" thickBot="1" x14ac:dyDescent="0.25">
      <c r="A61" s="1" t="s">
        <v>172</v>
      </c>
      <c r="B61" s="22" t="s">
        <v>173</v>
      </c>
      <c r="C61" s="73">
        <f>SUM('DOE25'!F98:F110)</f>
        <v>237876.56</v>
      </c>
      <c r="D61" s="73">
        <f>SUM('DOE25'!G98:G110)</f>
        <v>0</v>
      </c>
      <c r="E61" s="73">
        <f>SUM('DOE25'!H98:H110)</f>
        <v>67708.600000000006</v>
      </c>
      <c r="F61" s="73">
        <f>SUM('DOE25'!I98:I110)</f>
        <v>0</v>
      </c>
      <c r="G61" s="73">
        <f>SUM('DOE25'!J98:J110)</f>
        <v>489165.18000000005</v>
      </c>
      <c r="H61" s="13">
        <f t="shared" si="3"/>
        <v>794750.34000000008</v>
      </c>
      <c r="I61"/>
    </row>
    <row r="62" spans="1:9" ht="12.75" thickTop="1" thickBot="1" x14ac:dyDescent="0.25">
      <c r="A62" s="28" t="s">
        <v>174</v>
      </c>
      <c r="B62" s="6"/>
      <c r="C62" s="93">
        <f>SUM(C57:C61)</f>
        <v>1285428.1000000001</v>
      </c>
      <c r="D62" s="93">
        <f>SUM(D57:D61)</f>
        <v>998755.89000000013</v>
      </c>
      <c r="E62" s="93">
        <f>SUM(E57:E61)</f>
        <v>68110.590000000011</v>
      </c>
      <c r="F62" s="93">
        <f>SUM(F57:F61)</f>
        <v>0</v>
      </c>
      <c r="G62" s="93">
        <f>SUM(G57:G61)</f>
        <v>489165.18000000005</v>
      </c>
      <c r="H62" s="13">
        <f t="shared" si="3"/>
        <v>2841459.7600000002</v>
      </c>
      <c r="I62"/>
    </row>
    <row r="63" spans="1:9" ht="12" thickTop="1" x14ac:dyDescent="0.2">
      <c r="A63" s="28" t="s">
        <v>175</v>
      </c>
      <c r="B63" s="6"/>
      <c r="C63" s="21">
        <f>C56+C62</f>
        <v>52909382.100000001</v>
      </c>
      <c r="D63" s="21">
        <f>D56+D62</f>
        <v>998755.89000000013</v>
      </c>
      <c r="E63" s="21">
        <f>E56+E62</f>
        <v>68110.590000000011</v>
      </c>
      <c r="F63" s="21">
        <f>F56+F62</f>
        <v>0</v>
      </c>
      <c r="G63" s="21">
        <f>G56+G62</f>
        <v>489165.18000000005</v>
      </c>
      <c r="H63" s="13">
        <f t="shared" si="3"/>
        <v>54465413.760000005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11828332.609999999</v>
      </c>
      <c r="D66" s="23" t="s">
        <v>288</v>
      </c>
      <c r="E66" s="23" t="s">
        <v>288</v>
      </c>
      <c r="F66" s="23" t="s">
        <v>288</v>
      </c>
      <c r="G66" s="23" t="s">
        <v>288</v>
      </c>
      <c r="H66" s="13">
        <f t="shared" ref="H66:H81" si="4">SUM(C66:G66)</f>
        <v>11828332.609999999</v>
      </c>
      <c r="I66"/>
    </row>
    <row r="67" spans="1:9" x14ac:dyDescent="0.2">
      <c r="A67" s="1" t="s">
        <v>770</v>
      </c>
      <c r="B67" s="6">
        <v>3112</v>
      </c>
      <c r="C67" s="73">
        <f>'DOE25'!F118</f>
        <v>4822836</v>
      </c>
      <c r="D67" s="23"/>
      <c r="E67" s="23"/>
      <c r="F67" s="23"/>
      <c r="G67" s="23"/>
      <c r="H67" s="13">
        <f t="shared" si="4"/>
        <v>4822836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405149.09</v>
      </c>
      <c r="D69" s="73">
        <f>'DOE25'!G120</f>
        <v>0</v>
      </c>
      <c r="E69" s="73">
        <f>'DOE25'!H120</f>
        <v>0</v>
      </c>
      <c r="F69" s="73">
        <f>'DOE25'!I120</f>
        <v>0</v>
      </c>
      <c r="G69" s="73">
        <f>'DOE25'!J120</f>
        <v>0</v>
      </c>
      <c r="H69" s="13">
        <f t="shared" si="4"/>
        <v>405149.09</v>
      </c>
      <c r="I69"/>
    </row>
    <row r="70" spans="1:9" ht="12" thickTop="1" x14ac:dyDescent="0.2">
      <c r="A70" s="28" t="s">
        <v>252</v>
      </c>
      <c r="B70" s="2"/>
      <c r="C70" s="97">
        <f>SUM(C66:C69)</f>
        <v>17056317.699999999</v>
      </c>
      <c r="D70" s="97">
        <f>D69</f>
        <v>0</v>
      </c>
      <c r="E70" s="97">
        <f>E69</f>
        <v>0</v>
      </c>
      <c r="F70" s="97">
        <f>F69</f>
        <v>0</v>
      </c>
      <c r="G70" s="97">
        <f>G69</f>
        <v>0</v>
      </c>
      <c r="H70" s="13">
        <f t="shared" si="4"/>
        <v>17056317.699999999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611617.04</v>
      </c>
      <c r="D75" s="23" t="s">
        <v>288</v>
      </c>
      <c r="E75" s="23" t="s">
        <v>288</v>
      </c>
      <c r="F75" s="23" t="s">
        <v>288</v>
      </c>
      <c r="G75" s="23" t="s">
        <v>288</v>
      </c>
      <c r="H75" s="13">
        <f t="shared" si="4"/>
        <v>611617.04</v>
      </c>
      <c r="I75"/>
    </row>
    <row r="76" spans="1:9" x14ac:dyDescent="0.2">
      <c r="A76" s="1" t="s">
        <v>257</v>
      </c>
      <c r="B76" s="6" t="s">
        <v>179</v>
      </c>
      <c r="C76" s="73">
        <f>SUM('DOE25'!F127:F130)</f>
        <v>31835</v>
      </c>
      <c r="D76" s="23" t="s">
        <v>288</v>
      </c>
      <c r="E76" s="73">
        <f>SUM('DOE25'!H127:H130)</f>
        <v>0</v>
      </c>
      <c r="F76" s="73">
        <f>SUM('DOE25'!I127:I130)</f>
        <v>0</v>
      </c>
      <c r="G76" s="23" t="s">
        <v>288</v>
      </c>
      <c r="H76" s="13">
        <f t="shared" si="4"/>
        <v>31835</v>
      </c>
      <c r="I76"/>
    </row>
    <row r="77" spans="1:9" ht="12" thickBot="1" x14ac:dyDescent="0.25">
      <c r="A77" s="1" t="s">
        <v>258</v>
      </c>
      <c r="B77" s="6" t="s">
        <v>180</v>
      </c>
      <c r="C77" s="73">
        <f>SUM('DOE25'!F131:F135)</f>
        <v>0</v>
      </c>
      <c r="D77" s="73">
        <f>SUM('DOE25'!G131:G135)</f>
        <v>18665.66</v>
      </c>
      <c r="E77" s="73">
        <f>SUM('DOE25'!H131:H135)</f>
        <v>0</v>
      </c>
      <c r="F77" s="73">
        <f>SUM('DOE25'!I131:I135)</f>
        <v>0</v>
      </c>
      <c r="G77" s="73">
        <f>SUM('DOE25'!J131:J135)</f>
        <v>0</v>
      </c>
      <c r="H77" s="13">
        <f t="shared" si="4"/>
        <v>18665.66</v>
      </c>
      <c r="I77"/>
    </row>
    <row r="78" spans="1:9" ht="12.75" thickTop="1" thickBot="1" x14ac:dyDescent="0.25">
      <c r="A78" s="28" t="s">
        <v>259</v>
      </c>
      <c r="B78" s="6"/>
      <c r="C78" s="93">
        <f>SUM(C72:C77)</f>
        <v>643452.04</v>
      </c>
      <c r="D78" s="93">
        <f>SUM(D72:D77)</f>
        <v>18665.66</v>
      </c>
      <c r="E78" s="93">
        <f>SUM(E72:E77)</f>
        <v>0</v>
      </c>
      <c r="F78" s="93">
        <f>SUM(F72:F77)</f>
        <v>0</v>
      </c>
      <c r="G78" s="93">
        <f>SUM(G72:G77)</f>
        <v>0</v>
      </c>
      <c r="H78" s="13">
        <f t="shared" si="4"/>
        <v>662117.70000000007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17699769.739999998</v>
      </c>
      <c r="D81" s="93">
        <f>SUM(D79:D80)+D78+D70</f>
        <v>18665.66</v>
      </c>
      <c r="E81" s="93">
        <f>SUM(E79:E80)+E78+E70</f>
        <v>0</v>
      </c>
      <c r="F81" s="93">
        <f>SUM(F79:F80)+F78+F70</f>
        <v>0</v>
      </c>
      <c r="G81" s="93">
        <f>SUM(G79:G80)+G78+G70</f>
        <v>0</v>
      </c>
      <c r="H81" s="93">
        <f t="shared" si="4"/>
        <v>17718435.399999999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16334.02</v>
      </c>
      <c r="D85" s="73">
        <f>'DOE25'!G147</f>
        <v>0</v>
      </c>
      <c r="E85" s="73">
        <f>'DOE25'!H147</f>
        <v>0</v>
      </c>
      <c r="F85" s="73">
        <f>'DOE25'!I147</f>
        <v>0</v>
      </c>
      <c r="G85" s="23" t="s">
        <v>288</v>
      </c>
      <c r="H85" s="13">
        <f t="shared" ref="H85:H104" si="5">SUM(C85:G85)</f>
        <v>16334.02</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446701.66</v>
      </c>
      <c r="D88" s="253">
        <f>SUM('DOE25'!G153:G162)</f>
        <v>422074.87</v>
      </c>
      <c r="E88" s="253">
        <f>SUM('DOE25'!H153:H162)</f>
        <v>2157592.67</v>
      </c>
      <c r="F88" s="253">
        <f>SUM('DOE25'!I153:I162)</f>
        <v>0</v>
      </c>
      <c r="G88" s="23" t="s">
        <v>288</v>
      </c>
      <c r="H88" s="13">
        <f t="shared" si="5"/>
        <v>3026369.2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463035.68</v>
      </c>
      <c r="D91" s="94">
        <f>SUM(D85:D90)</f>
        <v>422074.87</v>
      </c>
      <c r="E91" s="94">
        <f>SUM(E85:E90)</f>
        <v>2157592.67</v>
      </c>
      <c r="F91" s="94">
        <f>SUM(F85:F90)</f>
        <v>0</v>
      </c>
      <c r="G91" s="23" t="s">
        <v>288</v>
      </c>
      <c r="H91" s="13">
        <f t="shared" si="5"/>
        <v>3042703.2199999997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262.89999999999998</v>
      </c>
      <c r="F96" s="73">
        <f>'DOE25'!I180</f>
        <v>0</v>
      </c>
      <c r="G96" s="73">
        <f>'DOE25'!J180</f>
        <v>0</v>
      </c>
      <c r="H96" s="13">
        <f t="shared" si="5"/>
        <v>262.89999999999998</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262.89999999999998</v>
      </c>
      <c r="F103" s="68">
        <f>SUM(F93:F102)</f>
        <v>0</v>
      </c>
      <c r="G103" s="68">
        <f>SUM(G93:G102)</f>
        <v>0</v>
      </c>
      <c r="H103" s="68">
        <f t="shared" si="5"/>
        <v>262.89999999999998</v>
      </c>
    </row>
    <row r="104" spans="1:8" ht="12.75" thickTop="1" thickBot="1" x14ac:dyDescent="0.25">
      <c r="A104" s="32" t="s">
        <v>761</v>
      </c>
      <c r="C104" s="68">
        <f>C63+C81+C91+C103</f>
        <v>71072187.520000011</v>
      </c>
      <c r="D104" s="68">
        <f>D63+D81+D91+D103</f>
        <v>1439496.4200000002</v>
      </c>
      <c r="E104" s="68">
        <f>E63+E81+E91+E103</f>
        <v>2225966.1599999997</v>
      </c>
      <c r="F104" s="68">
        <f>F63+F81+F91+F103</f>
        <v>0</v>
      </c>
      <c r="G104" s="68">
        <f>G63+G81+G103</f>
        <v>489165.18000000005</v>
      </c>
      <c r="H104" s="68">
        <f t="shared" si="5"/>
        <v>75226815.280000016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29936652.259999998</v>
      </c>
      <c r="D109" s="23" t="s">
        <v>288</v>
      </c>
      <c r="E109" s="73">
        <f>('DOE25'!L277)+('DOE25'!L296)+('DOE25'!L315)</f>
        <v>200482.83999999997</v>
      </c>
      <c r="F109" s="23" t="s">
        <v>288</v>
      </c>
      <c r="G109" s="23" t="s">
        <v>288</v>
      </c>
      <c r="H109" s="13">
        <f t="shared" ref="H109:H115" si="6">SUM(C109:G109)</f>
        <v>30137135.099999998</v>
      </c>
    </row>
    <row r="110" spans="1:8" x14ac:dyDescent="0.2">
      <c r="A110" t="s">
        <v>198</v>
      </c>
      <c r="B110" s="31" t="s">
        <v>199</v>
      </c>
      <c r="C110" s="73">
        <f>('DOE25'!L199)+('DOE25'!L217)+('DOE25'!L235)</f>
        <v>12587159.91</v>
      </c>
      <c r="D110" s="23" t="s">
        <v>288</v>
      </c>
      <c r="E110" s="73">
        <f>('DOE25'!L278)+('DOE25'!L297)+('DOE25'!L316)</f>
        <v>952637.64</v>
      </c>
      <c r="F110" s="23" t="s">
        <v>288</v>
      </c>
      <c r="G110" s="23" t="s">
        <v>288</v>
      </c>
      <c r="H110" s="13">
        <f t="shared" si="6"/>
        <v>13539797.550000001</v>
      </c>
    </row>
    <row r="111" spans="1:8" x14ac:dyDescent="0.2">
      <c r="A111" t="s">
        <v>200</v>
      </c>
      <c r="B111" s="31" t="s">
        <v>165</v>
      </c>
      <c r="C111" s="73">
        <f>('DOE25'!L200)+('DOE25'!L218)+('DOE25'!L236)</f>
        <v>163663.34</v>
      </c>
      <c r="D111" s="23" t="s">
        <v>288</v>
      </c>
      <c r="E111" s="73">
        <f>('DOE25'!L279)+('DOE25'!L298)+('DOE25'!L317)</f>
        <v>0</v>
      </c>
      <c r="F111" s="23" t="s">
        <v>288</v>
      </c>
      <c r="G111" s="23" t="s">
        <v>288</v>
      </c>
      <c r="H111" s="13">
        <f t="shared" si="6"/>
        <v>163663.34</v>
      </c>
    </row>
    <row r="112" spans="1:8" x14ac:dyDescent="0.2">
      <c r="A112" t="s">
        <v>201</v>
      </c>
      <c r="B112" s="31" t="s">
        <v>167</v>
      </c>
      <c r="C112" s="73">
        <f>('DOE25'!L201)+('DOE25'!L219)+('DOE25'!L237)</f>
        <v>1206774.5100000002</v>
      </c>
      <c r="D112" s="23" t="s">
        <v>288</v>
      </c>
      <c r="E112" s="73">
        <f>+('DOE25'!L280)+('DOE25'!L299)+('DOE25'!L318)</f>
        <v>4366.91</v>
      </c>
      <c r="F112" s="23" t="s">
        <v>288</v>
      </c>
      <c r="G112" s="23" t="s">
        <v>288</v>
      </c>
      <c r="H112" s="13">
        <f t="shared" si="6"/>
        <v>1211141.4200000002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153722.47</v>
      </c>
      <c r="D114" s="23" t="s">
        <v>288</v>
      </c>
      <c r="E114" s="73">
        <f>+ SUM('DOE25'!L334:L336)</f>
        <v>55424.39</v>
      </c>
      <c r="F114" s="23" t="s">
        <v>288</v>
      </c>
      <c r="G114" s="23" t="s">
        <v>288</v>
      </c>
      <c r="H114" s="13">
        <f t="shared" si="6"/>
        <v>209146.86</v>
      </c>
    </row>
    <row r="115" spans="1:8" ht="12.75" thickTop="1" thickBot="1" x14ac:dyDescent="0.25">
      <c r="A115" s="32" t="s">
        <v>205</v>
      </c>
      <c r="C115" s="68">
        <f>SUM(C109:C114)</f>
        <v>44047972.490000002</v>
      </c>
      <c r="D115" s="68">
        <f>SUM(D109:D114)</f>
        <v>0</v>
      </c>
      <c r="E115" s="68">
        <f>SUM(E109:E114)</f>
        <v>1212911.7799999998</v>
      </c>
      <c r="F115" s="68">
        <f>SUM(F109:F114)</f>
        <v>0</v>
      </c>
      <c r="G115" s="68">
        <f>SUM(G109:G114)</f>
        <v>0</v>
      </c>
      <c r="H115" s="68">
        <f t="shared" si="6"/>
        <v>45260884.270000003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5210570.4499999993</v>
      </c>
      <c r="D118" s="23" t="s">
        <v>288</v>
      </c>
      <c r="E118" s="73">
        <f>+('DOE25'!L282)+('DOE25'!L301)+('DOE25'!L320)</f>
        <v>1000</v>
      </c>
      <c r="F118" s="23" t="s">
        <v>288</v>
      </c>
      <c r="G118" s="23" t="s">
        <v>288</v>
      </c>
      <c r="H118" s="13">
        <f t="shared" ref="H118:H145" si="7">SUM(C118:G118)</f>
        <v>5211570.4499999993</v>
      </c>
    </row>
    <row r="119" spans="1:8" x14ac:dyDescent="0.2">
      <c r="A119" t="s">
        <v>208</v>
      </c>
      <c r="B119" s="31" t="s">
        <v>209</v>
      </c>
      <c r="C119" s="73">
        <f>('DOE25'!L204)+('DOE25'!L222)+('DOE25'!L240)</f>
        <v>1525734.9300000002</v>
      </c>
      <c r="D119" s="23" t="s">
        <v>288</v>
      </c>
      <c r="E119" s="73">
        <f>+('DOE25'!L283)+('DOE25'!L302)+('DOE25'!L321)</f>
        <v>116389.82</v>
      </c>
      <c r="F119" s="23" t="s">
        <v>288</v>
      </c>
      <c r="G119" s="23" t="s">
        <v>288</v>
      </c>
      <c r="H119" s="13">
        <f t="shared" si="7"/>
        <v>1642124.7500000002</v>
      </c>
    </row>
    <row r="120" spans="1:8" x14ac:dyDescent="0.2">
      <c r="A120" t="s">
        <v>210</v>
      </c>
      <c r="B120" s="31" t="s">
        <v>211</v>
      </c>
      <c r="C120" s="73">
        <f>('DOE25'!L205)+('DOE25'!L223)+('DOE25'!L241)</f>
        <v>1800113.57</v>
      </c>
      <c r="D120" s="23" t="s">
        <v>288</v>
      </c>
      <c r="E120" s="73">
        <f>+('DOE25'!L284)+('DOE25'!L303)+('DOE25'!L322)</f>
        <v>0</v>
      </c>
      <c r="F120" s="23" t="s">
        <v>288</v>
      </c>
      <c r="G120" s="23" t="s">
        <v>288</v>
      </c>
      <c r="H120" s="13">
        <f t="shared" si="7"/>
        <v>1800113.57</v>
      </c>
    </row>
    <row r="121" spans="1:8" x14ac:dyDescent="0.2">
      <c r="A121" t="s">
        <v>212</v>
      </c>
      <c r="B121" s="31" t="s">
        <v>213</v>
      </c>
      <c r="C121" s="73">
        <f>('DOE25'!L206)+('DOE25'!L224)+('DOE25'!L242)</f>
        <v>4825723.26</v>
      </c>
      <c r="D121" s="23" t="s">
        <v>288</v>
      </c>
      <c r="E121" s="73">
        <f>+('DOE25'!L285)+('DOE25'!L304)+('DOE25'!L323)</f>
        <v>0</v>
      </c>
      <c r="F121" s="23" t="s">
        <v>288</v>
      </c>
      <c r="G121" s="23" t="s">
        <v>288</v>
      </c>
      <c r="H121" s="13">
        <f t="shared" si="7"/>
        <v>4825723.26</v>
      </c>
    </row>
    <row r="122" spans="1:8" x14ac:dyDescent="0.2">
      <c r="A122" t="s">
        <v>214</v>
      </c>
      <c r="B122" s="31" t="s">
        <v>215</v>
      </c>
      <c r="C122" s="73">
        <f>('DOE25'!L207)+('DOE25'!L225)+('DOE25'!L243)</f>
        <v>693934.04</v>
      </c>
      <c r="D122" s="23" t="s">
        <v>288</v>
      </c>
      <c r="E122" s="73">
        <f>+('DOE25'!L286)+('DOE25'!L305)+('DOE25'!L324)</f>
        <v>0</v>
      </c>
      <c r="F122" s="23" t="s">
        <v>288</v>
      </c>
      <c r="G122" s="23" t="s">
        <v>288</v>
      </c>
      <c r="H122" s="13">
        <f t="shared" si="7"/>
        <v>693934.04</v>
      </c>
    </row>
    <row r="123" spans="1:8" x14ac:dyDescent="0.2">
      <c r="A123" t="s">
        <v>216</v>
      </c>
      <c r="B123" s="31" t="s">
        <v>217</v>
      </c>
      <c r="C123" s="73">
        <f>('DOE25'!L208)+('DOE25'!L226)+('DOE25'!L244)</f>
        <v>5949761.4199999999</v>
      </c>
      <c r="D123" s="23" t="s">
        <v>288</v>
      </c>
      <c r="E123" s="73">
        <f>+('DOE25'!L287)+('DOE25'!L306)+('DOE25'!L325)</f>
        <v>0</v>
      </c>
      <c r="F123" s="23" t="s">
        <v>288</v>
      </c>
      <c r="G123" s="23" t="s">
        <v>288</v>
      </c>
      <c r="H123" s="13">
        <f t="shared" si="7"/>
        <v>5949761.4199999999</v>
      </c>
    </row>
    <row r="124" spans="1:8" x14ac:dyDescent="0.2">
      <c r="A124" t="s">
        <v>218</v>
      </c>
      <c r="B124" s="31" t="s">
        <v>219</v>
      </c>
      <c r="C124" s="73">
        <f>('DOE25'!L209)+('DOE25'!L227)+('DOE25'!L245+'DOE25'!L255)</f>
        <v>3387970</v>
      </c>
      <c r="D124" s="23" t="s">
        <v>288</v>
      </c>
      <c r="E124" s="73">
        <f>+('DOE25'!L288)+('DOE25'!L307)+('DOE25'!L326)</f>
        <v>0</v>
      </c>
      <c r="F124" s="23" t="s">
        <v>288</v>
      </c>
      <c r="G124" s="23" t="s">
        <v>288</v>
      </c>
      <c r="H124" s="13">
        <f t="shared" si="7"/>
        <v>3387970</v>
      </c>
    </row>
    <row r="125" spans="1:8" x14ac:dyDescent="0.2">
      <c r="A125" t="s">
        <v>220</v>
      </c>
      <c r="B125" s="31" t="s">
        <v>221</v>
      </c>
      <c r="C125" s="73">
        <f>('DOE25'!L210)+('DOE25'!L228)+('DOE25'!L246)</f>
        <v>1026780.5499999999</v>
      </c>
      <c r="D125" s="23" t="s">
        <v>288</v>
      </c>
      <c r="E125" s="73">
        <f>+('DOE25'!L289)+('DOE25'!L308)+('DOE25'!L327)</f>
        <v>0</v>
      </c>
      <c r="F125" s="23" t="s">
        <v>288</v>
      </c>
      <c r="G125" s="23" t="s">
        <v>288</v>
      </c>
      <c r="H125" s="13">
        <f t="shared" si="7"/>
        <v>1026780.5499999999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1488402.67</v>
      </c>
      <c r="E127" s="23" t="s">
        <v>288</v>
      </c>
      <c r="F127" s="23" t="s">
        <v>288</v>
      </c>
      <c r="G127" s="23" t="s">
        <v>288</v>
      </c>
      <c r="H127" s="13">
        <f t="shared" si="7"/>
        <v>1488402.67</v>
      </c>
    </row>
    <row r="128" spans="1:8" ht="12.75" thickTop="1" thickBot="1" x14ac:dyDescent="0.25">
      <c r="A128" s="32" t="s">
        <v>226</v>
      </c>
      <c r="C128" s="68">
        <f>SUM(C118:C127)</f>
        <v>24420588.220000003</v>
      </c>
      <c r="D128" s="68">
        <f>SUM(D118:D127)</f>
        <v>1488402.67</v>
      </c>
      <c r="E128" s="68">
        <f>SUM(E118:E127)</f>
        <v>117389.82</v>
      </c>
      <c r="F128" s="68">
        <f>SUM(F118:F127)</f>
        <v>0</v>
      </c>
      <c r="G128" s="68">
        <f>SUM(G118:G127)</f>
        <v>0</v>
      </c>
      <c r="H128" s="68">
        <f t="shared" si="7"/>
        <v>26026380.710000001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4770226.28</v>
      </c>
      <c r="D130" s="23" t="s">
        <v>288</v>
      </c>
      <c r="E130" s="92">
        <f>'DOE25'!L337</f>
        <v>895664.56</v>
      </c>
      <c r="F130" s="92">
        <f>SUM('DOE25'!L375:'DOE25'!L381)</f>
        <v>0</v>
      </c>
      <c r="G130" s="23" t="s">
        <v>288</v>
      </c>
      <c r="H130" s="13">
        <f t="shared" si="7"/>
        <v>5665890.8399999999</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262.89999999999998</v>
      </c>
      <c r="D136" s="23" t="s">
        <v>288</v>
      </c>
      <c r="E136" s="23" t="s">
        <v>288</v>
      </c>
      <c r="F136" s="23" t="s">
        <v>288</v>
      </c>
      <c r="G136" s="23" t="s">
        <v>288</v>
      </c>
      <c r="H136" s="13">
        <f t="shared" si="7"/>
        <v>262.89999999999998</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489165.18000000005</v>
      </c>
      <c r="D139" s="23" t="s">
        <v>288</v>
      </c>
      <c r="E139" s="23" t="s">
        <v>288</v>
      </c>
      <c r="F139" s="23" t="s">
        <v>288</v>
      </c>
      <c r="G139" s="23" t="s">
        <v>288</v>
      </c>
      <c r="H139" s="13">
        <f t="shared" si="7"/>
        <v>489165.18000000005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-489165.18000000005</v>
      </c>
      <c r="D141" s="23" t="s">
        <v>288</v>
      </c>
      <c r="E141" s="23" t="s">
        <v>288</v>
      </c>
      <c r="F141" s="23" t="s">
        <v>288</v>
      </c>
      <c r="G141" s="23" t="s">
        <v>288</v>
      </c>
      <c r="H141" s="13">
        <f t="shared" si="7"/>
        <v>-489165.18000000005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4770489.1800000006</v>
      </c>
      <c r="D144" s="98">
        <f>SUM(D130:D143)</f>
        <v>0</v>
      </c>
      <c r="E144" s="98">
        <f>SUM(E130:E143)</f>
        <v>895664.56</v>
      </c>
      <c r="F144" s="98">
        <f>SUM(F130:F143)</f>
        <v>0</v>
      </c>
      <c r="G144" s="98">
        <f>SUM(G130:G143)</f>
        <v>0</v>
      </c>
      <c r="H144" s="98">
        <f t="shared" si="7"/>
        <v>5666153.7400000002</v>
      </c>
    </row>
    <row r="145" spans="1:9" ht="12.75" thickTop="1" thickBot="1" x14ac:dyDescent="0.25">
      <c r="A145" s="32" t="s">
        <v>244</v>
      </c>
      <c r="C145" s="68">
        <f>(C115+C128+C144)</f>
        <v>73239049.890000015</v>
      </c>
      <c r="D145" s="68">
        <f>(D115+D128+D144)</f>
        <v>1488402.67</v>
      </c>
      <c r="E145" s="68">
        <f>(E115+E128+E144)</f>
        <v>2225966.16</v>
      </c>
      <c r="F145" s="68">
        <f>(F115+F128+F144)</f>
        <v>0</v>
      </c>
      <c r="G145" s="68">
        <f>(G115+G128+G144)</f>
        <v>0</v>
      </c>
      <c r="H145" s="68">
        <f t="shared" si="7"/>
        <v>76953418.720000014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76" orientation="landscape" r:id="rId1"/>
  <headerFooter alignWithMargins="0">
    <oddHeader>&amp;C&amp;A
2022-2023</oddHeader>
    <oddFooter>&amp;CPage &amp;P&amp;R&amp;D&amp;T</oddFooter>
  </headerFooter>
  <rowBreaks count="2" manualBreakCount="2">
    <brk id="52" max="16383" man="1"/>
    <brk id="105"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Timberlane Regional</v>
      </c>
    </row>
    <row r="3" spans="1:4" x14ac:dyDescent="0.2">
      <c r="B3" s="137" t="s">
        <v>1799</v>
      </c>
    </row>
    <row r="4" spans="1:4" x14ac:dyDescent="0.2">
      <c r="B4" t="s">
        <v>61</v>
      </c>
      <c r="C4" s="129">
        <f>IF('DOE25'!F666+'DOE25'!F671=0,0,ROUND('DOE25'!F673,0))</f>
        <v>18939</v>
      </c>
    </row>
    <row r="5" spans="1:4" x14ac:dyDescent="0.2">
      <c r="B5" t="s">
        <v>700</v>
      </c>
      <c r="C5" s="129">
        <f>IF('DOE25'!G666+'DOE25'!G671=0,0,ROUND('DOE25'!G673,0))</f>
        <v>20475</v>
      </c>
    </row>
    <row r="6" spans="1:4" x14ac:dyDescent="0.2">
      <c r="B6" t="s">
        <v>62</v>
      </c>
      <c r="C6" s="129">
        <f>IF('DOE25'!H666+'DOE25'!H671=0,0,ROUND('DOE25'!H673,0))</f>
        <v>21305</v>
      </c>
    </row>
    <row r="7" spans="1:4" x14ac:dyDescent="0.2">
      <c r="B7" t="s">
        <v>701</v>
      </c>
      <c r="C7" s="129">
        <f>IF('DOE25'!I666+'DOE25'!I671=0,0,ROUND('DOE25'!I673,0))</f>
        <v>20012</v>
      </c>
    </row>
    <row r="9" spans="1:4" x14ac:dyDescent="0.2">
      <c r="A9" s="136" t="s">
        <v>94</v>
      </c>
      <c r="B9" s="137" t="s">
        <v>1800</v>
      </c>
      <c r="C9" s="131" t="s">
        <v>720</v>
      </c>
      <c r="D9" s="131" t="s">
        <v>721</v>
      </c>
    </row>
    <row r="10" spans="1:4" x14ac:dyDescent="0.2">
      <c r="A10">
        <v>1100</v>
      </c>
      <c r="B10" t="s">
        <v>702</v>
      </c>
      <c r="C10" s="129">
        <f>ROUND('DOE25'!L198+'DOE25'!L216+'DOE25'!L234+'DOE25'!L277+'DOE25'!L296+'DOE25'!L315,0)</f>
        <v>30137135</v>
      </c>
      <c r="D10" s="132">
        <f>ROUND((C10/$C$28)*100,1)</f>
        <v>42.9</v>
      </c>
    </row>
    <row r="11" spans="1:4" x14ac:dyDescent="0.2">
      <c r="A11">
        <v>1200</v>
      </c>
      <c r="B11" t="s">
        <v>703</v>
      </c>
      <c r="C11" s="129">
        <f>ROUND('DOE25'!L199+'DOE25'!L217+'DOE25'!L235+'DOE25'!L278+'DOE25'!L297+'DOE25'!L316,0)</f>
        <v>13539798</v>
      </c>
      <c r="D11" s="132">
        <f>ROUND((C11/$C$28)*100,1)</f>
        <v>19.3</v>
      </c>
    </row>
    <row r="12" spans="1:4" x14ac:dyDescent="0.2">
      <c r="A12">
        <v>1300</v>
      </c>
      <c r="B12" t="s">
        <v>704</v>
      </c>
      <c r="C12" s="129">
        <f>ROUND('DOE25'!L200+'DOE25'!L218+'DOE25'!L236+'DOE25'!L279+'DOE25'!L298+'DOE25'!L317,0)</f>
        <v>163663</v>
      </c>
      <c r="D12" s="132">
        <f>ROUND((C12/$C$28)*100,1)</f>
        <v>0.2</v>
      </c>
    </row>
    <row r="13" spans="1:4" x14ac:dyDescent="0.2">
      <c r="A13">
        <v>1400</v>
      </c>
      <c r="B13" t="s">
        <v>705</v>
      </c>
      <c r="C13" s="129">
        <f>ROUND('DOE25'!L201+'DOE25'!L219+'DOE25'!L237+'DOE25'!L280+'DOE25'!L299+'DOE25'!L318,0)</f>
        <v>1211141</v>
      </c>
      <c r="D13" s="132">
        <f>ROUND((C13/$C$28)*100,1)</f>
        <v>1.7</v>
      </c>
    </row>
    <row r="14" spans="1:4" x14ac:dyDescent="0.2">
      <c r="D14" s="132"/>
    </row>
    <row r="15" spans="1:4" x14ac:dyDescent="0.2">
      <c r="A15">
        <v>2100</v>
      </c>
      <c r="B15" t="s">
        <v>706</v>
      </c>
      <c r="C15" s="129">
        <f>ROUND('DOE25'!L203+'DOE25'!L221+'DOE25'!L239+'DOE25'!L282+'DOE25'!L301+'DOE25'!L320,0)</f>
        <v>5211570</v>
      </c>
      <c r="D15" s="132">
        <f t="shared" ref="D15:D27" si="0">ROUND((C15/$C$28)*100,1)</f>
        <v>7.4</v>
      </c>
    </row>
    <row r="16" spans="1:4" x14ac:dyDescent="0.2">
      <c r="A16">
        <v>2200</v>
      </c>
      <c r="B16" t="s">
        <v>707</v>
      </c>
      <c r="C16" s="129">
        <f>ROUND('DOE25'!L204+'DOE25'!L222+'DOE25'!L240+'DOE25'!L283+'DOE25'!L302+'DOE25'!L321,0)</f>
        <v>1642125</v>
      </c>
      <c r="D16" s="132">
        <f t="shared" si="0"/>
        <v>2.2999999999999998</v>
      </c>
    </row>
    <row r="17" spans="1:4" x14ac:dyDescent="0.2">
      <c r="A17" s="133" t="s">
        <v>723</v>
      </c>
      <c r="B17" t="s">
        <v>738</v>
      </c>
      <c r="C17" s="129">
        <f>ROUND('DOE25'!L205+'DOE25'!L210+'DOE25'!L223+'DOE25'!L228+'DOE25'!L241+'DOE25'!L246+'DOE25'!L284+'DOE25'!L289+'DOE25'!L303+'DOE25'!L308+'DOE25'!L322+'DOE25'!L327,0)</f>
        <v>2826894</v>
      </c>
      <c r="D17" s="132">
        <f t="shared" si="0"/>
        <v>4</v>
      </c>
    </row>
    <row r="18" spans="1:4" x14ac:dyDescent="0.2">
      <c r="A18">
        <v>2400</v>
      </c>
      <c r="B18" t="s">
        <v>711</v>
      </c>
      <c r="C18" s="129">
        <f>ROUND('DOE25'!L206+'DOE25'!L224+'DOE25'!L242+'DOE25'!L285+'DOE25'!L304+'DOE25'!L323,0)</f>
        <v>4825723</v>
      </c>
      <c r="D18" s="132">
        <f t="shared" si="0"/>
        <v>6.9</v>
      </c>
    </row>
    <row r="19" spans="1:4" x14ac:dyDescent="0.2">
      <c r="A19">
        <v>2500</v>
      </c>
      <c r="B19" t="s">
        <v>708</v>
      </c>
      <c r="C19" s="129">
        <f>ROUND('DOE25'!L207+'DOE25'!L225+'DOE25'!L243+'DOE25'!L286+'DOE25'!L305+'DOE25'!L324,0)</f>
        <v>693934</v>
      </c>
      <c r="D19" s="132">
        <f t="shared" si="0"/>
        <v>1</v>
      </c>
    </row>
    <row r="20" spans="1:4" x14ac:dyDescent="0.2">
      <c r="A20">
        <v>2600</v>
      </c>
      <c r="B20" t="s">
        <v>709</v>
      </c>
      <c r="C20" s="129">
        <f>ROUND('DOE25'!L208+'DOE25'!L226+'DOE25'!L244+'DOE25'!L287+'DOE25'!L306+'DOE25'!L325,0)</f>
        <v>5949761</v>
      </c>
      <c r="D20" s="132">
        <f t="shared" si="0"/>
        <v>8.5</v>
      </c>
    </row>
    <row r="21" spans="1:4" x14ac:dyDescent="0.2">
      <c r="A21">
        <v>2700</v>
      </c>
      <c r="B21" t="s">
        <v>710</v>
      </c>
      <c r="C21" s="129">
        <f>ROUND('DOE25'!L209+'DOE25'!L227+'DOE25'!L245+'DOE25'!L288+'DOE25'!L307+'DOE25'!L326,0)</f>
        <v>3387970</v>
      </c>
      <c r="D21" s="132">
        <f t="shared" si="0"/>
        <v>4.8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209147</v>
      </c>
      <c r="D24" s="132">
        <f t="shared" si="0"/>
        <v>0.3</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489647.10999999987</v>
      </c>
      <c r="D27" s="132">
        <f t="shared" si="0"/>
        <v>0.7</v>
      </c>
    </row>
    <row r="28" spans="1:4" x14ac:dyDescent="0.2">
      <c r="B28" s="136" t="s">
        <v>719</v>
      </c>
      <c r="C28" s="130">
        <f>SUM(C10:C27)</f>
        <v>70288508.109999999</v>
      </c>
      <c r="D28" s="134">
        <f>ROUND(SUM(D10:D27),0)</f>
        <v>100</v>
      </c>
    </row>
    <row r="29" spans="1:4" x14ac:dyDescent="0.2">
      <c r="A29">
        <v>4000</v>
      </c>
      <c r="B29" t="s">
        <v>724</v>
      </c>
      <c r="C29" s="129">
        <f>ROUND('DOE25'!L256+'DOE25'!L337+'DOE25'!L375+'DOE25'!L376+'DOE25'!L377+'DOE25'!L378+'DOE25'!L379+'DOE25'!L380+'DOE25'!L381,0)</f>
        <v>5665891</v>
      </c>
    </row>
    <row r="30" spans="1:4" x14ac:dyDescent="0.2">
      <c r="B30" s="136" t="s">
        <v>725</v>
      </c>
      <c r="C30" s="130">
        <f>SUM(C28:C29)</f>
        <v>75954399.109999999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51623954</v>
      </c>
      <c r="D35" s="132">
        <f t="shared" ref="D35:D40" si="1">ROUND((C35/$C$41)*100,1)</f>
        <v>69.5</v>
      </c>
    </row>
    <row r="36" spans="1:4" x14ac:dyDescent="0.2">
      <c r="B36" s="71" t="s">
        <v>739</v>
      </c>
      <c r="C36" s="129">
        <f>SUM('DOE25'!F112:J112)-SUM('DOE25'!G97:G110)+('DOE25'!F175+'DOE25'!F176+'DOE25'!I175+'DOE25'!I176)-C35</f>
        <v>1842703.8700000048</v>
      </c>
      <c r="D36" s="132">
        <f t="shared" si="1"/>
        <v>2.5</v>
      </c>
    </row>
    <row r="37" spans="1:4" x14ac:dyDescent="0.2">
      <c r="A37" s="133" t="s">
        <v>834</v>
      </c>
      <c r="B37" s="71" t="s">
        <v>728</v>
      </c>
      <c r="C37" s="129">
        <f>ROUND('DOE25'!F117+'DOE25'!F118,0)</f>
        <v>16651169</v>
      </c>
      <c r="D37" s="132">
        <f t="shared" si="1"/>
        <v>22.4</v>
      </c>
    </row>
    <row r="38" spans="1:4" x14ac:dyDescent="0.2">
      <c r="A38" s="133" t="s">
        <v>734</v>
      </c>
      <c r="B38" s="71" t="s">
        <v>729</v>
      </c>
      <c r="C38" s="129">
        <f>ROUND(SUM('DOE25'!F140:J140)-SUM('DOE25'!F117:F119),0)</f>
        <v>1067267</v>
      </c>
      <c r="D38" s="132">
        <f t="shared" si="1"/>
        <v>1.4</v>
      </c>
    </row>
    <row r="39" spans="1:4" x14ac:dyDescent="0.2">
      <c r="A39">
        <v>4000</v>
      </c>
      <c r="B39" s="71" t="s">
        <v>730</v>
      </c>
      <c r="C39" s="129">
        <f>ROUND('DOE25'!F170+'DOE25'!G170+'DOE25'!H170+'DOE25'!I170,0)</f>
        <v>3042703</v>
      </c>
      <c r="D39" s="132">
        <f t="shared" si="1"/>
        <v>4.0999999999999996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74227796.870000005</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0" sqref="C10:M10"/>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Timberlane Regional</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1</v>
      </c>
      <c r="B4" s="150">
        <v>9</v>
      </c>
      <c r="C4" s="327" t="s">
        <v>1812</v>
      </c>
      <c r="D4" s="327"/>
      <c r="E4" s="327"/>
      <c r="F4" s="327"/>
      <c r="G4" s="327"/>
      <c r="H4" s="327"/>
      <c r="I4" s="327"/>
      <c r="J4" s="327"/>
      <c r="K4" s="327"/>
      <c r="L4" s="327"/>
      <c r="M4" s="329"/>
    </row>
    <row r="5" spans="1:13" x14ac:dyDescent="0.2">
      <c r="A5" s="159">
        <v>19</v>
      </c>
      <c r="B5" s="150">
        <v>1</v>
      </c>
      <c r="C5" s="327" t="s">
        <v>1813</v>
      </c>
      <c r="D5" s="327"/>
      <c r="E5" s="327"/>
      <c r="F5" s="327"/>
      <c r="G5" s="327"/>
      <c r="H5" s="327"/>
      <c r="I5" s="327"/>
      <c r="J5" s="327"/>
      <c r="K5" s="327"/>
      <c r="L5" s="327"/>
      <c r="M5" s="329"/>
    </row>
    <row r="6" spans="1:13" x14ac:dyDescent="0.2">
      <c r="A6" s="159"/>
      <c r="B6" s="150"/>
      <c r="C6" s="327" t="s">
        <v>1814</v>
      </c>
      <c r="D6" s="327"/>
      <c r="E6" s="327"/>
      <c r="F6" s="327"/>
      <c r="G6" s="327"/>
      <c r="H6" s="327"/>
      <c r="I6" s="327"/>
      <c r="J6" s="327"/>
      <c r="K6" s="327"/>
      <c r="L6" s="327"/>
      <c r="M6" s="329"/>
    </row>
    <row r="7" spans="1:13" x14ac:dyDescent="0.2">
      <c r="A7" s="159">
        <v>4</v>
      </c>
      <c r="B7" s="150">
        <v>4</v>
      </c>
      <c r="C7" s="327" t="s">
        <v>1815</v>
      </c>
      <c r="D7" s="327"/>
      <c r="E7" s="327"/>
      <c r="F7" s="327"/>
      <c r="G7" s="327"/>
      <c r="H7" s="327"/>
      <c r="I7" s="327"/>
      <c r="J7" s="327"/>
      <c r="K7" s="327"/>
      <c r="L7" s="327"/>
      <c r="M7" s="329"/>
    </row>
    <row r="8" spans="1:13" x14ac:dyDescent="0.2">
      <c r="A8" s="159"/>
      <c r="B8" s="150"/>
      <c r="C8" s="327" t="s">
        <v>1816</v>
      </c>
      <c r="D8" s="327"/>
      <c r="E8" s="327"/>
      <c r="F8" s="327"/>
      <c r="G8" s="327"/>
      <c r="H8" s="327"/>
      <c r="I8" s="327"/>
      <c r="J8" s="327"/>
      <c r="K8" s="327"/>
      <c r="L8" s="327"/>
      <c r="M8" s="329"/>
    </row>
    <row r="9" spans="1:13" x14ac:dyDescent="0.2">
      <c r="A9" s="159"/>
      <c r="B9" s="150"/>
      <c r="C9" s="327" t="s">
        <v>1817</v>
      </c>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66</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90</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59</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246</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262</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f>IFERROR(SMALL($I$4:$I$325,ROWS($I$4:I8)),"")</f>
        <v>263</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f>IF('School Level Expenditures'!$B$2=A15,'School Tables'!H15,"")</f>
        <v>12</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f>IF('School Level Expenditures'!$B$2=A62,'School Tables'!H62,"")</f>
        <v>59</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f>IF('School Level Expenditures'!$B$2='School Tables'!L69,'School Tables'!S69,"")</f>
        <v>66</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f>IF('School Level Expenditures'!$B$2='School Tables'!W93,'School Tables'!AD93,"")</f>
        <v>90</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f>IF('School Level Expenditures'!$B$2=A249,'School Tables'!H249,"")</f>
        <v>246</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f>IF('School Level Expenditures'!$B$2=A265,'School Tables'!H265,"")</f>
        <v>262</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f>IF('School Level Expenditures'!$B$2=A266,'School Tables'!H266,"")</f>
        <v>263</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2023-08-30T20:25:34Z</cp:lastPrinted>
  <dcterms:created xsi:type="dcterms:W3CDTF">1997-12-04T19:04:30Z</dcterms:created>
  <dcterms:modified xsi:type="dcterms:W3CDTF">2023-12-29T15:03:41Z</dcterms:modified>
</cp:coreProperties>
</file>