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4509EF8F-078E-4D9A-A84C-69CB835E60C2}"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 i="13" l="1"/>
  <c r="F31" i="13"/>
  <c r="F6" i="13"/>
  <c r="F5" i="13"/>
  <c r="F15" i="13"/>
  <c r="F13" i="1"/>
  <c r="F50" i="1"/>
  <c r="E13" i="17" l="1"/>
  <c r="E9" i="17"/>
  <c r="I605" i="1"/>
  <c r="G158" i="1"/>
  <c r="F125" i="1"/>
  <c r="I216" i="1"/>
  <c r="J216" i="1"/>
  <c r="G216" i="1"/>
  <c r="H216" i="1"/>
  <c r="F216" i="1"/>
  <c r="K262" i="1"/>
  <c r="K261" i="1"/>
  <c r="H203" i="1"/>
  <c r="I283" i="1"/>
  <c r="H302" i="1"/>
  <c r="H283" i="1"/>
  <c r="G302" i="1"/>
  <c r="G283" i="1"/>
  <c r="F302" i="1"/>
  <c r="F283" i="1"/>
  <c r="H22" i="1" l="1"/>
  <c r="H13" i="1"/>
  <c r="H24" i="1"/>
  <c r="G48" i="1"/>
  <c r="G24" i="1"/>
  <c r="F24" i="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I121" i="1"/>
  <c r="I136" i="1"/>
  <c r="J121" i="1"/>
  <c r="J136" i="1"/>
  <c r="F147" i="1"/>
  <c r="F170" i="1" s="1"/>
  <c r="G147" i="1"/>
  <c r="D85" i="2" s="1"/>
  <c r="H147" i="1"/>
  <c r="H170" i="1" s="1"/>
  <c r="I147" i="1"/>
  <c r="F85" i="2"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G652" i="1"/>
  <c r="J652" i="1" s="1"/>
  <c r="H653" i="1"/>
  <c r="G654" i="1"/>
  <c r="H654" i="1"/>
  <c r="H655" i="1"/>
  <c r="H656" i="1"/>
  <c r="I170" i="1" l="1"/>
  <c r="F409" i="1"/>
  <c r="H644" i="1" s="1"/>
  <c r="C32" i="10"/>
  <c r="G62" i="2"/>
  <c r="C119" i="2"/>
  <c r="H143" i="2"/>
  <c r="I409" i="1"/>
  <c r="H38" i="2"/>
  <c r="D144" i="2"/>
  <c r="H30" i="2"/>
  <c r="G409" i="1"/>
  <c r="H646" i="1" s="1"/>
  <c r="J140" i="1"/>
  <c r="D18" i="13"/>
  <c r="C18" i="13" s="1"/>
  <c r="H132" i="2"/>
  <c r="H44" i="2"/>
  <c r="H48" i="2"/>
  <c r="H72" i="2"/>
  <c r="E112" i="2"/>
  <c r="G662" i="1"/>
  <c r="D29" i="13"/>
  <c r="C29" i="13" s="1"/>
  <c r="E125" i="2"/>
  <c r="E124" i="2"/>
  <c r="G663" i="1"/>
  <c r="E121" i="2"/>
  <c r="E120" i="2"/>
  <c r="C13" i="10"/>
  <c r="G651" i="1"/>
  <c r="E13" i="13"/>
  <c r="C13" i="13" s="1"/>
  <c r="C125" i="2"/>
  <c r="H125" i="2" s="1"/>
  <c r="N2" i="14"/>
  <c r="N3" i="14" s="1"/>
  <c r="M2" i="14"/>
  <c r="M3" i="14" s="1"/>
  <c r="C112" i="2"/>
  <c r="A40" i="12"/>
  <c r="C12" i="10"/>
  <c r="C110" i="2"/>
  <c r="D15" i="13"/>
  <c r="C15" i="13" s="1"/>
  <c r="C121" i="2"/>
  <c r="K2" i="14"/>
  <c r="K3" i="14" s="1"/>
  <c r="C120" i="2"/>
  <c r="H120" i="2" s="1"/>
  <c r="D6" i="13"/>
  <c r="C6" i="13" s="1"/>
  <c r="L2" i="14"/>
  <c r="L3" i="14" s="1"/>
  <c r="G646" i="1"/>
  <c r="J646" i="1" s="1"/>
  <c r="H94" i="2"/>
  <c r="H93" i="2"/>
  <c r="H73" i="2"/>
  <c r="H96" i="2"/>
  <c r="H87" i="2"/>
  <c r="H80" i="2"/>
  <c r="H76" i="2"/>
  <c r="H140" i="1"/>
  <c r="H58" i="2"/>
  <c r="H102" i="2"/>
  <c r="H101" i="2"/>
  <c r="H100" i="2"/>
  <c r="H99" i="2"/>
  <c r="H98" i="2"/>
  <c r="H97" i="2"/>
  <c r="H89" i="2"/>
  <c r="H79" i="2"/>
  <c r="H77" i="2"/>
  <c r="H69" i="2"/>
  <c r="H61" i="2"/>
  <c r="H59" i="2"/>
  <c r="H47" i="2"/>
  <c r="H43" i="2"/>
  <c r="H26" i="2"/>
  <c r="H25" i="2"/>
  <c r="H22" i="2"/>
  <c r="H15" i="2"/>
  <c r="H36" i="2"/>
  <c r="H35" i="2"/>
  <c r="H34" i="2"/>
  <c r="H29" i="2"/>
  <c r="H28" i="2"/>
  <c r="H27" i="2"/>
  <c r="H24" i="2"/>
  <c r="H23" i="2"/>
  <c r="H17" i="2"/>
  <c r="H13" i="2"/>
  <c r="H12" i="2"/>
  <c r="H11" i="2"/>
  <c r="H9" i="2"/>
  <c r="H8" i="2"/>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J653" i="1"/>
  <c r="G572" i="1"/>
  <c r="I435" i="1"/>
  <c r="G435" i="1"/>
  <c r="I664" i="1"/>
  <c r="G637" i="1" l="1"/>
  <c r="I473" i="1"/>
  <c r="I663" i="1"/>
  <c r="G647" i="1"/>
  <c r="J469" i="1"/>
  <c r="B17" i="16"/>
  <c r="B19" i="16" s="1"/>
  <c r="G473" i="1"/>
  <c r="H119" i="2"/>
  <c r="H114" i="2"/>
  <c r="H134" i="2"/>
  <c r="H21" i="2"/>
  <c r="H112" i="2"/>
  <c r="H42" i="2"/>
  <c r="H16" i="2"/>
  <c r="D128" i="2"/>
  <c r="D145" i="2" s="1"/>
  <c r="H127" i="2"/>
  <c r="H124" i="2"/>
  <c r="H121" i="2"/>
  <c r="H118" i="2"/>
  <c r="G24" i="14"/>
  <c r="H24" i="14" s="1"/>
  <c r="I24" i="14" s="1"/>
  <c r="H123" i="2"/>
  <c r="H122" i="2"/>
  <c r="E128" i="2"/>
  <c r="H110" i="2"/>
  <c r="L572" i="1"/>
  <c r="H85" i="2"/>
  <c r="H78" i="2"/>
  <c r="H57" i="2"/>
  <c r="H103" i="2"/>
  <c r="H91" i="2"/>
  <c r="H62" i="2"/>
  <c r="I662" i="1"/>
  <c r="C81" i="2"/>
  <c r="H81" i="2" s="1"/>
  <c r="F194" i="1"/>
  <c r="E51" i="2"/>
  <c r="H50" i="2"/>
  <c r="D51" i="2"/>
  <c r="H31" i="2"/>
  <c r="H18" i="2"/>
  <c r="F661" i="1"/>
  <c r="F665" i="1" s="1"/>
  <c r="F670" i="1" s="1"/>
  <c r="E115" i="2"/>
  <c r="H109" i="2"/>
  <c r="F144" i="2"/>
  <c r="H130" i="2"/>
  <c r="H661" i="1"/>
  <c r="H665" i="1" s="1"/>
  <c r="H194" i="1"/>
  <c r="H649" i="1"/>
  <c r="J649" i="1" s="1"/>
  <c r="C141" i="2"/>
  <c r="F51" i="2"/>
  <c r="G36" i="14"/>
  <c r="H36" i="14" s="1"/>
  <c r="E104" i="2"/>
  <c r="C36" i="10"/>
  <c r="L435" i="1"/>
  <c r="G104" i="2"/>
  <c r="L339" i="1"/>
  <c r="L353" i="1" s="1"/>
  <c r="I194" i="1"/>
  <c r="G636" i="1"/>
  <c r="G51" i="2"/>
  <c r="D104" i="2"/>
  <c r="L409" i="1"/>
  <c r="C27" i="10"/>
  <c r="C28" i="10" s="1"/>
  <c r="D23" i="10" s="1"/>
  <c r="G4" i="14"/>
  <c r="H4" i="14" s="1"/>
  <c r="I4" i="14" s="1"/>
  <c r="L546" i="1"/>
  <c r="F104" i="2"/>
  <c r="B14" i="16"/>
  <c r="E33" i="13"/>
  <c r="D35" i="13" s="1"/>
  <c r="J648" i="1"/>
  <c r="L258" i="1"/>
  <c r="L272" i="1" s="1"/>
  <c r="C115" i="2"/>
  <c r="C63" i="2"/>
  <c r="C39" i="10"/>
  <c r="G33" i="13"/>
  <c r="C128" i="2"/>
  <c r="D31" i="13"/>
  <c r="C31" i="13" s="1"/>
  <c r="I462" i="1"/>
  <c r="H643" i="1" s="1"/>
  <c r="J643" i="1" s="1"/>
  <c r="G661" i="1"/>
  <c r="G665" i="1" s="1"/>
  <c r="C25" i="13"/>
  <c r="I33" i="13"/>
  <c r="K553" i="1"/>
  <c r="C51" i="2"/>
  <c r="G632" i="1"/>
  <c r="G194" i="1"/>
  <c r="G627" i="1"/>
  <c r="J52" i="1"/>
  <c r="H622" i="1" s="1"/>
  <c r="J622" i="1" s="1"/>
  <c r="C38" i="10"/>
  <c r="G639" i="1" l="1"/>
  <c r="J473" i="1"/>
  <c r="G631" i="1"/>
  <c r="I469" i="1"/>
  <c r="I475" i="1"/>
  <c r="H637" i="1"/>
  <c r="J637" i="1" s="1"/>
  <c r="H632" i="1"/>
  <c r="J632" i="1" s="1"/>
  <c r="H638" i="1"/>
  <c r="J471" i="1"/>
  <c r="G630" i="1"/>
  <c r="H469" i="1"/>
  <c r="G629" i="1"/>
  <c r="G469" i="1"/>
  <c r="B22" i="16"/>
  <c r="G475" i="1"/>
  <c r="H636" i="1"/>
  <c r="J636" i="1" s="1"/>
  <c r="G628" i="1"/>
  <c r="F469" i="1"/>
  <c r="G633" i="1"/>
  <c r="F473" i="1"/>
  <c r="G634" i="1"/>
  <c r="H473" i="1"/>
  <c r="H128" i="2"/>
  <c r="M24" i="14"/>
  <c r="C104" i="2"/>
  <c r="H104" i="2" s="1"/>
  <c r="H63" i="2"/>
  <c r="C144" i="2"/>
  <c r="C145" i="2" s="1"/>
  <c r="H141"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1" i="1" l="1"/>
  <c r="I471" i="1"/>
  <c r="I477" i="1" s="1"/>
  <c r="H626" i="1" s="1"/>
  <c r="J626" i="1" s="1"/>
  <c r="J631" i="1"/>
  <c r="H639" i="1"/>
  <c r="J475" i="1"/>
  <c r="J477" i="1" s="1"/>
  <c r="H627" i="1" s="1"/>
  <c r="J627" i="1" s="1"/>
  <c r="J639" i="1"/>
  <c r="H630" i="1"/>
  <c r="J630" i="1" s="1"/>
  <c r="H471" i="1"/>
  <c r="H629" i="1"/>
  <c r="J629" i="1" s="1"/>
  <c r="G471" i="1"/>
  <c r="G477" i="1" s="1"/>
  <c r="F471" i="1"/>
  <c r="H628" i="1"/>
  <c r="J628" i="1" s="1"/>
  <c r="F475" i="1"/>
  <c r="F477" i="1" s="1"/>
  <c r="H623" i="1" s="1"/>
  <c r="J623" i="1" s="1"/>
  <c r="H633" i="1"/>
  <c r="J633" i="1" s="1"/>
  <c r="H475" i="1"/>
  <c r="H477" i="1" s="1"/>
  <c r="H625" i="1" s="1"/>
  <c r="J625" i="1" s="1"/>
  <c r="H634" i="1"/>
  <c r="J634" i="1" s="1"/>
  <c r="H144" i="2"/>
  <c r="H145" i="2"/>
  <c r="I670" i="1"/>
  <c r="I673" i="1" s="1"/>
  <c r="C7" i="10" s="1"/>
  <c r="F673" i="1"/>
  <c r="C4" i="10" s="1"/>
  <c r="I668" i="1"/>
  <c r="D28" i="10"/>
  <c r="D37" i="10"/>
  <c r="D36" i="10"/>
  <c r="D35" i="10"/>
  <c r="D40" i="10"/>
  <c r="D39" i="10"/>
  <c r="H624" i="1" l="1"/>
  <c r="J624" i="1" s="1"/>
  <c r="B33" i="16"/>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<sst xmlns="http://schemas.openxmlformats.org/spreadsheetml/2006/main" count="6557" uniqueCount="1812">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</sst>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pageSetUpPr fitToPage="1"/>
  </sheetPr>
  <dimension ref="A1:CH677"/>
  <sheetViews>
    <sheetView tabSelected="1" topLeftCell="A645" zoomScaleNormal="100" workbookViewId="0">
      <selection activeCell="G667" sqref="G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1453</v>
      </c>
      <c r="B2">
        <f>INDEX('School Tables'!$AH$3:$AH$209,MATCH('DOE25'!A2,'School Tables'!$AJ$3:$AJ$209,0))</f>
        <v>555</v>
      </c>
      <c r="C2">
        <f>INDEX('School Tables'!$AI$3:$AI$209,MATCH('DOE25'!A2,'School Tables'!$AJ$3:$AJ$209,0))</f>
        <v>555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1855163.28</v>
      </c>
      <c r="G9" s="18">
        <v>0</v>
      </c>
      <c r="H9" s="18">
        <v>0</v>
      </c>
      <c r="I9" s="18">
        <v>0</v>
      </c>
      <c r="J9" s="13">
        <f>SUM(I440)</f>
        <v>1022141.89</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0</v>
      </c>
      <c r="G12" s="18">
        <v>0</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f>48062.2+84075</f>
        <v>132137.20000000001</v>
      </c>
      <c r="G13" s="18">
        <v>644645.54</v>
      </c>
      <c r="H13" s="18">
        <f>217746.24+213938.72</f>
        <v>431684.95999999996</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1871.59</v>
      </c>
      <c r="G14" s="18">
        <v>0</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77778.53</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2066950.6</v>
      </c>
      <c r="G19" s="38">
        <f>SUM(G9:G18)</f>
        <v>644645.54</v>
      </c>
      <c r="H19" s="38">
        <f>SUM(H9:H18)</f>
        <v>431684.95999999996</v>
      </c>
      <c r="I19" s="38">
        <f>SUM(I9:I18)</f>
        <v>0</v>
      </c>
      <c r="J19" s="38">
        <f>SUM(J9:J18)</f>
        <v>1022141.89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-607643.84</v>
      </c>
      <c r="G22" s="18">
        <v>365907.1</v>
      </c>
      <c r="H22" s="18">
        <f>-8696.34+58053.18+192407.15</f>
        <v>241763.99</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21108.05</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21875.29+1917376.01</f>
        <v>1939251.3</v>
      </c>
      <c r="G24" s="18">
        <f>635.88+39808.22</f>
        <v>40444.1</v>
      </c>
      <c r="H24" s="18">
        <f>159693.06+21531.57</f>
        <v>181224.63</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39974.67</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27012.959999999999</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6987.56</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1419703.1400000001</v>
      </c>
      <c r="G32" s="38">
        <f>SUM(G22:G31)</f>
        <v>413338.75999999995</v>
      </c>
      <c r="H32" s="38">
        <f>SUM(H22:H31)</f>
        <v>422988.62</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v>0</v>
      </c>
      <c r="H39" s="18">
        <v>0</v>
      </c>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0</v>
      </c>
      <c r="G44" s="18"/>
      <c r="H44" s="18"/>
      <c r="I44" s="18">
        <v>0</v>
      </c>
      <c r="J44" s="23" t="s">
        <v>288</v>
      </c>
      <c r="K44" s="23" t="s">
        <v>288</v>
      </c>
      <c r="L44" s="23" t="s">
        <v>288</v>
      </c>
      <c r="M44" s="8"/>
      <c r="N44" s="165"/>
    </row>
    <row r="45" spans="1:14" s="3" customFormat="1" ht="12.2" customHeight="1" x14ac:dyDescent="0.15">
      <c r="A45" s="1" t="s">
        <v>837</v>
      </c>
      <c r="B45" s="6">
        <v>1</v>
      </c>
      <c r="C45" s="6">
        <v>31</v>
      </c>
      <c r="D45" s="2"/>
      <c r="E45" s="6">
        <v>753</v>
      </c>
      <c r="F45" s="18">
        <v>10655</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f>191579.53+69925.3-30198.05</f>
        <v>231306.78000000003</v>
      </c>
      <c r="H48" s="18">
        <v>8696.34</v>
      </c>
      <c r="I48" s="18">
        <v>0</v>
      </c>
      <c r="J48" s="13">
        <f>SUM(I460)</f>
        <v>1022141.89</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1033840.52-397248.06</f>
        <v>636592.46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647247.46</v>
      </c>
      <c r="G51" s="38">
        <f>SUM(G35:G50)</f>
        <v>231306.78000000003</v>
      </c>
      <c r="H51" s="38">
        <f>SUM(H35:H50)</f>
        <v>8696.34</v>
      </c>
      <c r="I51" s="38">
        <f>SUM(I35:I50)</f>
        <v>0</v>
      </c>
      <c r="J51" s="38">
        <f>SUM(J35:J50)</f>
        <v>1022141.89</v>
      </c>
      <c r="K51" s="42" t="s">
        <v>288</v>
      </c>
      <c r="L51" s="42" t="s">
        <v>288</v>
      </c>
      <c r="N51" s="131"/>
    </row>
    <row r="52" spans="1:14" s="3" customFormat="1" ht="12.2" customHeight="1" thickTop="1" x14ac:dyDescent="0.15">
      <c r="A52" s="35" t="s">
        <v>455</v>
      </c>
      <c r="B52" s="36" t="s">
        <v>289</v>
      </c>
      <c r="C52" s="6">
        <v>37</v>
      </c>
      <c r="D52" s="36" t="s">
        <v>653</v>
      </c>
      <c r="E52" s="36"/>
      <c r="F52" s="38">
        <f>F51+F32</f>
        <v>2066950.6</v>
      </c>
      <c r="G52" s="38">
        <f>G51+G32</f>
        <v>644645.54</v>
      </c>
      <c r="H52" s="38">
        <f>H51+H32</f>
        <v>431684.96</v>
      </c>
      <c r="I52" s="38">
        <f>I51+I32</f>
        <v>0</v>
      </c>
      <c r="J52" s="38">
        <f>J51+J32</f>
        <v>1022141.89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9312607</v>
      </c>
      <c r="G57" s="18">
        <v>0</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9312607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17020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17020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84075</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84075</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21238.11</v>
      </c>
      <c r="G96" s="18">
        <v>0</v>
      </c>
      <c r="H96" s="18">
        <v>0</v>
      </c>
      <c r="I96" s="18">
        <v>0</v>
      </c>
      <c r="J96" s="18">
        <v>1021.63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269095.81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0</v>
      </c>
      <c r="I102" s="18">
        <v>0</v>
      </c>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20183.919999999998</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17197.82</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11408.16</v>
      </c>
      <c r="G110" s="18">
        <v>0</v>
      </c>
      <c r="H110" s="18">
        <v>0</v>
      </c>
      <c r="I110" s="18">
        <v>0</v>
      </c>
      <c r="J110" s="18">
        <v>0</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49844.09</v>
      </c>
      <c r="G111" s="38">
        <f>SUM(G96:G110)</f>
        <v>289279.73</v>
      </c>
      <c r="H111" s="38">
        <f>SUM(H96:H110)</f>
        <v>0</v>
      </c>
      <c r="I111" s="38">
        <f>SUM(I96:I110)</f>
        <v>0</v>
      </c>
      <c r="J111" s="38">
        <f>SUM(J96:J110)</f>
        <v>1021.63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9463546.0899999999</v>
      </c>
      <c r="G112" s="38">
        <f>G60+G111</f>
        <v>289279.73</v>
      </c>
      <c r="H112" s="38">
        <f>H60+H79+H94+H111</f>
        <v>0</v>
      </c>
      <c r="I112" s="38">
        <f>I60+I111</f>
        <v>0</v>
      </c>
      <c r="J112" s="38">
        <f>J60+J111</f>
        <v>1021.63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5192596.34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888591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83380.34</v>
      </c>
      <c r="G120" s="18">
        <v>0</v>
      </c>
      <c r="H120" s="18">
        <v>0</v>
      </c>
      <c r="I120" s="18">
        <v>0</v>
      </c>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6164567.6799999997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369683.64</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f>113978.47+48847.91</f>
        <v>162826.38</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4614.63</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5802.99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537124.65</v>
      </c>
      <c r="G136" s="38">
        <f>SUM(G123:G135)</f>
        <v>5802.99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6701692.3300000001</v>
      </c>
      <c r="G140" s="38">
        <f>G121+SUM(G136:G137)</f>
        <v>5802.99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95782.25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47618.95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147110.44+46287.28</f>
        <v>193397.72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254098.26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61969.120000000003</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v>0</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c r="H162" s="18">
        <v>469456.57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61969.120000000003</v>
      </c>
      <c r="G163" s="38">
        <f>SUM(G150:G162)</f>
        <v>193397.72</v>
      </c>
      <c r="H163" s="38">
        <f>SUM(H150:H162)</f>
        <v>866956.03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61969.120000000003</v>
      </c>
      <c r="G170" s="38">
        <f>G147+G163+SUM(G164:G169)</f>
        <v>193397.72</v>
      </c>
      <c r="H170" s="38">
        <f>H147+H163+SUM(H164:H169)</f>
        <v>866956.03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v>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16227207.539999999</v>
      </c>
      <c r="G194" s="38">
        <f>G112+G140+G170+G193</f>
        <v>488480.43999999994</v>
      </c>
      <c r="H194" s="38">
        <f>H112+H140+H170+H193</f>
        <v>866956.03</v>
      </c>
      <c r="I194" s="38">
        <f>I112+I140+I170+I193</f>
        <v>0</v>
      </c>
      <c r="J194" s="38">
        <f>J112+J140+J193</f>
        <v>1021.63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1689282.92</v>
      </c>
      <c r="G198" s="18">
        <v>875534.48</v>
      </c>
      <c r="H198" s="18">
        <v>54891.18</v>
      </c>
      <c r="I198" s="18">
        <v>151959.96</v>
      </c>
      <c r="J198" s="18">
        <v>16934.68</v>
      </c>
      <c r="K198" s="18">
        <v>0</v>
      </c>
      <c r="L198" s="13">
        <f>SUM(F198:K198)</f>
        <v>2788603.22</v>
      </c>
      <c r="M198" s="8"/>
      <c r="N198" s="165"/>
    </row>
    <row r="199" spans="1:14" s="3" customFormat="1" ht="12.2" customHeight="1" x14ac:dyDescent="0.15">
      <c r="A199" s="1" t="s">
        <v>439</v>
      </c>
      <c r="B199" s="2" t="s">
        <v>341</v>
      </c>
      <c r="C199" s="2" t="s">
        <v>291</v>
      </c>
      <c r="D199" s="2" t="s">
        <v>431</v>
      </c>
      <c r="E199" s="6">
        <v>1200</v>
      </c>
      <c r="F199" s="18">
        <v>716126.19</v>
      </c>
      <c r="G199" s="18">
        <v>298053.28999999998</v>
      </c>
      <c r="H199" s="18">
        <v>173875.92</v>
      </c>
      <c r="I199" s="18">
        <v>13430.82</v>
      </c>
      <c r="J199" s="18">
        <v>1753.28</v>
      </c>
      <c r="K199" s="18">
        <v>3924.2</v>
      </c>
      <c r="L199" s="13">
        <f>SUM(F199:K199)</f>
        <v>1207163.7</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21432.959999999999</v>
      </c>
      <c r="G201" s="18">
        <v>6121.08</v>
      </c>
      <c r="H201" s="18">
        <v>0</v>
      </c>
      <c r="I201" s="18">
        <v>0</v>
      </c>
      <c r="J201" s="18">
        <v>0</v>
      </c>
      <c r="K201" s="18">
        <v>0</v>
      </c>
      <c r="L201" s="13">
        <f>SUM(F201:K201)</f>
        <v>27554.04</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214494.75</v>
      </c>
      <c r="G203" s="18">
        <v>179738.62</v>
      </c>
      <c r="H203" s="18">
        <f>203140.54+1015</f>
        <v>204155.54</v>
      </c>
      <c r="I203" s="18">
        <v>5583.75</v>
      </c>
      <c r="J203" s="18">
        <v>5891.3</v>
      </c>
      <c r="K203" s="18">
        <v>0</v>
      </c>
      <c r="L203" s="13">
        <f t="shared" ref="L203:L209" si="0">SUM(F203:K203)</f>
        <v>609863.96000000008</v>
      </c>
      <c r="M203" s="8"/>
      <c r="N203" s="165"/>
    </row>
    <row r="204" spans="1:14" s="3" customFormat="1" ht="12.2" customHeight="1" x14ac:dyDescent="0.15">
      <c r="A204" s="1" t="s">
        <v>443</v>
      </c>
      <c r="B204" s="2" t="s">
        <v>341</v>
      </c>
      <c r="C204" s="2" t="s">
        <v>295</v>
      </c>
      <c r="D204" s="2" t="s">
        <v>431</v>
      </c>
      <c r="E204" s="6">
        <v>2200</v>
      </c>
      <c r="F204" s="18">
        <v>64916.3</v>
      </c>
      <c r="G204" s="18">
        <v>58089.74</v>
      </c>
      <c r="H204" s="18">
        <v>81575.149999999994</v>
      </c>
      <c r="I204" s="18">
        <v>7025.39</v>
      </c>
      <c r="J204" s="18">
        <v>54512.82</v>
      </c>
      <c r="K204" s="18">
        <v>48018.78</v>
      </c>
      <c r="L204" s="13">
        <f t="shared" si="0"/>
        <v>314138.18000000005</v>
      </c>
      <c r="M204" s="8"/>
      <c r="N204" s="165"/>
    </row>
    <row r="205" spans="1:14" s="3" customFormat="1" ht="12.2" customHeight="1" x14ac:dyDescent="0.15">
      <c r="A205" s="1" t="s">
        <v>444</v>
      </c>
      <c r="B205" s="2" t="s">
        <v>341</v>
      </c>
      <c r="C205" s="2" t="s">
        <v>296</v>
      </c>
      <c r="D205" s="2" t="s">
        <v>431</v>
      </c>
      <c r="E205" s="6">
        <v>2300</v>
      </c>
      <c r="F205" s="18">
        <v>3775.49</v>
      </c>
      <c r="G205" s="18">
        <v>16238.23</v>
      </c>
      <c r="H205" s="18">
        <v>412631.08</v>
      </c>
      <c r="I205" s="18">
        <v>483.59</v>
      </c>
      <c r="J205" s="18">
        <v>0</v>
      </c>
      <c r="K205" s="18">
        <v>5960.87</v>
      </c>
      <c r="L205" s="13">
        <f t="shared" si="0"/>
        <v>439089.26000000007</v>
      </c>
      <c r="M205" s="8"/>
      <c r="N205" s="165"/>
    </row>
    <row r="206" spans="1:14" s="3" customFormat="1" ht="12.2" customHeight="1" x14ac:dyDescent="0.15">
      <c r="A206" s="1" t="s">
        <v>445</v>
      </c>
      <c r="B206" s="2" t="s">
        <v>341</v>
      </c>
      <c r="C206" s="2" t="s">
        <v>297</v>
      </c>
      <c r="D206" s="2" t="s">
        <v>431</v>
      </c>
      <c r="E206" s="6">
        <v>2400</v>
      </c>
      <c r="F206" s="18">
        <v>330012.27</v>
      </c>
      <c r="G206" s="18">
        <v>164064.69</v>
      </c>
      <c r="H206" s="18">
        <v>26283.73</v>
      </c>
      <c r="I206" s="18">
        <v>3972.77</v>
      </c>
      <c r="J206" s="18">
        <v>0</v>
      </c>
      <c r="K206" s="18">
        <v>1379</v>
      </c>
      <c r="L206" s="13">
        <f t="shared" si="0"/>
        <v>525712.46</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142035.82999999999</v>
      </c>
      <c r="G208" s="18">
        <v>45422.01</v>
      </c>
      <c r="H208" s="18">
        <v>295661.33</v>
      </c>
      <c r="I208" s="18">
        <v>99012.29</v>
      </c>
      <c r="J208" s="18">
        <v>63728</v>
      </c>
      <c r="K208" s="18">
        <v>0</v>
      </c>
      <c r="L208" s="13">
        <f t="shared" si="0"/>
        <v>645859.46000000008</v>
      </c>
      <c r="M208" s="8"/>
      <c r="N208" s="165"/>
    </row>
    <row r="209" spans="1:14" s="3" customFormat="1" ht="12.2" customHeight="1" x14ac:dyDescent="0.15">
      <c r="A209" s="1" t="s">
        <v>448</v>
      </c>
      <c r="B209" s="2" t="s">
        <v>341</v>
      </c>
      <c r="C209" s="2" t="s">
        <v>300</v>
      </c>
      <c r="D209" s="2" t="s">
        <v>431</v>
      </c>
      <c r="E209" s="6">
        <v>2700</v>
      </c>
      <c r="F209" s="18">
        <v>0</v>
      </c>
      <c r="G209" s="18">
        <v>0</v>
      </c>
      <c r="H209" s="18">
        <v>385393.69</v>
      </c>
      <c r="I209" s="18">
        <v>0</v>
      </c>
      <c r="J209" s="18">
        <v>0</v>
      </c>
      <c r="K209" s="18">
        <v>0</v>
      </c>
      <c r="L209" s="13">
        <f t="shared" si="0"/>
        <v>385393.69</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3182076.71</v>
      </c>
      <c r="G212" s="38">
        <f t="shared" si="1"/>
        <v>1643262.1400000001</v>
      </c>
      <c r="H212" s="38">
        <f t="shared" si="1"/>
        <v>1634467.62</v>
      </c>
      <c r="I212" s="38">
        <f t="shared" si="1"/>
        <v>281468.57</v>
      </c>
      <c r="J212" s="38">
        <f t="shared" si="1"/>
        <v>142820.08000000002</v>
      </c>
      <c r="K212" s="38">
        <f t="shared" si="1"/>
        <v>59282.85</v>
      </c>
      <c r="L212" s="38">
        <f t="shared" si="1"/>
        <v>6943377.9699999997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2236023.24+913.33</f>
        <v>2236936.5700000003</v>
      </c>
      <c r="G216" s="18">
        <f>1254373.75+69.87+254.25</f>
        <v>1254697.8700000001</v>
      </c>
      <c r="H216" s="18">
        <f>145918.31</f>
        <v>145918.31</v>
      </c>
      <c r="I216" s="18">
        <f>136790.66+25.4</f>
        <v>136816.06</v>
      </c>
      <c r="J216" s="18">
        <f>27478.38+885.25</f>
        <v>28363.63</v>
      </c>
      <c r="K216" s="18">
        <v>0</v>
      </c>
      <c r="L216" s="13">
        <f>SUM(F216:K216)</f>
        <v>3802732.4400000004</v>
      </c>
      <c r="M216" s="8"/>
      <c r="N216" s="165"/>
    </row>
    <row r="217" spans="1:14" s="3" customFormat="1" ht="12.2" customHeight="1" x14ac:dyDescent="0.15">
      <c r="A217" s="1" t="s">
        <v>439</v>
      </c>
      <c r="B217" s="2" t="s">
        <v>346</v>
      </c>
      <c r="C217" s="2" t="s">
        <v>291</v>
      </c>
      <c r="D217" s="2" t="s">
        <v>431</v>
      </c>
      <c r="E217" s="6">
        <v>1200</v>
      </c>
      <c r="F217" s="18">
        <v>855386.5</v>
      </c>
      <c r="G217" s="18">
        <v>330194.74</v>
      </c>
      <c r="H217" s="18">
        <v>317406.63</v>
      </c>
      <c r="I217" s="18">
        <v>4046.08</v>
      </c>
      <c r="J217" s="18">
        <v>21.98</v>
      </c>
      <c r="K217" s="18">
        <v>7916.13</v>
      </c>
      <c r="L217" s="13">
        <f>SUM(F217:K217)</f>
        <v>1514972.06</v>
      </c>
      <c r="M217" s="8"/>
      <c r="N217" s="165"/>
    </row>
    <row r="218" spans="1:14" s="3" customFormat="1" ht="12.2" customHeight="1" x14ac:dyDescent="0.15">
      <c r="A218" s="1" t="s">
        <v>440</v>
      </c>
      <c r="B218" s="2" t="s">
        <v>346</v>
      </c>
      <c r="C218" s="2" t="s">
        <v>292</v>
      </c>
      <c r="D218" s="2" t="s">
        <v>431</v>
      </c>
      <c r="E218" s="6">
        <v>1300</v>
      </c>
      <c r="F218" s="18">
        <v>0</v>
      </c>
      <c r="G218" s="18">
        <v>0</v>
      </c>
      <c r="H218" s="18"/>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45927.96</v>
      </c>
      <c r="G219" s="18">
        <v>10679.88</v>
      </c>
      <c r="H219" s="18">
        <v>0</v>
      </c>
      <c r="I219" s="18">
        <v>4137.2700000000004</v>
      </c>
      <c r="J219" s="18">
        <v>0</v>
      </c>
      <c r="K219" s="18">
        <v>9609.7199999999993</v>
      </c>
      <c r="L219" s="13">
        <f>SUM(F219:K219)</f>
        <v>70354.83</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290685.8</v>
      </c>
      <c r="G221" s="18">
        <v>186159.94</v>
      </c>
      <c r="H221" s="18">
        <v>133136.95000000001</v>
      </c>
      <c r="I221" s="18">
        <v>6418.89</v>
      </c>
      <c r="J221" s="18">
        <v>868.89</v>
      </c>
      <c r="K221" s="18">
        <v>0</v>
      </c>
      <c r="L221" s="13">
        <f t="shared" ref="L221:L227" si="2">SUM(F221:K221)</f>
        <v>617270.47</v>
      </c>
      <c r="M221" s="8"/>
      <c r="N221" s="165"/>
    </row>
    <row r="222" spans="1:14" s="3" customFormat="1" ht="12.2" customHeight="1" x14ac:dyDescent="0.15">
      <c r="A222" s="1" t="s">
        <v>443</v>
      </c>
      <c r="B222" s="2" t="s">
        <v>346</v>
      </c>
      <c r="C222" s="2" t="s">
        <v>295</v>
      </c>
      <c r="D222" s="2" t="s">
        <v>431</v>
      </c>
      <c r="E222" s="6">
        <v>2200</v>
      </c>
      <c r="F222" s="18">
        <v>62117.5</v>
      </c>
      <c r="G222" s="18">
        <v>53006.080000000002</v>
      </c>
      <c r="H222" s="18">
        <v>70562.64</v>
      </c>
      <c r="I222" s="18">
        <v>27493.82</v>
      </c>
      <c r="J222" s="18">
        <v>84144.13</v>
      </c>
      <c r="K222" s="18">
        <v>50617.85</v>
      </c>
      <c r="L222" s="13">
        <f t="shared" si="2"/>
        <v>347942.02</v>
      </c>
      <c r="M222" s="8"/>
      <c r="N222" s="165"/>
    </row>
    <row r="223" spans="1:14" s="3" customFormat="1" ht="12.2" customHeight="1" x14ac:dyDescent="0.15">
      <c r="A223" s="1" t="s">
        <v>444</v>
      </c>
      <c r="B223" s="2" t="s">
        <v>346</v>
      </c>
      <c r="C223" s="2" t="s">
        <v>296</v>
      </c>
      <c r="D223" s="2" t="s">
        <v>431</v>
      </c>
      <c r="E223" s="6">
        <v>2300</v>
      </c>
      <c r="F223" s="18">
        <v>4850</v>
      </c>
      <c r="G223" s="18">
        <v>16308.75</v>
      </c>
      <c r="H223" s="18">
        <v>280244.45</v>
      </c>
      <c r="I223" s="18">
        <v>0</v>
      </c>
      <c r="J223" s="18">
        <v>0</v>
      </c>
      <c r="K223" s="18">
        <v>8181.88</v>
      </c>
      <c r="L223" s="13">
        <f t="shared" si="2"/>
        <v>309585.08</v>
      </c>
      <c r="M223" s="8"/>
      <c r="N223" s="165"/>
    </row>
    <row r="224" spans="1:14" s="3" customFormat="1" ht="12.2" customHeight="1" x14ac:dyDescent="0.15">
      <c r="A224" s="1" t="s">
        <v>445</v>
      </c>
      <c r="B224" s="2" t="s">
        <v>346</v>
      </c>
      <c r="C224" s="2" t="s">
        <v>297</v>
      </c>
      <c r="D224" s="2" t="s">
        <v>431</v>
      </c>
      <c r="E224" s="6">
        <v>2400</v>
      </c>
      <c r="F224" s="18">
        <v>392848.37</v>
      </c>
      <c r="G224" s="18">
        <v>171206.15</v>
      </c>
      <c r="H224" s="18">
        <v>24679.599999999999</v>
      </c>
      <c r="I224" s="18">
        <v>0</v>
      </c>
      <c r="J224" s="18">
        <v>0</v>
      </c>
      <c r="K224" s="18">
        <v>1692</v>
      </c>
      <c r="L224" s="13">
        <f t="shared" si="2"/>
        <v>590426.12</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229798.86</v>
      </c>
      <c r="G226" s="18">
        <v>59636.25</v>
      </c>
      <c r="H226" s="18">
        <v>336496.81</v>
      </c>
      <c r="I226" s="18">
        <v>202232.03</v>
      </c>
      <c r="J226" s="18">
        <v>289.52</v>
      </c>
      <c r="K226" s="18">
        <v>0</v>
      </c>
      <c r="L226" s="13">
        <f t="shared" si="2"/>
        <v>828453.47</v>
      </c>
      <c r="M226" s="8"/>
      <c r="N226" s="165"/>
    </row>
    <row r="227" spans="1:14" s="3" customFormat="1" ht="12.2" customHeight="1" x14ac:dyDescent="0.15">
      <c r="A227" s="1" t="s">
        <v>448</v>
      </c>
      <c r="B227" s="2" t="s">
        <v>346</v>
      </c>
      <c r="C227" s="2" t="s">
        <v>300</v>
      </c>
      <c r="D227" s="2" t="s">
        <v>431</v>
      </c>
      <c r="E227" s="6">
        <v>2700</v>
      </c>
      <c r="F227" s="18">
        <v>0</v>
      </c>
      <c r="G227" s="18">
        <v>0</v>
      </c>
      <c r="H227" s="18">
        <v>571595.14</v>
      </c>
      <c r="I227" s="18">
        <v>0</v>
      </c>
      <c r="J227" s="18">
        <v>0</v>
      </c>
      <c r="K227" s="18">
        <v>0</v>
      </c>
      <c r="L227" s="13">
        <f t="shared" si="2"/>
        <v>571595.14</v>
      </c>
      <c r="M227" s="8"/>
      <c r="N227" s="165"/>
    </row>
    <row r="228" spans="1:14" s="3" customFormat="1" ht="12.2" customHeight="1" x14ac:dyDescent="0.15">
      <c r="A228" s="1" t="s">
        <v>449</v>
      </c>
      <c r="B228" s="2" t="s">
        <v>346</v>
      </c>
      <c r="C228" s="2" t="s">
        <v>343</v>
      </c>
      <c r="D228" s="2" t="s">
        <v>431</v>
      </c>
      <c r="E228" s="6">
        <v>2800</v>
      </c>
      <c r="F228" s="18">
        <v>0</v>
      </c>
      <c r="G228" s="18"/>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4118551.56</v>
      </c>
      <c r="G230" s="38">
        <f>SUM(G216:G229)</f>
        <v>2081889.66</v>
      </c>
      <c r="H230" s="38">
        <f>SUM(H216:H229)</f>
        <v>1880040.5299999998</v>
      </c>
      <c r="I230" s="38">
        <f>SUM(I216:I229)</f>
        <v>381144.15</v>
      </c>
      <c r="J230" s="38">
        <f>SUM(J216:J229)</f>
        <v>113688.15000000001</v>
      </c>
      <c r="K230" s="38">
        <f t="shared" si="3"/>
        <v>78017.58</v>
      </c>
      <c r="L230" s="38">
        <f t="shared" si="3"/>
        <v>8653331.6300000008</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0</v>
      </c>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7300628.2699999996</v>
      </c>
      <c r="G258" s="38">
        <f t="shared" si="8"/>
        <v>3725151.8</v>
      </c>
      <c r="H258" s="38">
        <f t="shared" si="8"/>
        <v>3514508.15</v>
      </c>
      <c r="I258" s="38">
        <f t="shared" si="8"/>
        <v>662612.72</v>
      </c>
      <c r="J258" s="38">
        <f t="shared" si="8"/>
        <v>256508.23000000004</v>
      </c>
      <c r="K258" s="38">
        <f t="shared" si="8"/>
        <v>137300.43</v>
      </c>
      <c r="L258" s="38">
        <f t="shared" si="8"/>
        <v>15596709.600000001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35034.55+910000</f>
        <v>945034.55</v>
      </c>
      <c r="L261" s="13">
        <f>SUM(F261:K261)</f>
        <v>945034.55</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22833.45+59878</f>
        <v>82711.45</v>
      </c>
      <c r="L262" s="13">
        <f>SUM(F262:K262)</f>
        <v>82711.45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1027746</v>
      </c>
      <c r="L271" s="38">
        <f t="shared" si="9"/>
        <v>1027746</v>
      </c>
      <c r="M271" s="8"/>
      <c r="N271" s="165"/>
    </row>
    <row r="272" spans="1:14" s="33" customFormat="1" ht="12.2" customHeight="1" thickTop="1" x14ac:dyDescent="0.2">
      <c r="A272" s="40" t="s">
        <v>464</v>
      </c>
      <c r="B272" s="37">
        <v>10</v>
      </c>
      <c r="C272" s="37">
        <v>18</v>
      </c>
      <c r="D272" s="36" t="s">
        <v>431</v>
      </c>
      <c r="E272" s="37"/>
      <c r="F272" s="39">
        <f t="shared" ref="F272:L272" si="11">F258+F271</f>
        <v>7300628.2699999996</v>
      </c>
      <c r="G272" s="39">
        <f t="shared" si="11"/>
        <v>3725151.8</v>
      </c>
      <c r="H272" s="39">
        <f t="shared" si="11"/>
        <v>3514508.15</v>
      </c>
      <c r="I272" s="39">
        <f t="shared" si="11"/>
        <v>662612.72</v>
      </c>
      <c r="J272" s="39">
        <f t="shared" si="11"/>
        <v>256508.23000000004</v>
      </c>
      <c r="K272" s="39">
        <f t="shared" si="11"/>
        <v>1165046.43</v>
      </c>
      <c r="L272" s="39">
        <f t="shared" si="11"/>
        <v>16624455.600000001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70339</v>
      </c>
      <c r="G277" s="18">
        <v>48266.15</v>
      </c>
      <c r="H277" s="18">
        <v>6225</v>
      </c>
      <c r="I277" s="18">
        <v>58427.28</v>
      </c>
      <c r="J277" s="18">
        <v>16631.919999999998</v>
      </c>
      <c r="K277" s="18">
        <v>0</v>
      </c>
      <c r="L277" s="13">
        <f>SUM(F277:K277)</f>
        <v>199889.34999999998</v>
      </c>
      <c r="M277" s="8"/>
      <c r="N277" s="165"/>
    </row>
    <row r="278" spans="1:14" s="3" customFormat="1" ht="12.2" customHeight="1" x14ac:dyDescent="0.15">
      <c r="A278" s="1" t="s">
        <v>439</v>
      </c>
      <c r="B278" s="2" t="s">
        <v>357</v>
      </c>
      <c r="C278" s="2" t="s">
        <v>291</v>
      </c>
      <c r="D278" s="2" t="s">
        <v>431</v>
      </c>
      <c r="E278" s="6">
        <v>1200</v>
      </c>
      <c r="F278" s="18">
        <v>68767.94</v>
      </c>
      <c r="G278" s="18">
        <v>20195.330000000002</v>
      </c>
      <c r="H278" s="18">
        <v>0</v>
      </c>
      <c r="I278" s="18">
        <v>0</v>
      </c>
      <c r="J278" s="18">
        <v>0</v>
      </c>
      <c r="K278" s="18">
        <v>0</v>
      </c>
      <c r="L278" s="13">
        <f>SUM(F278:K278)</f>
        <v>88963.27</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12142.5</v>
      </c>
      <c r="G280" s="18">
        <v>1827.52</v>
      </c>
      <c r="H280" s="18">
        <v>0</v>
      </c>
      <c r="I280" s="18">
        <v>0</v>
      </c>
      <c r="J280" s="18">
        <v>0</v>
      </c>
      <c r="K280" s="18">
        <v>0</v>
      </c>
      <c r="L280" s="13">
        <f>SUM(F280:K280)</f>
        <v>13970.02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5"/>
    </row>
    <row r="283" spans="1:14" s="3" customFormat="1" ht="12.2" customHeight="1" x14ac:dyDescent="0.15">
      <c r="A283" s="1" t="s">
        <v>443</v>
      </c>
      <c r="B283" s="2" t="s">
        <v>357</v>
      </c>
      <c r="C283" s="2" t="s">
        <v>295</v>
      </c>
      <c r="D283" s="2" t="s">
        <v>431</v>
      </c>
      <c r="E283" s="6">
        <v>2200</v>
      </c>
      <c r="F283" s="18">
        <f>28701.71+1134</f>
        <v>29835.71</v>
      </c>
      <c r="G283" s="18">
        <f>5078.96+86.76</f>
        <v>5165.72</v>
      </c>
      <c r="H283" s="18">
        <f>44951.29+7682.85</f>
        <v>52634.14</v>
      </c>
      <c r="I283" s="18">
        <f>17570+2377.37</f>
        <v>19947.37</v>
      </c>
      <c r="J283" s="18">
        <v>0</v>
      </c>
      <c r="K283" s="18">
        <v>0</v>
      </c>
      <c r="L283" s="13">
        <f t="shared" si="12"/>
        <v>107582.94</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181085.15</v>
      </c>
      <c r="G291" s="39">
        <f t="shared" si="13"/>
        <v>75454.720000000016</v>
      </c>
      <c r="H291" s="39">
        <f t="shared" si="13"/>
        <v>58859.14</v>
      </c>
      <c r="I291" s="39">
        <f t="shared" si="13"/>
        <v>78374.649999999994</v>
      </c>
      <c r="J291" s="39">
        <f t="shared" si="13"/>
        <v>16631.919999999998</v>
      </c>
      <c r="K291" s="39">
        <f t="shared" si="13"/>
        <v>0</v>
      </c>
      <c r="L291" s="38">
        <f t="shared" si="13"/>
        <v>410405.58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33880</v>
      </c>
      <c r="G296" s="18">
        <v>22736.73</v>
      </c>
      <c r="H296" s="18">
        <v>2075</v>
      </c>
      <c r="I296" s="18">
        <v>26785.73</v>
      </c>
      <c r="J296" s="18">
        <v>27026.87</v>
      </c>
      <c r="K296" s="18">
        <v>0</v>
      </c>
      <c r="L296" s="13">
        <f>SUM(F296:K296)</f>
        <v>112504.32999999999</v>
      </c>
      <c r="M296" s="8"/>
      <c r="N296" s="165"/>
    </row>
    <row r="297" spans="1:14" s="3" customFormat="1" ht="12.2" customHeight="1" x14ac:dyDescent="0.15">
      <c r="A297" s="1" t="s">
        <v>439</v>
      </c>
      <c r="B297" s="2" t="s">
        <v>358</v>
      </c>
      <c r="C297" s="2" t="s">
        <v>291</v>
      </c>
      <c r="D297" s="2" t="s">
        <v>431</v>
      </c>
      <c r="E297" s="6">
        <v>1200</v>
      </c>
      <c r="F297" s="18">
        <v>75268.960000000006</v>
      </c>
      <c r="G297" s="18">
        <v>22470.33</v>
      </c>
      <c r="H297" s="18">
        <v>0</v>
      </c>
      <c r="I297" s="18">
        <v>0</v>
      </c>
      <c r="J297" s="18">
        <v>0</v>
      </c>
      <c r="K297" s="18">
        <v>0</v>
      </c>
      <c r="L297" s="13">
        <f>SUM(F297:K297)</f>
        <v>97739.290000000008</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7690</v>
      </c>
      <c r="G299" s="18">
        <v>1495.31</v>
      </c>
      <c r="H299" s="18">
        <v>0</v>
      </c>
      <c r="I299" s="18">
        <v>0</v>
      </c>
      <c r="J299" s="18">
        <v>0</v>
      </c>
      <c r="K299" s="18">
        <v>0</v>
      </c>
      <c r="L299" s="13">
        <f>SUM(F299:K299)</f>
        <v>9185.31</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117500</v>
      </c>
      <c r="I301" s="18">
        <v>0</v>
      </c>
      <c r="J301" s="18">
        <v>0</v>
      </c>
      <c r="K301" s="18">
        <v>0</v>
      </c>
      <c r="L301" s="13">
        <f t="shared" ref="L301:L307" si="14">SUM(F301:K301)</f>
        <v>117500</v>
      </c>
      <c r="M301" s="8"/>
      <c r="N301" s="165"/>
    </row>
    <row r="302" spans="1:14" s="3" customFormat="1" ht="12.2" customHeight="1" x14ac:dyDescent="0.15">
      <c r="A302" s="1" t="s">
        <v>443</v>
      </c>
      <c r="B302" s="2" t="s">
        <v>358</v>
      </c>
      <c r="C302" s="2" t="s">
        <v>295</v>
      </c>
      <c r="D302" s="2" t="s">
        <v>431</v>
      </c>
      <c r="E302" s="6">
        <v>2200</v>
      </c>
      <c r="F302" s="18">
        <f>35355.14+1701</f>
        <v>37056.14</v>
      </c>
      <c r="G302" s="18">
        <f>10987.45+130.14</f>
        <v>11117.59</v>
      </c>
      <c r="H302" s="18">
        <f>960+72.42+5122.66</f>
        <v>6155.08</v>
      </c>
      <c r="I302" s="18">
        <v>8785</v>
      </c>
      <c r="J302" s="18">
        <v>22900</v>
      </c>
      <c r="K302" s="18">
        <v>0</v>
      </c>
      <c r="L302" s="13">
        <f t="shared" si="14"/>
        <v>86013.81</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14100</v>
      </c>
      <c r="K306" s="18">
        <v>0</v>
      </c>
      <c r="L306" s="13">
        <f t="shared" si="14"/>
        <v>14100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153895.1</v>
      </c>
      <c r="G310" s="39">
        <f t="shared" si="15"/>
        <v>57819.959999999992</v>
      </c>
      <c r="H310" s="39">
        <f t="shared" si="15"/>
        <v>125730.08</v>
      </c>
      <c r="I310" s="39">
        <f t="shared" si="15"/>
        <v>35570.729999999996</v>
      </c>
      <c r="J310" s="39">
        <f t="shared" si="15"/>
        <v>64026.869999999995</v>
      </c>
      <c r="K310" s="39">
        <f t="shared" si="15"/>
        <v>0</v>
      </c>
      <c r="L310" s="38">
        <f t="shared" si="15"/>
        <v>437042.74</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v>0</v>
      </c>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334980.25</v>
      </c>
      <c r="G339" s="38">
        <f t="shared" si="20"/>
        <v>133274.68</v>
      </c>
      <c r="H339" s="38">
        <f t="shared" si="20"/>
        <v>184589.22</v>
      </c>
      <c r="I339" s="38">
        <f t="shared" si="20"/>
        <v>113945.37999999999</v>
      </c>
      <c r="J339" s="38">
        <f t="shared" si="20"/>
        <v>80658.789999999994</v>
      </c>
      <c r="K339" s="38">
        <f t="shared" si="20"/>
        <v>0</v>
      </c>
      <c r="L339" s="38">
        <f t="shared" si="20"/>
        <v>847448.32000000007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19507.71</v>
      </c>
      <c r="L345" s="13">
        <f t="shared" ref="L345:L351" si="21">SUM(F345:K345)</f>
        <v>19507.71</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19507.71</v>
      </c>
      <c r="L352" s="38">
        <f>SUM(L342:L351)</f>
        <v>19507.71</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334980.25</v>
      </c>
      <c r="G353" s="38">
        <f>G339</f>
        <v>133274.68</v>
      </c>
      <c r="H353" s="38">
        <f>H339</f>
        <v>184589.22</v>
      </c>
      <c r="I353" s="38">
        <f>I339</f>
        <v>113945.37999999999</v>
      </c>
      <c r="J353" s="38">
        <f>J339</f>
        <v>80658.789999999994</v>
      </c>
      <c r="K353" s="38">
        <f>K339+K352</f>
        <v>19507.71</v>
      </c>
      <c r="L353" s="38">
        <f>L339+L352</f>
        <v>866956.03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0</v>
      </c>
      <c r="G359" s="18">
        <v>0</v>
      </c>
      <c r="H359" s="18">
        <v>225881.56</v>
      </c>
      <c r="I359" s="18">
        <v>0</v>
      </c>
      <c r="J359" s="18">
        <v>27446.52</v>
      </c>
      <c r="K359" s="18">
        <v>0</v>
      </c>
      <c r="L359" s="13">
        <f>SUM(F359:K359)</f>
        <v>253328.08</v>
      </c>
      <c r="M359" s="8"/>
      <c r="N359" s="165"/>
    </row>
    <row r="360" spans="1:22" s="3" customFormat="1" ht="12.2" customHeight="1" x14ac:dyDescent="0.15">
      <c r="A360" s="1" t="s">
        <v>542</v>
      </c>
      <c r="B360" s="2" t="s">
        <v>366</v>
      </c>
      <c r="C360" s="6">
        <v>2</v>
      </c>
      <c r="D360" s="2" t="s">
        <v>431</v>
      </c>
      <c r="E360" s="6"/>
      <c r="F360" s="18">
        <v>0</v>
      </c>
      <c r="G360" s="18">
        <v>0</v>
      </c>
      <c r="H360" s="18">
        <v>221136.5</v>
      </c>
      <c r="I360" s="18">
        <v>0</v>
      </c>
      <c r="J360" s="18">
        <v>42877.64</v>
      </c>
      <c r="K360" s="18">
        <v>1336.27</v>
      </c>
      <c r="L360" s="13">
        <f>SUM(F360:K360)</f>
        <v>265350.41000000003</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447018.06</v>
      </c>
      <c r="I363" s="38">
        <f t="shared" si="22"/>
        <v>0</v>
      </c>
      <c r="J363" s="38">
        <f t="shared" si="22"/>
        <v>70324.160000000003</v>
      </c>
      <c r="K363" s="38">
        <f t="shared" si="22"/>
        <v>1336.27</v>
      </c>
      <c r="L363" s="38">
        <f t="shared" si="22"/>
        <v>518678.49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0</v>
      </c>
      <c r="G368" s="18">
        <v>0</v>
      </c>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0</v>
      </c>
      <c r="G369" s="53">
        <v>0</v>
      </c>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v>43.32</v>
      </c>
      <c r="I389" s="18"/>
      <c r="J389" s="23" t="s">
        <v>288</v>
      </c>
      <c r="K389" s="23" t="s">
        <v>288</v>
      </c>
      <c r="L389" s="13">
        <f t="shared" si="25"/>
        <v>43.32</v>
      </c>
      <c r="M389" s="8"/>
      <c r="N389" s="165"/>
    </row>
    <row r="390" spans="1:14" s="3" customFormat="1" ht="12.2" customHeight="1" x14ac:dyDescent="0.15">
      <c r="A390" s="62" t="s">
        <v>552</v>
      </c>
      <c r="B390" s="2" t="s">
        <v>381</v>
      </c>
      <c r="C390" s="6">
        <v>3</v>
      </c>
      <c r="D390" s="2" t="s">
        <v>432</v>
      </c>
      <c r="E390" s="6"/>
      <c r="F390" s="18"/>
      <c r="G390" s="18"/>
      <c r="H390" s="18">
        <v>749.2</v>
      </c>
      <c r="I390" s="18"/>
      <c r="J390" s="23" t="s">
        <v>288</v>
      </c>
      <c r="K390" s="23" t="s">
        <v>288</v>
      </c>
      <c r="L390" s="13">
        <f t="shared" si="25"/>
        <v>749.2</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v>14</v>
      </c>
      <c r="I393" s="18"/>
      <c r="J393" s="23" t="s">
        <v>288</v>
      </c>
      <c r="K393" s="23" t="s">
        <v>288</v>
      </c>
      <c r="L393" s="13">
        <f t="shared" si="25"/>
        <v>14</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806.5200000000001</v>
      </c>
      <c r="I394" s="54">
        <f>SUM(I388:I393)</f>
        <v>0</v>
      </c>
      <c r="J394" s="42" t="s">
        <v>288</v>
      </c>
      <c r="K394" s="42" t="s">
        <v>288</v>
      </c>
      <c r="L394" s="38">
        <f>SUM(L388:L393)</f>
        <v>806.5200000000001</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0</v>
      </c>
      <c r="H397" s="18">
        <v>100.89</v>
      </c>
      <c r="I397" s="18"/>
      <c r="J397" s="23" t="s">
        <v>288</v>
      </c>
      <c r="K397" s="23" t="s">
        <v>288</v>
      </c>
      <c r="L397" s="13">
        <f t="shared" si="26"/>
        <v>100.89</v>
      </c>
      <c r="M397" s="8"/>
      <c r="N397" s="165"/>
    </row>
    <row r="398" spans="1:14" s="3" customFormat="1" ht="12.2" customHeight="1" x14ac:dyDescent="0.15">
      <c r="A398" s="62" t="s">
        <v>515</v>
      </c>
      <c r="B398" s="2" t="s">
        <v>381</v>
      </c>
      <c r="C398" s="6">
        <v>10</v>
      </c>
      <c r="D398" s="2" t="s">
        <v>432</v>
      </c>
      <c r="E398" s="6"/>
      <c r="F398" s="18"/>
      <c r="G398" s="18">
        <v>0</v>
      </c>
      <c r="H398" s="18">
        <v>101.76</v>
      </c>
      <c r="I398" s="18"/>
      <c r="J398" s="23" t="s">
        <v>288</v>
      </c>
      <c r="K398" s="23" t="s">
        <v>288</v>
      </c>
      <c r="L398" s="13">
        <f t="shared" si="26"/>
        <v>101.76</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12.46</v>
      </c>
      <c r="I401" s="18"/>
      <c r="J401" s="23" t="s">
        <v>288</v>
      </c>
      <c r="K401" s="23" t="s">
        <v>288</v>
      </c>
      <c r="L401" s="13">
        <f t="shared" si="26"/>
        <v>12.46</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215.11</v>
      </c>
      <c r="I402" s="38">
        <f>SUM(I396:I401)</f>
        <v>0</v>
      </c>
      <c r="J402" s="42" t="s">
        <v>288</v>
      </c>
      <c r="K402" s="42" t="s">
        <v>288</v>
      </c>
      <c r="L402" s="38">
        <f>SUM(L396:L401)</f>
        <v>215.11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1021.6300000000001</v>
      </c>
      <c r="I409" s="38">
        <f>I394+I402+I408</f>
        <v>0</v>
      </c>
      <c r="J409" s="23" t="s">
        <v>288</v>
      </c>
      <c r="K409" s="23" t="s">
        <v>288</v>
      </c>
      <c r="L409" s="38">
        <f>L394+L402+L408</f>
        <v>1021.6300000000001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v>0</v>
      </c>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1022141.89</v>
      </c>
      <c r="H440" s="18"/>
      <c r="I440" s="13">
        <f t="shared" ref="I440:I446" si="33">SUM(F440:H440)</f>
        <v>1022141.89</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1022141.89</v>
      </c>
      <c r="H447" s="13">
        <f>SUM(H440:H446)</f>
        <v>0</v>
      </c>
      <c r="I447" s="13">
        <f>SUM(I440:I446)</f>
        <v>1022141.89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v>0</v>
      </c>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1022141.89</v>
      </c>
      <c r="H460" s="18"/>
      <c r="I460" s="13">
        <f t="shared" si="34"/>
        <v>1022141.89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1022141.89</v>
      </c>
      <c r="H461" s="65">
        <f>SUM(H455:H460)</f>
        <v>0</v>
      </c>
      <c r="I461" s="65">
        <f>SUM(I455:I460)</f>
        <v>1022141.89</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1022141.89</v>
      </c>
      <c r="H462" s="39">
        <f>H453+H461</f>
        <v>0</v>
      </c>
      <c r="I462" s="39">
        <f>I453+I461</f>
        <v>1022141.89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1044495.5199999996</v>
      </c>
      <c r="G466" s="18">
        <v>261504.83000000019</v>
      </c>
      <c r="H466" s="18">
        <v>8696.3399999999674</v>
      </c>
      <c r="I466" s="18">
        <v>0</v>
      </c>
      <c r="J466" s="18">
        <v>1021120.2600000001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16227207.539999999</v>
      </c>
      <c r="G469" s="18">
        <f t="shared" ref="G469:J469" si="35">G194</f>
        <v>488480.43999999994</v>
      </c>
      <c r="H469" s="18">
        <f t="shared" si="35"/>
        <v>866956.03</v>
      </c>
      <c r="I469" s="18">
        <f t="shared" si="35"/>
        <v>0</v>
      </c>
      <c r="J469" s="18">
        <f t="shared" si="35"/>
        <v>1021.63</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16227207.539999999</v>
      </c>
      <c r="G471" s="19">
        <f>SUM(G469:G470)</f>
        <v>488480.43999999994</v>
      </c>
      <c r="H471" s="19">
        <f>SUM(H469:H470)</f>
        <v>866956.03</v>
      </c>
      <c r="I471" s="19">
        <f>SUM(I469:I470)</f>
        <v>0</v>
      </c>
      <c r="J471" s="19">
        <f>SUM(J469:J470)</f>
        <v>1021.63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16624455.600000001</v>
      </c>
      <c r="G473" s="18">
        <f>L363</f>
        <v>518678.49</v>
      </c>
      <c r="H473" s="18">
        <f>L353</f>
        <v>866956.03</v>
      </c>
      <c r="I473" s="18">
        <f>L383</f>
        <v>0</v>
      </c>
      <c r="J473" s="18">
        <f>L435</f>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16624455.600000001</v>
      </c>
      <c r="G475" s="19">
        <f>SUM(G473:G474)</f>
        <v>518678.49</v>
      </c>
      <c r="H475" s="19">
        <f>SUM(H473:H474)</f>
        <v>866956.03</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647247.45999999717</v>
      </c>
      <c r="G477" s="19">
        <f>(G466+G471)- G475</f>
        <v>231306.78000000014</v>
      </c>
      <c r="H477" s="19">
        <f>(H466+H471)- H475</f>
        <v>8696.3399999999674</v>
      </c>
      <c r="I477" s="19">
        <f>(I466+I471)- I475</f>
        <v>0</v>
      </c>
      <c r="J477" s="19">
        <f>(J466+J471)- J475</f>
        <v>1022141.8900000001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1"/>
    </row>
    <row r="498" spans="1:14" ht="12.2" customHeight="1" x14ac:dyDescent="0.2">
      <c r="A498" s="21" t="s">
        <v>621</v>
      </c>
      <c r="B498" s="22">
        <v>20</v>
      </c>
      <c r="C498" s="22">
        <v>8</v>
      </c>
      <c r="D498" s="2" t="s">
        <v>432</v>
      </c>
      <c r="E498" s="22"/>
      <c r="F498" s="18">
        <v>910000</v>
      </c>
      <c r="G498" s="18">
        <v>35034.550000000003</v>
      </c>
      <c r="H498" s="18"/>
      <c r="I498" s="18"/>
      <c r="J498" s="18"/>
      <c r="K498" s="19">
        <f t="shared" si="36"/>
        <v>945034.55</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6"/>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6"/>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716126.19</v>
      </c>
      <c r="G522" s="18">
        <v>298053.28999999998</v>
      </c>
      <c r="H522" s="18">
        <v>173875.92</v>
      </c>
      <c r="I522" s="18">
        <v>13430.82</v>
      </c>
      <c r="J522" s="18">
        <v>1753.28</v>
      </c>
      <c r="K522" s="18">
        <v>3924.2</v>
      </c>
      <c r="L522" s="69">
        <f>SUM(F522:K522)</f>
        <v>1207163.7</v>
      </c>
      <c r="N522" s="131"/>
    </row>
    <row r="523" spans="1:14" ht="12.2" customHeight="1" x14ac:dyDescent="0.2">
      <c r="A523" s="21" t="s">
        <v>634</v>
      </c>
      <c r="B523" s="22">
        <v>21</v>
      </c>
      <c r="C523" s="22">
        <v>2</v>
      </c>
      <c r="D523" s="2" t="s">
        <v>432</v>
      </c>
      <c r="E523" s="22"/>
      <c r="F523" s="18">
        <v>855386.5</v>
      </c>
      <c r="G523" s="18">
        <v>330194.74</v>
      </c>
      <c r="H523" s="18">
        <v>317406.63</v>
      </c>
      <c r="I523" s="18">
        <v>4046.08</v>
      </c>
      <c r="J523" s="18">
        <v>21.98</v>
      </c>
      <c r="K523" s="18">
        <v>7916.13</v>
      </c>
      <c r="L523" s="69">
        <f>SUM(F523:K523)</f>
        <v>1514972.06</v>
      </c>
      <c r="N523" s="131"/>
    </row>
    <row r="524" spans="1:14" ht="12.2" customHeight="1" thickBot="1" x14ac:dyDescent="0.25">
      <c r="A524" s="21" t="s">
        <v>635</v>
      </c>
      <c r="B524" s="22">
        <v>21</v>
      </c>
      <c r="C524" s="22">
        <v>3</v>
      </c>
      <c r="D524" s="2" t="s">
        <v>432</v>
      </c>
      <c r="E524" s="22"/>
      <c r="F524" s="18"/>
      <c r="G524" s="18"/>
      <c r="H524" s="18"/>
      <c r="I524" s="18"/>
      <c r="J524" s="18"/>
      <c r="K524" s="18">
        <v>0</v>
      </c>
      <c r="L524" s="69">
        <f>SUM(F524:K524)</f>
        <v>0</v>
      </c>
      <c r="N524" s="131"/>
    </row>
    <row r="525" spans="1:14" ht="12.2" customHeight="1" thickTop="1" x14ac:dyDescent="0.2">
      <c r="A525" s="97" t="s">
        <v>63</v>
      </c>
      <c r="B525" s="41">
        <v>21</v>
      </c>
      <c r="C525" s="41">
        <v>4</v>
      </c>
      <c r="D525" s="115" t="s">
        <v>432</v>
      </c>
      <c r="E525" s="41"/>
      <c r="F525" s="81">
        <f>SUM(F522:F524)</f>
        <v>1571512.69</v>
      </c>
      <c r="G525" s="81">
        <f t="shared" ref="G525:L525" si="37">SUM(G522:G524)</f>
        <v>628248.03</v>
      </c>
      <c r="H525" s="81">
        <f t="shared" si="37"/>
        <v>491282.55000000005</v>
      </c>
      <c r="I525" s="81">
        <f t="shared" si="37"/>
        <v>17476.900000000001</v>
      </c>
      <c r="J525" s="81">
        <f t="shared" si="37"/>
        <v>1775.26</v>
      </c>
      <c r="K525" s="81">
        <f t="shared" si="37"/>
        <v>11840.33</v>
      </c>
      <c r="L525" s="70">
        <f t="shared" si="37"/>
        <v>2722135.76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92961.22</v>
      </c>
      <c r="G527" s="18">
        <v>73455.259999999995</v>
      </c>
      <c r="H527" s="18">
        <v>203140.54</v>
      </c>
      <c r="I527" s="18">
        <v>1844.04</v>
      </c>
      <c r="J527" s="18">
        <v>5891.3</v>
      </c>
      <c r="K527" s="18">
        <v>0</v>
      </c>
      <c r="L527" s="69">
        <f>SUM(F527:K527)</f>
        <v>377292.36</v>
      </c>
      <c r="M527" s="8"/>
      <c r="N527" s="165"/>
    </row>
    <row r="528" spans="1:14" s="3" customFormat="1" ht="12.2" customHeight="1" x14ac:dyDescent="0.15">
      <c r="A528" s="21" t="s">
        <v>634</v>
      </c>
      <c r="B528" s="22">
        <v>21</v>
      </c>
      <c r="C528" s="22">
        <v>6</v>
      </c>
      <c r="D528" s="2" t="s">
        <v>432</v>
      </c>
      <c r="E528" s="22"/>
      <c r="F528" s="18">
        <v>84839.93</v>
      </c>
      <c r="G528" s="18">
        <v>82699.62</v>
      </c>
      <c r="H528" s="18">
        <v>132441.15</v>
      </c>
      <c r="I528" s="18">
        <v>872.45</v>
      </c>
      <c r="J528" s="18">
        <v>868.89</v>
      </c>
      <c r="K528" s="18">
        <v>0</v>
      </c>
      <c r="L528" s="69">
        <f>SUM(F528:K528)</f>
        <v>301722.03999999998</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177801.15</v>
      </c>
      <c r="G530" s="70">
        <f t="shared" ref="G530:L530" si="38">SUM(G527:G529)</f>
        <v>156154.88</v>
      </c>
      <c r="H530" s="70">
        <f t="shared" si="38"/>
        <v>335581.69</v>
      </c>
      <c r="I530" s="70">
        <f t="shared" si="38"/>
        <v>2716.49</v>
      </c>
      <c r="J530" s="70">
        <f t="shared" si="38"/>
        <v>6760.1900000000005</v>
      </c>
      <c r="K530" s="70">
        <f t="shared" si="38"/>
        <v>0</v>
      </c>
      <c r="L530" s="70">
        <f t="shared" si="38"/>
        <v>679014.39999999991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75000</v>
      </c>
      <c r="G532" s="18">
        <v>49918.1</v>
      </c>
      <c r="H532" s="18"/>
      <c r="I532" s="18"/>
      <c r="J532" s="18"/>
      <c r="K532" s="18"/>
      <c r="L532" s="69">
        <f>SUM(F532:K532)</f>
        <v>124918.1</v>
      </c>
      <c r="M532" s="8"/>
      <c r="N532" s="165"/>
    </row>
    <row r="533" spans="1:14" s="3" customFormat="1" ht="12.2" customHeight="1" x14ac:dyDescent="0.15">
      <c r="A533" s="21" t="s">
        <v>634</v>
      </c>
      <c r="B533" s="22">
        <v>21</v>
      </c>
      <c r="C533" s="22">
        <v>10</v>
      </c>
      <c r="D533" s="2" t="s">
        <v>432</v>
      </c>
      <c r="E533" s="22"/>
      <c r="F533" s="18">
        <v>93000</v>
      </c>
      <c r="G533" s="18">
        <v>59752.63</v>
      </c>
      <c r="H533" s="18"/>
      <c r="I533" s="18"/>
      <c r="J533" s="18"/>
      <c r="K533" s="18"/>
      <c r="L533" s="69">
        <f>SUM(F533:K533)</f>
        <v>152752.63</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168000</v>
      </c>
      <c r="G535" s="70">
        <f t="shared" ref="G535:L535" si="39">SUM(G532:G534)</f>
        <v>109670.73</v>
      </c>
      <c r="H535" s="70">
        <f t="shared" si="39"/>
        <v>0</v>
      </c>
      <c r="I535" s="70">
        <f t="shared" si="39"/>
        <v>0</v>
      </c>
      <c r="J535" s="70">
        <f t="shared" si="39"/>
        <v>0</v>
      </c>
      <c r="K535" s="70">
        <f t="shared" si="39"/>
        <v>0</v>
      </c>
      <c r="L535" s="70">
        <f t="shared" si="39"/>
        <v>277670.73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752.4</v>
      </c>
      <c r="I537" s="18"/>
      <c r="J537" s="18"/>
      <c r="K537" s="18"/>
      <c r="L537" s="69">
        <f>SUM(F537:K537)</f>
        <v>752.4</v>
      </c>
      <c r="M537" s="8"/>
      <c r="N537" s="165"/>
    </row>
    <row r="538" spans="1:14" s="3" customFormat="1" ht="12.2" customHeight="1" x14ac:dyDescent="0.15">
      <c r="A538" s="21" t="s">
        <v>634</v>
      </c>
      <c r="B538" s="22">
        <v>21</v>
      </c>
      <c r="C538" s="22">
        <v>14</v>
      </c>
      <c r="D538" s="2" t="s">
        <v>432</v>
      </c>
      <c r="E538" s="22"/>
      <c r="F538" s="18"/>
      <c r="G538" s="18"/>
      <c r="H538" s="18">
        <v>1504.79</v>
      </c>
      <c r="I538" s="18"/>
      <c r="J538" s="18"/>
      <c r="K538" s="18"/>
      <c r="L538" s="69">
        <f>SUM(F538:K538)</f>
        <v>1504.79</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2257.19</v>
      </c>
      <c r="I540" s="70">
        <f t="shared" si="40"/>
        <v>0</v>
      </c>
      <c r="J540" s="70">
        <f t="shared" si="40"/>
        <v>0</v>
      </c>
      <c r="K540" s="70">
        <f t="shared" si="40"/>
        <v>0</v>
      </c>
      <c r="L540" s="70">
        <f t="shared" si="40"/>
        <v>2257.19</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93053.2</v>
      </c>
      <c r="I542" s="18"/>
      <c r="J542" s="18"/>
      <c r="K542" s="18"/>
      <c r="L542" s="69">
        <f>SUM(F542:K542)</f>
        <v>93053.2</v>
      </c>
      <c r="M542" s="8"/>
      <c r="N542" s="165"/>
    </row>
    <row r="543" spans="1:14" s="3" customFormat="1" ht="12.2" customHeight="1" x14ac:dyDescent="0.15">
      <c r="A543" s="21" t="s">
        <v>634</v>
      </c>
      <c r="B543" s="22">
        <v>21</v>
      </c>
      <c r="C543" s="22">
        <v>18</v>
      </c>
      <c r="D543" s="2" t="s">
        <v>432</v>
      </c>
      <c r="E543" s="22"/>
      <c r="F543" s="18"/>
      <c r="G543" s="18"/>
      <c r="H543" s="18">
        <v>230948.42</v>
      </c>
      <c r="I543" s="18"/>
      <c r="J543" s="18"/>
      <c r="K543" s="18"/>
      <c r="L543" s="69">
        <f>SUM(F543:K543)</f>
        <v>230948.42</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1">SUM(G542:G544)</f>
        <v>0</v>
      </c>
      <c r="H545" s="141">
        <f t="shared" si="41"/>
        <v>324001.62</v>
      </c>
      <c r="I545" s="141">
        <f t="shared" si="41"/>
        <v>0</v>
      </c>
      <c r="J545" s="141">
        <f t="shared" si="41"/>
        <v>0</v>
      </c>
      <c r="K545" s="141">
        <f t="shared" si="41"/>
        <v>0</v>
      </c>
      <c r="L545" s="141">
        <f t="shared" si="41"/>
        <v>324001.62</v>
      </c>
      <c r="M545" s="8"/>
      <c r="N545" s="165"/>
    </row>
    <row r="546" spans="1:14" s="3" customFormat="1" ht="12.2" customHeight="1" thickTop="1" x14ac:dyDescent="0.15">
      <c r="A546" s="75" t="s">
        <v>72</v>
      </c>
      <c r="B546" s="41">
        <v>21</v>
      </c>
      <c r="C546" s="41">
        <v>21</v>
      </c>
      <c r="D546" s="115" t="s">
        <v>432</v>
      </c>
      <c r="E546" s="41"/>
      <c r="F546" s="70">
        <f>F525+F530+F535+F540+F545</f>
        <v>1917313.8399999999</v>
      </c>
      <c r="G546" s="70">
        <f t="shared" ref="G546:L546" si="42">G525+G530+G535+G540+G545</f>
        <v>894073.64</v>
      </c>
      <c r="H546" s="70">
        <f t="shared" si="42"/>
        <v>1153123.0499999998</v>
      </c>
      <c r="I546" s="70">
        <f t="shared" si="42"/>
        <v>20193.39</v>
      </c>
      <c r="J546" s="70">
        <f t="shared" si="42"/>
        <v>8535.4500000000007</v>
      </c>
      <c r="K546" s="70">
        <f t="shared" si="42"/>
        <v>11840.33</v>
      </c>
      <c r="L546" s="70">
        <f t="shared" si="42"/>
        <v>4005079.6999999997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1207163.7</v>
      </c>
      <c r="G550" s="69">
        <f>L527</f>
        <v>377292.36</v>
      </c>
      <c r="H550" s="69">
        <f>L532</f>
        <v>124918.1</v>
      </c>
      <c r="I550" s="69">
        <f>L537</f>
        <v>752.4</v>
      </c>
      <c r="J550" s="69">
        <f>L542</f>
        <v>93053.2</v>
      </c>
      <c r="K550" s="69">
        <f>SUM(F550:J550)</f>
        <v>1803179.76</v>
      </c>
      <c r="L550" s="23" t="s">
        <v>288</v>
      </c>
      <c r="M550" s="8"/>
      <c r="N550" s="165"/>
    </row>
    <row r="551" spans="1:14" s="3" customFormat="1" ht="12.2" customHeight="1" x14ac:dyDescent="0.15">
      <c r="A551" s="21" t="s">
        <v>634</v>
      </c>
      <c r="B551" s="22">
        <v>21</v>
      </c>
      <c r="C551" s="22">
        <v>23</v>
      </c>
      <c r="D551" s="2" t="s">
        <v>432</v>
      </c>
      <c r="E551" s="22"/>
      <c r="F551" s="69">
        <f>L523</f>
        <v>1514972.06</v>
      </c>
      <c r="G551" s="69">
        <f>L528</f>
        <v>301722.03999999998</v>
      </c>
      <c r="H551" s="69">
        <f>L533</f>
        <v>152752.63</v>
      </c>
      <c r="I551" s="69">
        <f>L538</f>
        <v>1504.79</v>
      </c>
      <c r="J551" s="69">
        <f>L543</f>
        <v>230948.42</v>
      </c>
      <c r="K551" s="69">
        <f>SUM(F551:J551)</f>
        <v>2201899.94</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2722135.76</v>
      </c>
      <c r="G553" s="70">
        <f t="shared" si="43"/>
        <v>679014.39999999991</v>
      </c>
      <c r="H553" s="70">
        <f t="shared" si="43"/>
        <v>277670.73</v>
      </c>
      <c r="I553" s="70">
        <f t="shared" si="43"/>
        <v>2257.19</v>
      </c>
      <c r="J553" s="70">
        <f t="shared" si="43"/>
        <v>324001.62</v>
      </c>
      <c r="K553" s="70">
        <f t="shared" si="43"/>
        <v>4005079.7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2610.33</v>
      </c>
      <c r="I563" s="18">
        <v>0</v>
      </c>
      <c r="J563" s="18">
        <v>0</v>
      </c>
      <c r="K563" s="18">
        <v>0</v>
      </c>
      <c r="L563" s="69">
        <f>SUM(F563:K563)</f>
        <v>2610.33</v>
      </c>
      <c r="M563" s="8"/>
      <c r="N563" s="165"/>
    </row>
    <row r="564" spans="1:14" s="3" customFormat="1" ht="12.2" customHeight="1" x14ac:dyDescent="0.15">
      <c r="A564" s="21" t="s">
        <v>634</v>
      </c>
      <c r="B564" s="22">
        <v>22</v>
      </c>
      <c r="C564" s="22">
        <v>6</v>
      </c>
      <c r="D564" s="2" t="s">
        <v>432</v>
      </c>
      <c r="E564" s="22"/>
      <c r="F564" s="18">
        <v>10789.78</v>
      </c>
      <c r="G564" s="18">
        <v>0</v>
      </c>
      <c r="H564" s="18">
        <v>0</v>
      </c>
      <c r="I564" s="18">
        <v>0</v>
      </c>
      <c r="J564" s="18">
        <v>0</v>
      </c>
      <c r="K564" s="18">
        <v>0</v>
      </c>
      <c r="L564" s="69">
        <f>SUM(F564:K564)</f>
        <v>10789.78</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5">SUM(F563:F565)</f>
        <v>10789.78</v>
      </c>
      <c r="G566" s="70">
        <f t="shared" si="45"/>
        <v>0</v>
      </c>
      <c r="H566" s="70">
        <f t="shared" si="45"/>
        <v>2610.33</v>
      </c>
      <c r="I566" s="70">
        <f t="shared" si="45"/>
        <v>0</v>
      </c>
      <c r="J566" s="70">
        <f t="shared" si="45"/>
        <v>0</v>
      </c>
      <c r="K566" s="70">
        <f t="shared" si="45"/>
        <v>0</v>
      </c>
      <c r="L566" s="70">
        <f t="shared" si="45"/>
        <v>13400.11</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48917.32</v>
      </c>
      <c r="G568" s="18">
        <v>42656.79</v>
      </c>
      <c r="H568" s="18">
        <v>0</v>
      </c>
      <c r="I568" s="18">
        <v>3413.9</v>
      </c>
      <c r="J568" s="18">
        <v>0</v>
      </c>
      <c r="K568" s="18">
        <v>0</v>
      </c>
      <c r="L568" s="69">
        <f>SUM(F568:K568)</f>
        <v>94988.01</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48917.32</v>
      </c>
      <c r="G571" s="141">
        <f t="shared" ref="G571:L571" si="46">SUM(G568:G570)</f>
        <v>42656.79</v>
      </c>
      <c r="H571" s="141">
        <f t="shared" si="46"/>
        <v>0</v>
      </c>
      <c r="I571" s="141">
        <f t="shared" si="46"/>
        <v>3413.9</v>
      </c>
      <c r="J571" s="141">
        <f t="shared" si="46"/>
        <v>0</v>
      </c>
      <c r="K571" s="141">
        <f t="shared" si="46"/>
        <v>0</v>
      </c>
      <c r="L571" s="141">
        <f t="shared" si="46"/>
        <v>94988.01</v>
      </c>
      <c r="M571" s="8"/>
      <c r="N571" s="165"/>
    </row>
    <row r="572" spans="1:14" s="3" customFormat="1" ht="12.2" customHeight="1" thickTop="1" x14ac:dyDescent="0.15">
      <c r="A572" s="75" t="s">
        <v>88</v>
      </c>
      <c r="B572" s="41">
        <v>22</v>
      </c>
      <c r="C572" s="41">
        <v>13</v>
      </c>
      <c r="D572" s="115" t="s">
        <v>432</v>
      </c>
      <c r="E572" s="41"/>
      <c r="F572" s="70">
        <f>F561+F566+F571</f>
        <v>59707.1</v>
      </c>
      <c r="G572" s="70">
        <f t="shared" ref="G572:L572" si="47">G561+G566+G571</f>
        <v>42656.79</v>
      </c>
      <c r="H572" s="70">
        <f t="shared" si="47"/>
        <v>2610.33</v>
      </c>
      <c r="I572" s="70">
        <f t="shared" si="47"/>
        <v>3413.9</v>
      </c>
      <c r="J572" s="70">
        <f t="shared" si="47"/>
        <v>0</v>
      </c>
      <c r="K572" s="70">
        <f t="shared" si="47"/>
        <v>0</v>
      </c>
      <c r="L572" s="70">
        <f t="shared" si="47"/>
        <v>108388.12</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c r="I577" s="69">
        <f t="shared" ref="I577:I588" si="48">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10760.15</v>
      </c>
      <c r="H580" s="18"/>
      <c r="I580" s="69">
        <f t="shared" si="48"/>
        <v>10760.15</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0</v>
      </c>
      <c r="G583" s="18">
        <v>42453.21</v>
      </c>
      <c r="H583" s="18"/>
      <c r="I583" s="69">
        <f t="shared" si="48"/>
        <v>42453.21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c r="I584" s="69">
        <f t="shared" si="48"/>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c r="I585" s="69">
        <f t="shared" si="48"/>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v>0</v>
      </c>
      <c r="H586" s="18"/>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282660.34999999998</v>
      </c>
      <c r="I592" s="18">
        <v>322830.11</v>
      </c>
      <c r="J592" s="18"/>
      <c r="K592" s="80">
        <f t="shared" ref="K592:K598" si="49">SUM(H592:J592)</f>
        <v>605490.46</v>
      </c>
      <c r="L592" s="23" t="s">
        <v>288</v>
      </c>
      <c r="M592" s="8"/>
      <c r="N592" s="165"/>
    </row>
    <row r="593" spans="1:14" s="3" customFormat="1" ht="12.2" customHeight="1" x14ac:dyDescent="0.15">
      <c r="A593" s="3" t="s">
        <v>638</v>
      </c>
      <c r="B593" s="22">
        <v>23</v>
      </c>
      <c r="C593" s="22">
        <v>2</v>
      </c>
      <c r="D593" s="2" t="s">
        <v>432</v>
      </c>
      <c r="E593" s="22"/>
      <c r="F593" s="78">
        <v>2722</v>
      </c>
      <c r="G593" s="79" t="s">
        <v>97</v>
      </c>
      <c r="H593" s="18">
        <v>93053.2</v>
      </c>
      <c r="I593" s="18">
        <v>230948.42</v>
      </c>
      <c r="J593" s="18"/>
      <c r="K593" s="80">
        <f t="shared" si="49"/>
        <v>324001.62</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c r="K594" s="80">
        <f t="shared" si="49"/>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7605</v>
      </c>
      <c r="J595" s="18"/>
      <c r="K595" s="80">
        <f t="shared" si="49"/>
        <v>7605</v>
      </c>
      <c r="L595" s="23" t="s">
        <v>288</v>
      </c>
      <c r="M595" s="8"/>
      <c r="N595" s="165"/>
    </row>
    <row r="596" spans="1:14" s="3" customFormat="1" ht="12.2" customHeight="1" x14ac:dyDescent="0.15">
      <c r="A596" s="103" t="s">
        <v>652</v>
      </c>
      <c r="B596" s="22">
        <v>23</v>
      </c>
      <c r="C596" s="22">
        <v>5</v>
      </c>
      <c r="D596" s="2" t="s">
        <v>432</v>
      </c>
      <c r="E596" s="22"/>
      <c r="F596" s="78">
        <v>2725</v>
      </c>
      <c r="G596" s="79" t="s">
        <v>97</v>
      </c>
      <c r="H596" s="18">
        <v>0</v>
      </c>
      <c r="I596" s="18">
        <v>4274.1099999999997</v>
      </c>
      <c r="J596" s="18"/>
      <c r="K596" s="80">
        <f t="shared" si="49"/>
        <v>4274.1099999999997</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9680.14</v>
      </c>
      <c r="I598" s="18">
        <v>5937.5</v>
      </c>
      <c r="J598" s="18"/>
      <c r="K598" s="80">
        <f t="shared" si="49"/>
        <v>15617.64</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385393.69</v>
      </c>
      <c r="I599" s="81">
        <f>SUM(I592:I598)</f>
        <v>571595.14</v>
      </c>
      <c r="J599" s="81">
        <f>SUM(J592:J598)</f>
        <v>0</v>
      </c>
      <c r="K599" s="81">
        <f>SUM(K592:K598)</f>
        <v>956988.83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159452</v>
      </c>
      <c r="I605" s="18">
        <f>176829.77+885.25</f>
        <v>177715.02</v>
      </c>
      <c r="J605" s="18"/>
      <c r="K605" s="80">
        <f>SUM(H605:J605)</f>
        <v>337167.02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159452</v>
      </c>
      <c r="I606" s="81">
        <f>SUM(I603:I605)</f>
        <v>177715.02</v>
      </c>
      <c r="J606" s="81">
        <f>SUM(J603:J605)</f>
        <v>0</v>
      </c>
      <c r="K606" s="81">
        <f>SUM(K603:K605)</f>
        <v>337167.02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21032.5</v>
      </c>
      <c r="G612" s="18">
        <v>3096.23</v>
      </c>
      <c r="H612" s="18">
        <v>1970.02</v>
      </c>
      <c r="I612" s="18">
        <v>0</v>
      </c>
      <c r="J612" s="18">
        <v>0</v>
      </c>
      <c r="K612" s="18">
        <v>0</v>
      </c>
      <c r="L612" s="69">
        <f>SUM(F612:K612)</f>
        <v>26098.75</v>
      </c>
      <c r="M612" s="8"/>
      <c r="N612" s="165"/>
    </row>
    <row r="613" spans="1:14" s="3" customFormat="1" ht="12.2" customHeight="1" x14ac:dyDescent="0.15">
      <c r="A613" s="21" t="s">
        <v>634</v>
      </c>
      <c r="B613" s="22">
        <v>23</v>
      </c>
      <c r="C613" s="22">
        <v>14</v>
      </c>
      <c r="D613" s="2" t="s">
        <v>432</v>
      </c>
      <c r="E613" s="22"/>
      <c r="F613" s="18">
        <v>18803.55</v>
      </c>
      <c r="G613" s="18">
        <v>4067.51</v>
      </c>
      <c r="H613" s="18">
        <v>3042.19</v>
      </c>
      <c r="I613" s="18">
        <v>0</v>
      </c>
      <c r="J613" s="18">
        <v>0</v>
      </c>
      <c r="K613" s="18"/>
      <c r="L613" s="69">
        <f>SUM(F613:K613)</f>
        <v>25913.249999999996</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0">SUM(F612:F614)</f>
        <v>39836.050000000003</v>
      </c>
      <c r="G615" s="81">
        <f t="shared" si="50"/>
        <v>7163.74</v>
      </c>
      <c r="H615" s="81">
        <f t="shared" si="50"/>
        <v>5012.21</v>
      </c>
      <c r="I615" s="81">
        <f t="shared" si="50"/>
        <v>0</v>
      </c>
      <c r="J615" s="81">
        <f t="shared" si="50"/>
        <v>0</v>
      </c>
      <c r="K615" s="81">
        <f t="shared" si="50"/>
        <v>0</v>
      </c>
      <c r="L615" s="70">
        <f t="shared" si="50"/>
        <v>52012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2066950.6</v>
      </c>
      <c r="H618" s="80">
        <f>SUM(F52)</f>
        <v>2066950.6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644645.54</v>
      </c>
      <c r="H619" s="80">
        <f>SUM(G52)</f>
        <v>644645.54</v>
      </c>
      <c r="I619" s="87" t="s">
        <v>875</v>
      </c>
      <c r="J619" s="80">
        <f>G619-H619</f>
        <v>0</v>
      </c>
      <c r="K619" s="80"/>
      <c r="L619" s="80"/>
      <c r="M619" s="8"/>
    </row>
    <row r="620" spans="1:14" s="3" customFormat="1" ht="12.2" customHeight="1" x14ac:dyDescent="0.15">
      <c r="A620" s="74"/>
      <c r="B620" s="22"/>
      <c r="C620" s="22"/>
      <c r="D620" s="22"/>
      <c r="E620" s="22"/>
      <c r="F620" s="87" t="s">
        <v>685</v>
      </c>
      <c r="G620" s="80">
        <f>SUM(H19)</f>
        <v>431684.95999999996</v>
      </c>
      <c r="H620" s="80">
        <f>SUM(H52)</f>
        <v>431684.96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1022141.89</v>
      </c>
      <c r="H622" s="80">
        <f>SUM(J52)</f>
        <v>1022141.89</v>
      </c>
      <c r="I622" s="87" t="s">
        <v>878</v>
      </c>
      <c r="J622" s="80">
        <f>G622-H622</f>
        <v>0</v>
      </c>
      <c r="K622" s="80"/>
      <c r="L622" s="80"/>
      <c r="M622" s="8"/>
    </row>
    <row r="623" spans="1:14" s="3" customFormat="1" ht="12.2" customHeight="1" x14ac:dyDescent="0.15">
      <c r="A623" s="74"/>
      <c r="B623" s="22"/>
      <c r="C623" s="22"/>
      <c r="D623" s="22"/>
      <c r="E623" s="22"/>
      <c r="F623" s="87" t="s">
        <v>864</v>
      </c>
      <c r="G623" s="80">
        <f>F51</f>
        <v>647247.46</v>
      </c>
      <c r="H623" s="80">
        <f>F477</f>
        <v>647247.45999999717</v>
      </c>
      <c r="I623" s="87" t="s">
        <v>101</v>
      </c>
      <c r="J623" s="80">
        <f t="shared" ref="J623:J656" si="51">G623-H623</f>
        <v>2.7939677238464355E-9</v>
      </c>
      <c r="K623" s="80"/>
      <c r="L623" s="80"/>
      <c r="M623" s="8"/>
    </row>
    <row r="624" spans="1:14" s="3" customFormat="1" ht="12.2" customHeight="1" x14ac:dyDescent="0.15">
      <c r="A624" s="74"/>
      <c r="B624" s="22"/>
      <c r="C624" s="85"/>
      <c r="D624" s="85"/>
      <c r="E624" s="85"/>
      <c r="F624" s="85" t="s">
        <v>865</v>
      </c>
      <c r="G624" s="80">
        <f>G51</f>
        <v>231306.78000000003</v>
      </c>
      <c r="H624" s="80">
        <f>G477</f>
        <v>231306.78000000014</v>
      </c>
      <c r="I624" s="87" t="s">
        <v>102</v>
      </c>
      <c r="J624" s="80">
        <f t="shared" si="51"/>
        <v>0</v>
      </c>
      <c r="K624" s="80"/>
      <c r="L624" s="80"/>
      <c r="M624" s="8"/>
    </row>
    <row r="625" spans="1:13" s="3" customFormat="1" ht="12.2" customHeight="1" x14ac:dyDescent="0.15">
      <c r="A625" s="74"/>
      <c r="B625" s="22"/>
      <c r="C625" s="22"/>
      <c r="D625" s="22"/>
      <c r="E625" s="22"/>
      <c r="F625" s="86" t="s">
        <v>866</v>
      </c>
      <c r="G625" s="80">
        <f>H51</f>
        <v>8696.34</v>
      </c>
      <c r="H625" s="80">
        <f>H477</f>
        <v>8696.3399999999674</v>
      </c>
      <c r="I625" s="87" t="s">
        <v>103</v>
      </c>
      <c r="J625" s="80">
        <f t="shared" si="51"/>
        <v>3.2741809263825417E-11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868</v>
      </c>
      <c r="G627" s="80">
        <f>J51</f>
        <v>1022141.89</v>
      </c>
      <c r="H627" s="80">
        <f>J477</f>
        <v>1022141.8900000001</v>
      </c>
      <c r="I627" s="87" t="s">
        <v>105</v>
      </c>
      <c r="J627" s="80">
        <f t="shared" si="51"/>
        <v>0</v>
      </c>
      <c r="K627" s="67"/>
      <c r="L627" s="69"/>
      <c r="M627" s="8"/>
    </row>
    <row r="628" spans="1:13" s="3" customFormat="1" ht="12.2" customHeight="1" x14ac:dyDescent="0.15">
      <c r="A628" s="21"/>
      <c r="B628" s="22"/>
      <c r="C628" s="22"/>
      <c r="D628" s="22"/>
      <c r="E628" s="22"/>
      <c r="F628" s="86" t="s">
        <v>658</v>
      </c>
      <c r="G628" s="80">
        <f>F194</f>
        <v>16227207.539999999</v>
      </c>
      <c r="H628" s="80">
        <f>SUM(F469)</f>
        <v>16227207.539999999</v>
      </c>
      <c r="I628" s="87" t="s">
        <v>106</v>
      </c>
      <c r="J628" s="80">
        <f>G628-H628</f>
        <v>0</v>
      </c>
      <c r="K628" s="67"/>
      <c r="L628" s="69"/>
      <c r="M628" s="8"/>
    </row>
    <row r="629" spans="1:13" s="3" customFormat="1" ht="12.2" customHeight="1" x14ac:dyDescent="0.15">
      <c r="A629" s="21"/>
      <c r="B629" s="22"/>
      <c r="C629" s="22"/>
      <c r="D629" s="22"/>
      <c r="E629" s="22"/>
      <c r="F629" s="86" t="s">
        <v>659</v>
      </c>
      <c r="G629" s="80">
        <f>G194</f>
        <v>488480.43999999994</v>
      </c>
      <c r="H629" s="80">
        <f>SUM(G469)</f>
        <v>488480.43999999994</v>
      </c>
      <c r="I629" s="87" t="s">
        <v>107</v>
      </c>
      <c r="J629" s="80">
        <f>G629-H629</f>
        <v>0</v>
      </c>
      <c r="K629" s="67"/>
      <c r="L629" s="69"/>
      <c r="M629" s="8"/>
    </row>
    <row r="630" spans="1:13" s="3" customFormat="1" ht="12.2" customHeight="1" x14ac:dyDescent="0.15">
      <c r="A630" s="21"/>
      <c r="B630" s="22"/>
      <c r="C630" s="22"/>
      <c r="D630" s="22"/>
      <c r="E630" s="22"/>
      <c r="F630" s="86" t="s">
        <v>660</v>
      </c>
      <c r="G630" s="80">
        <f>H194</f>
        <v>866956.03</v>
      </c>
      <c r="H630" s="80">
        <f>SUM(H469)</f>
        <v>866956.03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1021.63</v>
      </c>
      <c r="H632" s="80">
        <f>SUM(J469)</f>
        <v>1021.63</v>
      </c>
      <c r="I632" s="87" t="s">
        <v>110</v>
      </c>
      <c r="J632" s="80">
        <f>G632-H632</f>
        <v>0</v>
      </c>
      <c r="K632" s="67"/>
      <c r="L632" s="69"/>
      <c r="M632" s="8"/>
    </row>
    <row r="633" spans="1:13" s="3" customFormat="1" ht="12.2" customHeight="1" x14ac:dyDescent="0.15">
      <c r="A633" s="21"/>
      <c r="B633" s="22"/>
      <c r="C633" s="22"/>
      <c r="D633" s="22"/>
      <c r="E633" s="22"/>
      <c r="F633" s="86" t="s">
        <v>394</v>
      </c>
      <c r="G633" s="80">
        <f>SUM(L272)</f>
        <v>16624455.600000001</v>
      </c>
      <c r="H633" s="80">
        <f>SUM(F473)</f>
        <v>16624455.600000001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866956.03</v>
      </c>
      <c r="H634" s="80">
        <f>SUM(H473)</f>
        <v>866956.03</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518678.49</v>
      </c>
      <c r="H636" s="80">
        <f>SUM(G473)</f>
        <v>518678.49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1021.6300000000001</v>
      </c>
      <c r="H638" s="108">
        <f>SUM(J469)</f>
        <v>1021.63</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1"/>
        <v>0</v>
      </c>
      <c r="K640" s="67"/>
      <c r="L640" s="69"/>
      <c r="M640" s="8"/>
    </row>
    <row r="641" spans="1:13" s="3" customFormat="1" ht="12.2" customHeight="1" x14ac:dyDescent="0.15">
      <c r="A641" s="21"/>
      <c r="B641" s="22"/>
      <c r="C641" s="22"/>
      <c r="D641" s="22"/>
      <c r="E641" s="22"/>
      <c r="F641" s="86" t="s">
        <v>119</v>
      </c>
      <c r="G641" s="80">
        <f>SUM(G447)</f>
        <v>1022141.89</v>
      </c>
      <c r="H641" s="80">
        <f>SUM(G462)</f>
        <v>1022141.89</v>
      </c>
      <c r="I641" s="87" t="s">
        <v>841</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1"/>
        <v>0</v>
      </c>
      <c r="K642" s="67"/>
      <c r="L642" s="69"/>
      <c r="M642" s="8"/>
    </row>
    <row r="643" spans="1:13" s="3" customFormat="1" ht="12.2" customHeight="1" x14ac:dyDescent="0.15">
      <c r="A643" s="21"/>
      <c r="B643" s="22"/>
      <c r="C643" s="22"/>
      <c r="D643" s="22"/>
      <c r="E643" s="22"/>
      <c r="F643" s="86" t="s">
        <v>121</v>
      </c>
      <c r="G643" s="80">
        <f>SUM(I447)</f>
        <v>1022141.89</v>
      </c>
      <c r="H643" s="80">
        <f>SUM(I462)</f>
        <v>1022141.89</v>
      </c>
      <c r="I643" s="87" t="s">
        <v>843</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1021.63</v>
      </c>
      <c r="H645" s="80">
        <f>H409</f>
        <v>1021.6300000000001</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1021.63</v>
      </c>
      <c r="H647" s="80">
        <f>L409</f>
        <v>1021.6300000000001</v>
      </c>
      <c r="I647" s="87" t="s">
        <v>477</v>
      </c>
      <c r="J647" s="80">
        <f t="shared" si="51"/>
        <v>0</v>
      </c>
      <c r="K647" s="67"/>
      <c r="L647" s="69"/>
      <c r="M647" s="8"/>
    </row>
    <row r="648" spans="1:13" s="3" customFormat="1" ht="12.2" customHeight="1" x14ac:dyDescent="0.15">
      <c r="A648" s="21"/>
      <c r="B648" s="22"/>
      <c r="C648" s="22"/>
      <c r="D648" s="22"/>
      <c r="E648" s="22"/>
      <c r="F648" s="86" t="s">
        <v>51</v>
      </c>
      <c r="G648" s="80">
        <f>K599</f>
        <v>956988.83</v>
      </c>
      <c r="H648" s="80">
        <f>L209+L227+L245</f>
        <v>956988.83000000007</v>
      </c>
      <c r="I648" s="87" t="s">
        <v>396</v>
      </c>
      <c r="J648" s="80">
        <f t="shared" si="51"/>
        <v>0</v>
      </c>
      <c r="K648" s="67"/>
      <c r="L648" s="69"/>
      <c r="M648" s="8"/>
    </row>
    <row r="649" spans="1:13" s="3" customFormat="1" ht="12.2" customHeight="1" x14ac:dyDescent="0.15">
      <c r="A649" s="21"/>
      <c r="B649" s="22"/>
      <c r="C649" s="22"/>
      <c r="D649" s="22"/>
      <c r="E649" s="22"/>
      <c r="F649" s="86" t="s">
        <v>52</v>
      </c>
      <c r="G649" s="80">
        <f>K606</f>
        <v>337167.02</v>
      </c>
      <c r="H649" s="80">
        <f>(J258+J339)-(J256+J337)</f>
        <v>337167.02</v>
      </c>
      <c r="I649" s="87" t="s">
        <v>699</v>
      </c>
      <c r="J649" s="80">
        <f t="shared" si="51"/>
        <v>0</v>
      </c>
      <c r="K649" s="67"/>
      <c r="L649" s="69"/>
      <c r="M649" s="8"/>
    </row>
    <row r="650" spans="1:13" s="3" customFormat="1" ht="12.2" customHeight="1" x14ac:dyDescent="0.15">
      <c r="A650" s="21"/>
      <c r="B650" s="22"/>
      <c r="C650" s="22"/>
      <c r="D650" s="22"/>
      <c r="E650" s="22"/>
      <c r="F650" s="86" t="s">
        <v>387</v>
      </c>
      <c r="G650" s="80">
        <f>L209</f>
        <v>385393.69</v>
      </c>
      <c r="H650" s="80">
        <f>H599</f>
        <v>385393.69</v>
      </c>
      <c r="I650" s="87" t="s">
        <v>388</v>
      </c>
      <c r="J650" s="80">
        <f t="shared" si="51"/>
        <v>0</v>
      </c>
      <c r="K650" s="67"/>
      <c r="L650" s="69"/>
      <c r="M650" s="8"/>
    </row>
    <row r="651" spans="1:13" s="3" customFormat="1" ht="12.2" customHeight="1" x14ac:dyDescent="0.15">
      <c r="A651" s="21"/>
      <c r="B651" s="22"/>
      <c r="C651" s="22"/>
      <c r="D651" s="22"/>
      <c r="E651" s="22"/>
      <c r="F651" s="86" t="s">
        <v>392</v>
      </c>
      <c r="G651" s="80">
        <f>L227</f>
        <v>571595.14</v>
      </c>
      <c r="H651" s="80">
        <f>I599</f>
        <v>571595.14</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7607111.6299999999</v>
      </c>
      <c r="G661" s="13">
        <f>(L230+L310+L360)</f>
        <v>9355724.7800000012</v>
      </c>
      <c r="H661" s="13">
        <f>(L248+L329+L361)</f>
        <v>0</v>
      </c>
      <c r="I661" s="13">
        <f>SUM(F661:H661)</f>
        <v>16962836.41</v>
      </c>
      <c r="J661" s="13"/>
      <c r="K661" s="13"/>
      <c r="L661" s="13"/>
      <c r="M661" s="9"/>
    </row>
    <row r="662" spans="1:13" s="3" customFormat="1" ht="12.2" customHeight="1" x14ac:dyDescent="0.2">
      <c r="A662" s="1" t="s">
        <v>127</v>
      </c>
      <c r="F662" s="13">
        <f>(L359/IF(SUM(L359:L361)=0,1,SUM(L359:L361))*(SUM(G97:G110)))</f>
        <v>141287.29067561371</v>
      </c>
      <c r="G662" s="13">
        <f>(L360/IF(SUM(L359:L361)=0,1,SUM(L359:L361))*(SUM(G97:G110)))</f>
        <v>147992.4393243863</v>
      </c>
      <c r="H662" s="13">
        <f>(L361/IF(SUM(L359:L361)=0,1,SUM(L359:L361))*(SUM(G97:G110)))</f>
        <v>0</v>
      </c>
      <c r="I662" s="13">
        <f>SUM(F662:H662)</f>
        <v>289279.73</v>
      </c>
      <c r="J662"/>
      <c r="K662" s="13"/>
      <c r="L662" s="13"/>
      <c r="M662" s="8"/>
    </row>
    <row r="663" spans="1:13" s="3" customFormat="1" ht="12.2" customHeight="1" x14ac:dyDescent="0.2">
      <c r="A663" s="1" t="s">
        <v>128</v>
      </c>
      <c r="F663" s="13">
        <f>(L209+L288)-(J209+J288)</f>
        <v>385393.69</v>
      </c>
      <c r="G663" s="13">
        <f>(L227+L307)-(J227+J307)</f>
        <v>571595.14</v>
      </c>
      <c r="H663" s="13">
        <f>(L245+L326)-(J245+J326)</f>
        <v>0</v>
      </c>
      <c r="I663" s="13">
        <f>SUM(F663:H663)</f>
        <v>956988.83000000007</v>
      </c>
      <c r="J663"/>
      <c r="K663" s="13"/>
      <c r="L663" s="13"/>
      <c r="M663" s="9"/>
    </row>
    <row r="664" spans="1:13" s="3" customFormat="1" ht="12.2" customHeight="1" x14ac:dyDescent="0.15">
      <c r="A664" s="142" t="s">
        <v>129</v>
      </c>
      <c r="B664" s="124"/>
      <c r="C664" s="124"/>
      <c r="D664" s="124"/>
      <c r="E664" s="124"/>
      <c r="F664" s="143">
        <f>SUM(F576:F588)+SUM(H603:H605)+SUM(L612)</f>
        <v>185550.75</v>
      </c>
      <c r="G664" s="143">
        <f>SUM(G576:G588)+SUM(I603:I605)+L613</f>
        <v>256841.63</v>
      </c>
      <c r="H664" s="143">
        <f>SUM(H576:H588)+SUM(J603:J605)+L614</f>
        <v>0</v>
      </c>
      <c r="I664" s="13">
        <f>SUM(F664:H664)</f>
        <v>442392.38</v>
      </c>
      <c r="J664" s="13"/>
      <c r="K664" s="13"/>
      <c r="L664" s="13"/>
      <c r="M664" s="9"/>
    </row>
    <row r="665" spans="1:13" s="3" customFormat="1" ht="12.2" customHeight="1" x14ac:dyDescent="0.15">
      <c r="A665" s="1" t="s">
        <v>130</v>
      </c>
      <c r="F665" s="13">
        <f>F661-SUM(F662:F664)</f>
        <v>6894879.8993243864</v>
      </c>
      <c r="G665" s="13">
        <f>G661-SUM(G662:G664)</f>
        <v>8379295.5706756152</v>
      </c>
      <c r="H665" s="13">
        <f>H661-SUM(H662:H664)</f>
        <v>0</v>
      </c>
      <c r="I665" s="13">
        <f>I661-SUM(I662:I664)</f>
        <v>15274175.470000001</v>
      </c>
      <c r="J665" s="13"/>
      <c r="K665" s="13"/>
      <c r="L665" s="13"/>
      <c r="M665" s="8"/>
    </row>
    <row r="666" spans="1:13" s="3" customFormat="1" ht="12.2" customHeight="1" x14ac:dyDescent="0.2">
      <c r="A666" s="1" t="s">
        <v>131</v>
      </c>
      <c r="F666" s="183">
        <v>354.9</v>
      </c>
      <c r="G666" s="184">
        <v>521.20000000000005</v>
      </c>
      <c r="H666" s="184"/>
      <c r="I666" s="13">
        <f>SUM(F666:H666)</f>
        <v>876.1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19427.669999999998</v>
      </c>
      <c r="G668" s="13">
        <f>ROUND(G665/G666,2)</f>
        <v>16076.93</v>
      </c>
      <c r="H668" s="13" t="e">
        <f>ROUND(H665/H666,2)</f>
        <v>#DIV/0!</v>
      </c>
      <c r="I668" s="13">
        <f>ROUND(I665/I666,2)</f>
        <v>17434.28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19427.669999999998</v>
      </c>
      <c r="G673" s="13">
        <f>ROUND((G665+G670)/(G666+G671),2)</f>
        <v>16076.93</v>
      </c>
      <c r="H673" s="13" t="e">
        <f>ROUND((H665+H670)/(H666+H671),2)</f>
        <v>#DIV/0!</v>
      </c>
      <c r="I673" s="13">
        <f>ROUND((I665+I670)/(I666+I671),2)</f>
        <v>17434.28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70" fitToHeight="0"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7" sqref="C37"/>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47618.95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16086.54+26097.29</f>
        <v>42183.83</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667.67+4767.45</f>
        <v>5435.12</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3"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Weare</v>
      </c>
      <c r="C5" s="317"/>
      <c r="D5" s="317"/>
      <c r="E5" s="317"/>
      <c r="F5" s="317"/>
    </row>
    <row r="8" spans="1:9" ht="18" x14ac:dyDescent="0.25">
      <c r="A8" s="240" t="s">
        <v>1560</v>
      </c>
      <c r="F8" s="247" t="s">
        <v>1578</v>
      </c>
    </row>
    <row r="9" spans="1:9" ht="15" x14ac:dyDescent="0.2">
      <c r="A9" s="238" t="s">
        <v>1561</v>
      </c>
      <c r="B9" s="241">
        <f>'DOE25'!G97</f>
        <v>269095.81</v>
      </c>
      <c r="F9" s="238" t="s">
        <v>1574</v>
      </c>
    </row>
    <row r="10" spans="1:9" ht="15" x14ac:dyDescent="0.2">
      <c r="A10" s="238" t="s">
        <v>1562</v>
      </c>
      <c r="B10" s="241">
        <f>'DOE25'!G112-'DOE25'!G97</f>
        <v>20183.919999999984</v>
      </c>
      <c r="F10" s="238" t="s">
        <v>1575</v>
      </c>
    </row>
    <row r="11" spans="1:9" ht="15" x14ac:dyDescent="0.2">
      <c r="A11" s="238" t="s">
        <v>1563</v>
      </c>
      <c r="B11" s="241">
        <f>'DOE25'!G140</f>
        <v>5802.99</v>
      </c>
      <c r="F11" s="238" t="s">
        <v>1576</v>
      </c>
    </row>
    <row r="12" spans="1:9" ht="15" x14ac:dyDescent="0.2">
      <c r="A12" s="238" t="s">
        <v>1564</v>
      </c>
      <c r="B12" s="241">
        <f>'DOE25'!G170</f>
        <v>193397.72</v>
      </c>
      <c r="F12" s="238" t="s">
        <v>1577</v>
      </c>
    </row>
    <row r="13" spans="1:9" ht="15" x14ac:dyDescent="0.2">
      <c r="A13" s="238" t="s">
        <v>1565</v>
      </c>
      <c r="B13" s="241">
        <f>'DOE25'!G193-'DOE25'!G180</f>
        <v>0</v>
      </c>
      <c r="F13" s="238" t="s">
        <v>1587</v>
      </c>
    </row>
    <row r="14" spans="1:9" ht="18" x14ac:dyDescent="0.25">
      <c r="A14" s="240" t="s">
        <v>732</v>
      </c>
      <c r="B14" s="242">
        <f>SUM(B9:B13)</f>
        <v>488480.43999999994</v>
      </c>
    </row>
    <row r="16" spans="1:9" ht="18" x14ac:dyDescent="0.25">
      <c r="A16" s="240" t="s">
        <v>786</v>
      </c>
      <c r="F16" s="247" t="s">
        <v>1579</v>
      </c>
    </row>
    <row r="17" spans="1:6" ht="15" x14ac:dyDescent="0.2">
      <c r="A17" s="238" t="s">
        <v>1566</v>
      </c>
      <c r="B17" s="241">
        <f>'DOE25'!L363-'DOE25'!L362</f>
        <v>518678.49</v>
      </c>
      <c r="F17" s="238" t="s">
        <v>1580</v>
      </c>
    </row>
    <row r="18" spans="1:6" ht="15" x14ac:dyDescent="0.2">
      <c r="A18" s="238" t="s">
        <v>1567</v>
      </c>
      <c r="B18" s="251"/>
      <c r="F18" s="247" t="s">
        <v>1604</v>
      </c>
    </row>
    <row r="19" spans="1:6" ht="18" x14ac:dyDescent="0.25">
      <c r="A19" s="240" t="s">
        <v>725</v>
      </c>
      <c r="B19" s="242">
        <f>SUM(B17:B18)</f>
        <v>518678.49</v>
      </c>
    </row>
    <row r="21" spans="1:6" ht="18.75" thickBot="1" x14ac:dyDescent="0.3">
      <c r="A21" s="240" t="s">
        <v>1568</v>
      </c>
    </row>
    <row r="22" spans="1:6" ht="18.75" thickTop="1" x14ac:dyDescent="0.25">
      <c r="A22" s="240" t="s">
        <v>1569</v>
      </c>
      <c r="B22" s="246">
        <f>B14-B19</f>
        <v>-30198.050000000047</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261504.83000000019</v>
      </c>
      <c r="F31" s="238" t="s">
        <v>1584</v>
      </c>
    </row>
    <row r="33" spans="1:6" ht="15" x14ac:dyDescent="0.2">
      <c r="A33" s="238" t="s">
        <v>1798</v>
      </c>
      <c r="B33" s="241">
        <f>'DOE25'!G477</f>
        <v>231306.78000000014</v>
      </c>
      <c r="F33" s="238" t="s">
        <v>1585</v>
      </c>
    </row>
    <row r="36" spans="1:6" ht="15" x14ac:dyDescent="0.2">
      <c r="A36" s="238" t="s">
        <v>1571</v>
      </c>
      <c r="B36" s="252">
        <v>24715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1" sqref="B2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Weare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4030438.49</v>
      </c>
      <c r="C9" s="167">
        <f>'DOE25'!G198+'DOE25'!G216+'DOE25'!G234+'DOE25'!G277+'DOE25'!G296+'DOE25'!G315</f>
        <v>2201235.23</v>
      </c>
    </row>
    <row r="10" spans="1:3" x14ac:dyDescent="0.2">
      <c r="A10" t="s">
        <v>775</v>
      </c>
      <c r="B10" s="177">
        <v>3594375.16</v>
      </c>
      <c r="C10" s="177">
        <v>2164877.37</v>
      </c>
    </row>
    <row r="11" spans="1:3" x14ac:dyDescent="0.2">
      <c r="A11" t="s">
        <v>776</v>
      </c>
      <c r="B11" s="177">
        <v>241247.13</v>
      </c>
      <c r="C11" s="177">
        <v>21300.23</v>
      </c>
    </row>
    <row r="12" spans="1:3" x14ac:dyDescent="0.2">
      <c r="A12" t="s">
        <v>777</v>
      </c>
      <c r="B12" s="177">
        <v>194816.2</v>
      </c>
      <c r="C12" s="177">
        <v>15057.63</v>
      </c>
    </row>
    <row r="13" spans="1:3" x14ac:dyDescent="0.2">
      <c r="A13" t="str">
        <f>IF(B9=B13,IF(C9=C13,"Check Total OK","Check Total Error"),"Check Total Error")</f>
        <v>Check Total OK</v>
      </c>
      <c r="B13" s="169">
        <f>SUM(B10:B12)</f>
        <v>4030438.49</v>
      </c>
      <c r="C13" s="169">
        <f>SUM(C10:C12)</f>
        <v>2201235.23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1715549.5899999999</v>
      </c>
      <c r="C18" s="167">
        <f>'DOE25'!G199+'DOE25'!G217+'DOE25'!G235+'DOE25'!G278+'DOE25'!G297+'DOE25'!G316</f>
        <v>670913.68999999994</v>
      </c>
    </row>
    <row r="19" spans="1:3" x14ac:dyDescent="0.2">
      <c r="A19" t="s">
        <v>775</v>
      </c>
      <c r="B19" s="177">
        <v>1094443.79</v>
      </c>
      <c r="C19" s="177">
        <v>612666.74</v>
      </c>
    </row>
    <row r="20" spans="1:3" x14ac:dyDescent="0.2">
      <c r="A20" t="s">
        <v>776</v>
      </c>
      <c r="B20" s="177">
        <v>580320.28</v>
      </c>
      <c r="C20" s="177">
        <v>49744.34</v>
      </c>
    </row>
    <row r="21" spans="1:3" x14ac:dyDescent="0.2">
      <c r="A21" t="s">
        <v>777</v>
      </c>
      <c r="B21" s="177">
        <v>40785.519999999997</v>
      </c>
      <c r="C21" s="177">
        <v>8502.61</v>
      </c>
    </row>
    <row r="22" spans="1:3" x14ac:dyDescent="0.2">
      <c r="A22" t="str">
        <f>IF(B18=B22,IF(C18=C22,"Check Total OK","Check Total Error"),"Check Total Error")</f>
        <v>Check Total OK</v>
      </c>
      <c r="B22" s="169">
        <f>SUM(B19:B21)</f>
        <v>1715549.59</v>
      </c>
      <c r="C22" s="169">
        <f>SUM(C19:C21)</f>
        <v>670913.68999999994</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87193.42</v>
      </c>
      <c r="C36" s="173">
        <f>'DOE25'!G201+'DOE25'!G219+'DOE25'!G237+'DOE25'!G280+'DOE25'!G299+'DOE25'!G318</f>
        <v>20123.79</v>
      </c>
    </row>
    <row r="37" spans="1:3" x14ac:dyDescent="0.2">
      <c r="A37" t="s">
        <v>775</v>
      </c>
      <c r="B37" s="177">
        <v>82744.600000000006</v>
      </c>
      <c r="C37" s="177">
        <v>13482.94</v>
      </c>
    </row>
    <row r="38" spans="1:3" x14ac:dyDescent="0.2">
      <c r="A38" t="s">
        <v>776</v>
      </c>
      <c r="B38" s="177"/>
      <c r="C38" s="177"/>
    </row>
    <row r="39" spans="1:3" x14ac:dyDescent="0.2">
      <c r="A39" t="s">
        <v>777</v>
      </c>
      <c r="B39" s="177">
        <v>4448.82</v>
      </c>
      <c r="C39" s="177">
        <v>6640.85</v>
      </c>
    </row>
    <row r="40" spans="1:3" x14ac:dyDescent="0.2">
      <c r="A40" t="str">
        <f>IF(B36=B40,IF(C36=C40,"Check Total OK","Check Total Error"),"Check Total Error")</f>
        <v>Check Total OK</v>
      </c>
      <c r="B40" s="169">
        <f>SUM(B37:B39)</f>
        <v>87193.420000000013</v>
      </c>
      <c r="C40" s="169">
        <f>SUM(C37:C39)</f>
        <v>20123.79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Weare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9411380.2899999991</v>
      </c>
      <c r="D5" s="19">
        <f>SUM('DOE25'!L198:L201)+SUM('DOE25'!L216:L219)+SUM('DOE25'!L234:L237)-F5-G5-H5</f>
        <v>9081349.5199999977</v>
      </c>
      <c r="E5" s="180"/>
      <c r="F5" s="181">
        <f>(112822.5-25000)+(57293.07-25000)+(30040.63-25000)+(161350.95-25000)</f>
        <v>261507.15000000002</v>
      </c>
      <c r="G5" s="19">
        <f>SUM('DOE25'!J198:J201)+SUM('DOE25'!J216:J219)+SUM('DOE25'!J234:J237)</f>
        <v>47073.57</v>
      </c>
      <c r="H5" s="19">
        <f>SUM('DOE25'!K198:K201)+SUM('DOE25'!K216:K219)+SUM('DOE25'!K234:K237)</f>
        <v>21450.05</v>
      </c>
      <c r="I5" s="192"/>
    </row>
    <row r="6" spans="1:9" x14ac:dyDescent="0.2">
      <c r="A6" s="31">
        <v>2100</v>
      </c>
      <c r="B6" t="s">
        <v>796</v>
      </c>
      <c r="C6" s="206">
        <f t="shared" si="0"/>
        <v>1227134.4300000002</v>
      </c>
      <c r="D6" s="19">
        <f>'DOE25'!L203+'DOE25'!L221+'DOE25'!L239-F6-G6-H6</f>
        <v>933527.83000000031</v>
      </c>
      <c r="E6" s="180"/>
      <c r="F6" s="181">
        <f>(311846.41-25000)</f>
        <v>286846.40999999997</v>
      </c>
      <c r="G6" s="19">
        <f>'DOE25'!J203+'DOE25'!J221+'DOE25'!J239</f>
        <v>6760.1900000000005</v>
      </c>
      <c r="H6" s="19">
        <f>'DOE25'!K203+'DOE25'!K221+'DOE25'!K239</f>
        <v>0</v>
      </c>
      <c r="I6" s="192"/>
    </row>
    <row r="7" spans="1:9" x14ac:dyDescent="0.2">
      <c r="A7" s="31">
        <v>2200</v>
      </c>
      <c r="B7" t="s">
        <v>820</v>
      </c>
      <c r="C7" s="206">
        <f t="shared" si="0"/>
        <v>662080.20000000007</v>
      </c>
      <c r="D7" s="19">
        <f>'DOE25'!L204+'DOE25'!L222+'DOE25'!L240-F7-G7-H7</f>
        <v>397802.38000000006</v>
      </c>
      <c r="E7" s="180"/>
      <c r="F7" s="181">
        <f>(51984.24-25000)</f>
        <v>26984.239999999998</v>
      </c>
      <c r="G7" s="19">
        <f>'DOE25'!J204+'DOE25'!J222+'DOE25'!J240</f>
        <v>138656.95000000001</v>
      </c>
      <c r="H7" s="19">
        <f>'DOE25'!K204+'DOE25'!K222+'DOE25'!K240</f>
        <v>98636.63</v>
      </c>
      <c r="I7" s="192"/>
    </row>
    <row r="8" spans="1:9" x14ac:dyDescent="0.2">
      <c r="A8" s="31">
        <v>2300</v>
      </c>
      <c r="B8" t="s">
        <v>797</v>
      </c>
      <c r="C8" s="206">
        <f t="shared" si="0"/>
        <v>684389.12000000011</v>
      </c>
      <c r="D8" s="180"/>
      <c r="E8" s="19">
        <f>'DOE25'!L205+'DOE25'!L223+'DOE25'!L241-F8-G8-H8-D9-D11</f>
        <v>670246.37000000011</v>
      </c>
      <c r="F8" s="181"/>
      <c r="G8" s="19">
        <f>'DOE25'!J205+'DOE25'!J223+'DOE25'!J241</f>
        <v>0</v>
      </c>
      <c r="H8" s="19">
        <f>'DOE25'!K205+'DOE25'!K223+'DOE25'!K241</f>
        <v>14142.75</v>
      </c>
      <c r="I8" s="192"/>
    </row>
    <row r="9" spans="1:9" ht="14.25" x14ac:dyDescent="0.2">
      <c r="A9" s="31">
        <v>2310</v>
      </c>
      <c r="B9" s="71" t="s">
        <v>887</v>
      </c>
      <c r="C9" s="206">
        <f t="shared" si="0"/>
        <v>64285.22</v>
      </c>
      <c r="D9" s="181">
        <v>64285.22</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1116138.58</v>
      </c>
      <c r="D12" s="19">
        <f>'DOE25'!L206+'DOE25'!L224+'DOE25'!L242-F12-G12-H12</f>
        <v>1113067.58</v>
      </c>
      <c r="E12" s="180"/>
      <c r="F12" s="181"/>
      <c r="G12" s="19">
        <f>'DOE25'!J206+'DOE25'!J224+'DOE25'!J242</f>
        <v>0</v>
      </c>
      <c r="H12" s="19">
        <f>'DOE25'!K206+'DOE25'!K224+'DOE25'!K242</f>
        <v>3071</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1474312.9300000002</v>
      </c>
      <c r="D14" s="19">
        <f>'DOE25'!L208+'DOE25'!L226+'DOE25'!L244-F14-G14-H14</f>
        <v>1410295.4100000001</v>
      </c>
      <c r="E14" s="180"/>
      <c r="F14" s="181"/>
      <c r="G14" s="19">
        <f>'DOE25'!J208+'DOE25'!J226+'DOE25'!J244</f>
        <v>64017.52</v>
      </c>
      <c r="H14" s="19">
        <f>'DOE25'!K208+'DOE25'!K226+'DOE25'!K244</f>
        <v>0</v>
      </c>
      <c r="I14" s="192"/>
    </row>
    <row r="15" spans="1:9" x14ac:dyDescent="0.2">
      <c r="A15" s="31">
        <v>2700</v>
      </c>
      <c r="B15" t="s">
        <v>799</v>
      </c>
      <c r="C15" s="206">
        <f t="shared" si="0"/>
        <v>956988.83000000007</v>
      </c>
      <c r="D15" s="19">
        <f>'DOE25'!L209+'DOE25'!L227+'DOE25'!L245-F15-G15-H15</f>
        <v>77967.180000000051</v>
      </c>
      <c r="E15" s="180"/>
      <c r="F15" s="181">
        <f>(847061.64-25000)+(47250-25000)+(59710.01-25000)</f>
        <v>879021.65</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1027746</v>
      </c>
      <c r="D25" s="180"/>
      <c r="E25" s="180"/>
      <c r="F25" s="191"/>
      <c r="G25" s="180"/>
      <c r="H25" s="180"/>
      <c r="I25" s="190">
        <f>'DOE25'!L261+'DOE25'!L262+'DOE25'!L342+'DOE25'!L343</f>
        <v>1027746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308733.49</v>
      </c>
      <c r="D29" s="212">
        <f>'DOE25'!L359+'DOE25'!L360+'DOE25'!L361-'DOE25'!I368-F29-G29-H29-F39</f>
        <v>237073.05999999994</v>
      </c>
      <c r="E29" s="180"/>
      <c r="F29" s="180"/>
      <c r="G29" s="19">
        <f>'DOE25'!J359+'DOE25'!J360+'DOE25'!J361</f>
        <v>70324.160000000003</v>
      </c>
      <c r="H29" s="19">
        <f>'DOE25'!K359+'DOE25'!K360+'DOE25'!K361</f>
        <v>1336.27</v>
      </c>
      <c r="I29" s="192"/>
    </row>
    <row r="30" spans="1:9" x14ac:dyDescent="0.2">
      <c r="A30" s="31"/>
      <c r="C30" s="207"/>
      <c r="D30" s="19"/>
      <c r="F30" s="201"/>
      <c r="G30" s="19"/>
      <c r="H30" s="19"/>
      <c r="I30" s="192"/>
    </row>
    <row r="31" spans="1:9" x14ac:dyDescent="0.2">
      <c r="A31" s="31" t="s">
        <v>817</v>
      </c>
      <c r="B31" t="s">
        <v>816</v>
      </c>
      <c r="C31" s="206">
        <f>SUM(D31:I31)</f>
        <v>847448.32000000007</v>
      </c>
      <c r="D31" s="19">
        <f>'DOE25'!L291+'DOE25'!L310+'DOE25'!L329+'DOE25'!L334+'DOE25'!L335+'DOE25'!L336-F31-G31-H31</f>
        <v>674289.53</v>
      </c>
      <c r="E31" s="180"/>
      <c r="F31" s="181">
        <f>(117500-25000)</f>
        <v>92500</v>
      </c>
      <c r="G31" s="19">
        <f>'DOE25'!J291+'DOE25'!J310+'DOE25'!J329+'DOE25'!J334+'DOE25'!J335+'DOE25'!J336</f>
        <v>80658.789999999994</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13989657.709999999</v>
      </c>
      <c r="E33" s="182">
        <f t="shared" si="1"/>
        <v>670246.37000000011</v>
      </c>
      <c r="F33" s="182">
        <f t="shared" si="1"/>
        <v>1546859.4500000002</v>
      </c>
      <c r="G33" s="182">
        <f t="shared" si="1"/>
        <v>407491.18</v>
      </c>
      <c r="H33" s="182">
        <f t="shared" si="1"/>
        <v>138636.69999999998</v>
      </c>
      <c r="I33" s="182">
        <f t="shared" si="1"/>
        <v>1027746</v>
      </c>
    </row>
    <row r="34" spans="1:9" ht="12" thickBot="1" x14ac:dyDescent="0.25"/>
    <row r="35" spans="1:9" ht="12" thickBot="1" x14ac:dyDescent="0.25">
      <c r="B35" s="188" t="s">
        <v>830</v>
      </c>
      <c r="D35" s="189">
        <f>E33</f>
        <v>670246.37000000011</v>
      </c>
      <c r="E35" s="185"/>
      <c r="F35" s="295" t="s">
        <v>1608</v>
      </c>
      <c r="G35" s="296"/>
      <c r="H35" s="296"/>
      <c r="I35" s="297"/>
    </row>
    <row r="36" spans="1:9" ht="12" thickTop="1" x14ac:dyDescent="0.2">
      <c r="B36" t="s">
        <v>810</v>
      </c>
      <c r="D36" s="19">
        <f>D33</f>
        <v>13989657.709999999</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209945</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G28" sqref="G2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Weare</v>
      </c>
      <c r="B2">
        <f>'DOE25'!B2</f>
        <v>555</v>
      </c>
      <c r="J2" s="224" t="s">
        <v>1808</v>
      </c>
      <c r="K2" s="309">
        <f>SUM('DOE25'!L198:L201)+SUM('DOE25'!L216:L219)+SUM('DOE25'!L234:L237)+SUM('DOE25'!L277:L280)+SUM('DOE25'!L296:L299)+SUM('DOE25'!L315:L318)</f>
        <v>9933631.8599999994</v>
      </c>
      <c r="L2" s="309">
        <f>'DOE25'!L203+'DOE25'!L221+'DOE25'!L239+'DOE25'!L282+'DOE25'!L301+'DOE25'!L320</f>
        <v>1344634.4300000002</v>
      </c>
      <c r="M2" s="309">
        <f>'DOE25'!L204+'DOE25'!L222+'DOE25'!L240+'DOE25'!L283+'DOE25'!L302+'DOE25'!L321</f>
        <v>855676.95000000019</v>
      </c>
      <c r="N2" s="309">
        <f>'DOE25'!L206+'DOE25'!L224+'DOE25'!L242+'DOE25'!L285+'DOE25'!L304+'DOE25'!L323</f>
        <v>1116138.58</v>
      </c>
      <c r="O2" s="309">
        <f>'Salaries-Benefits'!B10+'Salaries-Benefits'!B12+'Salaries-Benefits'!B19+'Salaries-Benefits'!B21+'Salaries-Benefits'!B28+'Salaries-Benefits'!B30+'Salaries-Benefits'!B37+'Salaries-Benefits'!B39</f>
        <v>5011614.09</v>
      </c>
      <c r="P2" s="309">
        <f>'Salaries-Benefits'!B11+'Salaries-Benefits'!B20+'Salaries-Benefits'!B29+'Salaries-Benefits'!B38</f>
        <v>821567.41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-9933631.8599999994</v>
      </c>
      <c r="L3" s="311">
        <f t="shared" ref="L3:P3" si="0">L21+L33+L43-L2</f>
        <v>-1344634.4300000002</v>
      </c>
      <c r="M3" s="311">
        <f t="shared" si="0"/>
        <v>-855676.95000000019</v>
      </c>
      <c r="N3" s="311">
        <f t="shared" si="0"/>
        <v>-1116138.58</v>
      </c>
      <c r="O3" s="311">
        <f t="shared" si="0"/>
        <v>-5011614.09</v>
      </c>
      <c r="P3" s="311">
        <f t="shared" si="0"/>
        <v>-821567.41</v>
      </c>
      <c r="Q3" s="310"/>
      <c r="R3" s="306"/>
      <c r="S3" s="215"/>
      <c r="T3" s="215"/>
      <c r="U3" s="216"/>
    </row>
    <row r="4" spans="1:21" ht="55.5" customHeight="1" thickBot="1" x14ac:dyDescent="0.25">
      <c r="A4" s="224" t="s">
        <v>1522</v>
      </c>
      <c r="B4" s="224" t="s">
        <v>1523</v>
      </c>
      <c r="C4" s="224" t="s">
        <v>896</v>
      </c>
      <c r="D4" s="224" t="s">
        <v>786</v>
      </c>
      <c r="E4" s="224" t="s">
        <v>786</v>
      </c>
      <c r="F4" s="228">
        <f>SUM(F5:F20)</f>
        <v>7353783.5499999998</v>
      </c>
      <c r="G4" s="229">
        <f>'DOE25'!L212+'DOE25'!L291</f>
        <v>7353783.5499999998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Center Woods School</v>
      </c>
      <c r="B6" s="230">
        <f>IFERROR(VLOOKUP(A6,'School Tables'!$C$3:$D$365,2,FALSE),"")</f>
        <v>26810</v>
      </c>
      <c r="C6" s="223" t="str">
        <f>IFERROR(INDEX('School Tables'!$B$3:$B$365,MATCH('School Level Expenditures'!B6,'School Tables'!$D$3:$D$365,0)),"")</f>
        <v>Weare</v>
      </c>
      <c r="D6" s="220">
        <v>6943377.9699999997</v>
      </c>
      <c r="E6" s="220">
        <v>410405.58</v>
      </c>
      <c r="F6" s="232">
        <f t="shared" ref="F6:F20" si="1">D6+E6</f>
        <v>7353783.5499999998</v>
      </c>
      <c r="G6" s="223"/>
      <c r="H6" s="223"/>
      <c r="J6" t="str">
        <f>A6</f>
        <v>Center Woods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6943377.9699999997</v>
      </c>
      <c r="E21" s="262">
        <f>SUM(E5:E20)</f>
        <v>410405.58</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9090374.370000001</v>
      </c>
      <c r="G24" s="229">
        <f>'DOE25'!L230+'DOE25'!L310</f>
        <v>9090374.370000001</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Weare Middle School</v>
      </c>
      <c r="B26" s="230">
        <f>IFERROR(VLOOKUP(A26,'School Tables'!$N$4:$O$75,2,FALSE),"")</f>
        <v>20720</v>
      </c>
      <c r="C26" s="223" t="str">
        <f>IFERROR(INDEX('School Tables'!$M$4:$M$75,MATCH('School Level Expenditures'!A26,'School Tables'!$N$4:$N$75,0)),"")</f>
        <v>Weare</v>
      </c>
      <c r="D26" s="220">
        <v>8653331.6300000008</v>
      </c>
      <c r="E26" s="220">
        <v>437042.74</v>
      </c>
      <c r="F26" s="232">
        <f t="shared" ref="F26:F32" si="4">D26+E26</f>
        <v>9090374.370000001</v>
      </c>
      <c r="G26" s="223"/>
      <c r="H26" s="223"/>
      <c r="J26" t="str">
        <f t="shared" ref="J26:J32" si="5">A26</f>
        <v>Weare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8653331.6300000008</v>
      </c>
      <c r="E33" s="262">
        <f>SUM(E25:E32)</f>
        <v>437042.74</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A64" sqref="A6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Weare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1855163.28</v>
      </c>
      <c r="D8" s="73">
        <f>'DOE25'!G9</f>
        <v>0</v>
      </c>
      <c r="E8" s="73">
        <f>'DOE25'!H9</f>
        <v>0</v>
      </c>
      <c r="F8" s="73">
        <f>'DOE25'!I9</f>
        <v>0</v>
      </c>
      <c r="G8" s="73">
        <f>'DOE25'!J9</f>
        <v>1022141.89</v>
      </c>
      <c r="H8" s="13">
        <f>SUM(C8:G8)</f>
        <v>2877305.17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132137.20000000001</v>
      </c>
      <c r="D12" s="73">
        <f>'DOE25'!G13</f>
        <v>644645.54</v>
      </c>
      <c r="E12" s="73">
        <f>'DOE25'!H13</f>
        <v>431684.95999999996</v>
      </c>
      <c r="F12" s="73">
        <f>'DOE25'!I13</f>
        <v>0</v>
      </c>
      <c r="G12" s="73">
        <f>'DOE25'!J13</f>
        <v>0</v>
      </c>
      <c r="H12" s="13">
        <f t="shared" si="0"/>
        <v>1208467.7</v>
      </c>
      <c r="I12" s="90"/>
    </row>
    <row r="13" spans="1:9" x14ac:dyDescent="0.2">
      <c r="A13" s="1" t="s">
        <v>144</v>
      </c>
      <c r="B13" s="6">
        <v>150</v>
      </c>
      <c r="C13" s="73">
        <f>'DOE25'!F14</f>
        <v>1871.59</v>
      </c>
      <c r="D13" s="73">
        <f>'DOE25'!G14</f>
        <v>0</v>
      </c>
      <c r="E13" s="73">
        <f>'DOE25'!H14</f>
        <v>0</v>
      </c>
      <c r="F13" s="73">
        <f>'DOE25'!I14</f>
        <v>0</v>
      </c>
      <c r="G13" s="73">
        <f>'DOE25'!J14</f>
        <v>0</v>
      </c>
      <c r="H13" s="13">
        <f t="shared" si="0"/>
        <v>1871.59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77778.53</v>
      </c>
      <c r="D16" s="73">
        <f>'DOE25'!G17</f>
        <v>0</v>
      </c>
      <c r="E16" s="73">
        <f>'DOE25'!H17</f>
        <v>0</v>
      </c>
      <c r="F16" s="73">
        <f>'DOE25'!I17</f>
        <v>0</v>
      </c>
      <c r="G16" s="73">
        <f>'DOE25'!J17</f>
        <v>0</v>
      </c>
      <c r="H16" s="13">
        <f t="shared" si="0"/>
        <v>77778.53</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2066950.6</v>
      </c>
      <c r="D18" s="38">
        <f>SUM(D8:D17)</f>
        <v>644645.54</v>
      </c>
      <c r="E18" s="38">
        <f>SUM(E8:E17)</f>
        <v>431684.95999999996</v>
      </c>
      <c r="F18" s="38">
        <f>SUM(F8:F17)</f>
        <v>0</v>
      </c>
      <c r="G18" s="38">
        <f>SUM(G8:G17)</f>
        <v>1022141.89</v>
      </c>
      <c r="H18" s="38">
        <f t="shared" si="0"/>
        <v>4165422.99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-607643.84</v>
      </c>
      <c r="D21" s="73">
        <f>'DOE25'!G22</f>
        <v>365907.1</v>
      </c>
      <c r="E21" s="73">
        <f>'DOE25'!H22</f>
        <v>241763.99</v>
      </c>
      <c r="F21" s="73">
        <f>'DOE25'!I22</f>
        <v>0</v>
      </c>
      <c r="G21" s="73">
        <f>'DOE25'!J22</f>
        <v>0</v>
      </c>
      <c r="H21" s="13">
        <f t="shared" ref="H21:H31" si="1">SUM(C21:G21)</f>
        <v>27.25</v>
      </c>
      <c r="I21" s="90"/>
    </row>
    <row r="22" spans="1:9" x14ac:dyDescent="0.2">
      <c r="A22" s="1" t="s">
        <v>151</v>
      </c>
      <c r="B22" s="6">
        <v>410</v>
      </c>
      <c r="C22" s="73">
        <f>'DOE25'!F23</f>
        <v>21108.05</v>
      </c>
      <c r="D22" s="73">
        <f>'DOE25'!G23</f>
        <v>0</v>
      </c>
      <c r="E22" s="73">
        <f>'DOE25'!H23</f>
        <v>0</v>
      </c>
      <c r="F22" s="73">
        <f>'DOE25'!I23</f>
        <v>0</v>
      </c>
      <c r="G22" s="73">
        <f>'DOE25'!J23</f>
        <v>0</v>
      </c>
      <c r="H22" s="13">
        <f t="shared" si="1"/>
        <v>21108.05</v>
      </c>
      <c r="I22" s="90"/>
    </row>
    <row r="23" spans="1:9" x14ac:dyDescent="0.2">
      <c r="A23" s="1" t="s">
        <v>152</v>
      </c>
      <c r="B23" s="6">
        <v>420</v>
      </c>
      <c r="C23" s="73">
        <f>'DOE25'!F24</f>
        <v>1939251.3</v>
      </c>
      <c r="D23" s="73">
        <f>'DOE25'!G24</f>
        <v>40444.1</v>
      </c>
      <c r="E23" s="73">
        <f>'DOE25'!H24</f>
        <v>181224.63</v>
      </c>
      <c r="F23" s="73">
        <f>'DOE25'!I24</f>
        <v>0</v>
      </c>
      <c r="G23" s="73">
        <f>'DOE25'!J24</f>
        <v>0</v>
      </c>
      <c r="H23" s="13">
        <f t="shared" si="1"/>
        <v>2160920.0300000003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39974.67</v>
      </c>
      <c r="D27" s="73">
        <f>'DOE25'!G28</f>
        <v>0</v>
      </c>
      <c r="E27" s="73">
        <f>'DOE25'!H28</f>
        <v>0</v>
      </c>
      <c r="F27" s="73">
        <f>'DOE25'!I28</f>
        <v>0</v>
      </c>
      <c r="G27" s="23" t="s">
        <v>288</v>
      </c>
      <c r="H27" s="13">
        <f t="shared" si="1"/>
        <v>39974.67</v>
      </c>
      <c r="I27" s="90"/>
    </row>
    <row r="28" spans="1:9" x14ac:dyDescent="0.2">
      <c r="A28" s="1" t="s">
        <v>157</v>
      </c>
      <c r="B28" s="6">
        <v>470</v>
      </c>
      <c r="C28" s="73">
        <f>'DOE25'!F29</f>
        <v>27012.959999999999</v>
      </c>
      <c r="D28" s="73">
        <f>'DOE25'!G29</f>
        <v>0</v>
      </c>
      <c r="E28" s="73">
        <f>'DOE25'!H29</f>
        <v>0</v>
      </c>
      <c r="F28" s="73">
        <f>'DOE25'!I29</f>
        <v>0</v>
      </c>
      <c r="G28" s="23" t="s">
        <v>288</v>
      </c>
      <c r="H28" s="13">
        <f t="shared" si="1"/>
        <v>27012.959999999999</v>
      </c>
      <c r="I28" s="90"/>
    </row>
    <row r="29" spans="1:9" x14ac:dyDescent="0.2">
      <c r="A29" s="1" t="s">
        <v>158</v>
      </c>
      <c r="B29" s="6">
        <v>480</v>
      </c>
      <c r="C29" s="73">
        <f>'DOE25'!F30</f>
        <v>0</v>
      </c>
      <c r="D29" s="73">
        <f>'DOE25'!G30</f>
        <v>6987.56</v>
      </c>
      <c r="E29" s="73">
        <f>'DOE25'!H30</f>
        <v>0</v>
      </c>
      <c r="F29" s="73">
        <f>'DOE25'!I30</f>
        <v>0</v>
      </c>
      <c r="G29" s="23" t="s">
        <v>288</v>
      </c>
      <c r="H29" s="13">
        <f t="shared" si="1"/>
        <v>6987.56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1419703.1400000001</v>
      </c>
      <c r="D31" s="38">
        <f>SUM(D21:D30)</f>
        <v>413338.75999999995</v>
      </c>
      <c r="E31" s="38">
        <f>SUM(E21:E30)</f>
        <v>422988.62</v>
      </c>
      <c r="F31" s="38">
        <f>SUM(F21:F30)</f>
        <v>0</v>
      </c>
      <c r="G31" s="38">
        <f>SUM(G21:G30)</f>
        <v>0</v>
      </c>
      <c r="H31" s="38">
        <f t="shared" si="1"/>
        <v>2256030.52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10655</v>
      </c>
      <c r="D44" s="73">
        <f>'DOE25'!G45</f>
        <v>0</v>
      </c>
      <c r="E44" s="73">
        <f>'DOE25'!H45</f>
        <v>0</v>
      </c>
      <c r="F44" s="73">
        <f>'DOE25'!I45</f>
        <v>0</v>
      </c>
      <c r="G44" s="73">
        <f>'DOE25'!J45</f>
        <v>0</v>
      </c>
      <c r="H44" s="13">
        <f t="shared" si="2"/>
        <v>10655</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231306.78000000003</v>
      </c>
      <c r="E47" s="73">
        <f>'DOE25'!H48</f>
        <v>8696.34</v>
      </c>
      <c r="F47" s="73">
        <f>'DOE25'!I48</f>
        <v>0</v>
      </c>
      <c r="G47" s="73">
        <f>'DOE25'!J48</f>
        <v>1022141.89</v>
      </c>
      <c r="H47" s="13">
        <f t="shared" si="2"/>
        <v>1262145.01</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636592.46</v>
      </c>
      <c r="D49" s="23" t="s">
        <v>288</v>
      </c>
      <c r="E49" s="23" t="s">
        <v>288</v>
      </c>
      <c r="F49" s="23" t="s">
        <v>288</v>
      </c>
      <c r="G49" s="23" t="s">
        <v>288</v>
      </c>
      <c r="H49" s="13">
        <f t="shared" si="2"/>
        <v>636592.46</v>
      </c>
      <c r="I49" s="90"/>
    </row>
    <row r="50" spans="1:9" ht="12.75" thickTop="1" thickBot="1" x14ac:dyDescent="0.25">
      <c r="A50" s="35" t="s">
        <v>883</v>
      </c>
      <c r="B50" s="44"/>
      <c r="C50" s="38">
        <f>SUM(C34:C49)</f>
        <v>647247.46</v>
      </c>
      <c r="D50" s="38">
        <f>SUM(D34:D49)</f>
        <v>231306.78000000003</v>
      </c>
      <c r="E50" s="38">
        <f>SUM(E34:E49)</f>
        <v>8696.34</v>
      </c>
      <c r="F50" s="38">
        <f>SUM(F34:F49)</f>
        <v>0</v>
      </c>
      <c r="G50" s="38">
        <f>SUM(G34:G49)</f>
        <v>1022141.89</v>
      </c>
      <c r="H50" s="38">
        <f t="shared" si="2"/>
        <v>1909392.47</v>
      </c>
      <c r="I50" s="90"/>
    </row>
    <row r="51" spans="1:9" ht="12" thickTop="1" x14ac:dyDescent="0.2">
      <c r="A51" s="35" t="s">
        <v>884</v>
      </c>
      <c r="B51" s="2"/>
      <c r="C51" s="38">
        <f>C50+C31</f>
        <v>2066950.6</v>
      </c>
      <c r="D51" s="38">
        <f>D50+D31</f>
        <v>644645.54</v>
      </c>
      <c r="E51" s="38">
        <f>E50+E31</f>
        <v>431684.96</v>
      </c>
      <c r="F51" s="38">
        <f>F50+F31</f>
        <v>0</v>
      </c>
      <c r="G51" s="38">
        <f>G50+G31</f>
        <v>1022141.89</v>
      </c>
      <c r="H51" s="38">
        <f t="shared" si="2"/>
        <v>4165422.99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9312607</v>
      </c>
      <c r="D56" s="73">
        <f>'DOE25'!G60</f>
        <v>0</v>
      </c>
      <c r="E56" s="73">
        <f>'DOE25'!H60</f>
        <v>0</v>
      </c>
      <c r="F56" s="73">
        <f>'DOE25'!I60</f>
        <v>0</v>
      </c>
      <c r="G56" s="73">
        <f>'DOE25'!J60</f>
        <v>0</v>
      </c>
      <c r="H56" s="13">
        <f t="shared" ref="H56:H63" si="3">SUM(C56:G56)</f>
        <v>9312607</v>
      </c>
      <c r="I56"/>
    </row>
    <row r="57" spans="1:9" x14ac:dyDescent="0.2">
      <c r="A57" s="1" t="s">
        <v>164</v>
      </c>
      <c r="B57" s="6" t="s">
        <v>165</v>
      </c>
      <c r="C57" s="73">
        <f>'DOE25'!F79</f>
        <v>17020</v>
      </c>
      <c r="D57" s="23" t="s">
        <v>288</v>
      </c>
      <c r="E57" s="73">
        <f>'DOE25'!H79</f>
        <v>0</v>
      </c>
      <c r="F57" s="23" t="s">
        <v>288</v>
      </c>
      <c r="G57" s="23" t="s">
        <v>288</v>
      </c>
      <c r="H57" s="13">
        <f t="shared" si="3"/>
        <v>17020</v>
      </c>
      <c r="I57"/>
    </row>
    <row r="58" spans="1:9" x14ac:dyDescent="0.2">
      <c r="A58" s="1" t="s">
        <v>166</v>
      </c>
      <c r="B58" s="6" t="s">
        <v>167</v>
      </c>
      <c r="C58" s="73">
        <f>'DOE25'!F94</f>
        <v>84075</v>
      </c>
      <c r="D58" s="23" t="s">
        <v>288</v>
      </c>
      <c r="E58" s="73">
        <f>'DOE25'!H94</f>
        <v>0</v>
      </c>
      <c r="F58" s="23" t="s">
        <v>288</v>
      </c>
      <c r="G58" s="23" t="s">
        <v>288</v>
      </c>
      <c r="H58" s="13">
        <f t="shared" si="3"/>
        <v>84075</v>
      </c>
      <c r="I58"/>
    </row>
    <row r="59" spans="1:9" x14ac:dyDescent="0.2">
      <c r="A59" s="1" t="s">
        <v>168</v>
      </c>
      <c r="B59" s="6" t="s">
        <v>169</v>
      </c>
      <c r="C59" s="73">
        <f>'DOE25'!F96</f>
        <v>21238.11</v>
      </c>
      <c r="D59" s="73">
        <f>'DOE25'!G96</f>
        <v>0</v>
      </c>
      <c r="E59" s="73">
        <f>'DOE25'!H96</f>
        <v>0</v>
      </c>
      <c r="F59" s="73">
        <f>'DOE25'!I96</f>
        <v>0</v>
      </c>
      <c r="G59" s="73">
        <f>'DOE25'!J96</f>
        <v>1021.63</v>
      </c>
      <c r="H59" s="13">
        <f t="shared" si="3"/>
        <v>22259.74</v>
      </c>
      <c r="I59"/>
    </row>
    <row r="60" spans="1:9" x14ac:dyDescent="0.2">
      <c r="A60" s="1" t="s">
        <v>170</v>
      </c>
      <c r="B60" s="22" t="s">
        <v>171</v>
      </c>
      <c r="C60" s="23" t="s">
        <v>288</v>
      </c>
      <c r="D60" s="73">
        <f>'DOE25'!G97</f>
        <v>269095.81</v>
      </c>
      <c r="E60" s="23" t="s">
        <v>288</v>
      </c>
      <c r="F60" s="23" t="s">
        <v>288</v>
      </c>
      <c r="G60" s="23" t="s">
        <v>288</v>
      </c>
      <c r="H60" s="13">
        <f t="shared" si="3"/>
        <v>269095.81</v>
      </c>
      <c r="I60"/>
    </row>
    <row r="61" spans="1:9" ht="12" thickBot="1" x14ac:dyDescent="0.25">
      <c r="A61" s="1" t="s">
        <v>172</v>
      </c>
      <c r="B61" s="22" t="s">
        <v>173</v>
      </c>
      <c r="C61" s="73">
        <f>SUM('DOE25'!F98:F110)</f>
        <v>28605.98</v>
      </c>
      <c r="D61" s="73">
        <f>SUM('DOE25'!G98:G110)</f>
        <v>20183.919999999998</v>
      </c>
      <c r="E61" s="73">
        <f>SUM('DOE25'!H98:H110)</f>
        <v>0</v>
      </c>
      <c r="F61" s="73">
        <f>SUM('DOE25'!I98:I110)</f>
        <v>0</v>
      </c>
      <c r="G61" s="73">
        <f>SUM('DOE25'!J98:J110)</f>
        <v>0</v>
      </c>
      <c r="H61" s="13">
        <f t="shared" si="3"/>
        <v>48789.899999999994</v>
      </c>
      <c r="I61"/>
    </row>
    <row r="62" spans="1:9" ht="12.75" thickTop="1" thickBot="1" x14ac:dyDescent="0.25">
      <c r="A62" s="28" t="s">
        <v>174</v>
      </c>
      <c r="B62" s="6"/>
      <c r="C62" s="93">
        <f>SUM(C57:C61)</f>
        <v>150939.09</v>
      </c>
      <c r="D62" s="93">
        <f>SUM(D57:D61)</f>
        <v>289279.73</v>
      </c>
      <c r="E62" s="93">
        <f>SUM(E57:E61)</f>
        <v>0</v>
      </c>
      <c r="F62" s="93">
        <f>SUM(F57:F61)</f>
        <v>0</v>
      </c>
      <c r="G62" s="93">
        <f>SUM(G57:G61)</f>
        <v>1021.63</v>
      </c>
      <c r="H62" s="13">
        <f t="shared" si="3"/>
        <v>441240.44999999995</v>
      </c>
      <c r="I62"/>
    </row>
    <row r="63" spans="1:9" ht="12" thickTop="1" x14ac:dyDescent="0.2">
      <c r="A63" s="28" t="s">
        <v>175</v>
      </c>
      <c r="B63" s="6"/>
      <c r="C63" s="21">
        <f>C56+C62</f>
        <v>9463546.0899999999</v>
      </c>
      <c r="D63" s="21">
        <f>D56+D62</f>
        <v>289279.73</v>
      </c>
      <c r="E63" s="21">
        <f>E56+E62</f>
        <v>0</v>
      </c>
      <c r="F63" s="21">
        <f>F56+F62</f>
        <v>0</v>
      </c>
      <c r="G63" s="21">
        <f>G56+G62</f>
        <v>1021.63</v>
      </c>
      <c r="H63" s="13">
        <f t="shared" si="3"/>
        <v>9753847.4500000011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5192596.34</v>
      </c>
      <c r="D66" s="23" t="s">
        <v>288</v>
      </c>
      <c r="E66" s="23" t="s">
        <v>288</v>
      </c>
      <c r="F66" s="23" t="s">
        <v>288</v>
      </c>
      <c r="G66" s="23" t="s">
        <v>288</v>
      </c>
      <c r="H66" s="13">
        <f t="shared" ref="H66:H81" si="4">SUM(C66:G66)</f>
        <v>5192596.34</v>
      </c>
      <c r="I66"/>
    </row>
    <row r="67" spans="1:9" x14ac:dyDescent="0.2">
      <c r="A67" s="1" t="s">
        <v>770</v>
      </c>
      <c r="B67" s="6">
        <v>3112</v>
      </c>
      <c r="C67" s="73">
        <f>'DOE25'!F118</f>
        <v>888591</v>
      </c>
      <c r="D67" s="23"/>
      <c r="E67" s="23"/>
      <c r="F67" s="23"/>
      <c r="G67" s="23"/>
      <c r="H67" s="13">
        <f t="shared" si="4"/>
        <v>888591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83380.34</v>
      </c>
      <c r="D69" s="73">
        <f>'DOE25'!G120</f>
        <v>0</v>
      </c>
      <c r="E69" s="73">
        <f>'DOE25'!H120</f>
        <v>0</v>
      </c>
      <c r="F69" s="73">
        <f>'DOE25'!I120</f>
        <v>0</v>
      </c>
      <c r="G69" s="73">
        <f>'DOE25'!J120</f>
        <v>0</v>
      </c>
      <c r="H69" s="13">
        <f t="shared" si="4"/>
        <v>83380.34</v>
      </c>
      <c r="I69"/>
    </row>
    <row r="70" spans="1:9" ht="12" thickTop="1" x14ac:dyDescent="0.2">
      <c r="A70" s="28" t="s">
        <v>252</v>
      </c>
      <c r="B70" s="2"/>
      <c r="C70" s="97">
        <f>SUM(C66:C69)</f>
        <v>6164567.6799999997</v>
      </c>
      <c r="D70" s="97">
        <f>D69</f>
        <v>0</v>
      </c>
      <c r="E70" s="97">
        <f>E69</f>
        <v>0</v>
      </c>
      <c r="F70" s="97">
        <f>F69</f>
        <v>0</v>
      </c>
      <c r="G70" s="97">
        <f>G69</f>
        <v>0</v>
      </c>
      <c r="H70" s="13">
        <f t="shared" si="4"/>
        <v>6164567.6799999997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369683.64</v>
      </c>
      <c r="D72" s="23" t="s">
        <v>288</v>
      </c>
      <c r="E72" s="23" t="s">
        <v>288</v>
      </c>
      <c r="F72" s="73">
        <f>'DOE25'!I123</f>
        <v>0</v>
      </c>
      <c r="G72" s="23" t="s">
        <v>288</v>
      </c>
      <c r="H72" s="13">
        <f t="shared" si="4"/>
        <v>369683.64</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162826.38</v>
      </c>
      <c r="D74" s="23"/>
      <c r="E74" s="23"/>
      <c r="F74" s="23"/>
      <c r="G74" s="23"/>
      <c r="H74" s="13">
        <f t="shared" si="4"/>
        <v>162826.38</v>
      </c>
      <c r="I74"/>
    </row>
    <row r="75" spans="1:9" x14ac:dyDescent="0.2">
      <c r="A75" s="1" t="s">
        <v>256</v>
      </c>
      <c r="B75" s="6">
        <v>3230</v>
      </c>
      <c r="C75" s="73">
        <f>'DOE25'!F126</f>
        <v>4614.63</v>
      </c>
      <c r="D75" s="23" t="s">
        <v>288</v>
      </c>
      <c r="E75" s="23" t="s">
        <v>288</v>
      </c>
      <c r="F75" s="23" t="s">
        <v>288</v>
      </c>
      <c r="G75" s="23" t="s">
        <v>288</v>
      </c>
      <c r="H75" s="13">
        <f t="shared" si="4"/>
        <v>4614.63</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5802.99</v>
      </c>
      <c r="E77" s="73">
        <f>SUM('DOE25'!H131:H135)</f>
        <v>0</v>
      </c>
      <c r="F77" s="73">
        <f>SUM('DOE25'!I131:I135)</f>
        <v>0</v>
      </c>
      <c r="G77" s="73">
        <f>SUM('DOE25'!J131:J135)</f>
        <v>0</v>
      </c>
      <c r="H77" s="13">
        <f t="shared" si="4"/>
        <v>5802.99</v>
      </c>
      <c r="I77"/>
    </row>
    <row r="78" spans="1:9" ht="12.75" thickTop="1" thickBot="1" x14ac:dyDescent="0.25">
      <c r="A78" s="28" t="s">
        <v>259</v>
      </c>
      <c r="B78" s="6"/>
      <c r="C78" s="93">
        <f>SUM(C72:C77)</f>
        <v>537124.65</v>
      </c>
      <c r="D78" s="93">
        <f>SUM(D72:D77)</f>
        <v>5802.99</v>
      </c>
      <c r="E78" s="93">
        <f>SUM(E72:E77)</f>
        <v>0</v>
      </c>
      <c r="F78" s="93">
        <f>SUM(F72:F77)</f>
        <v>0</v>
      </c>
      <c r="G78" s="93">
        <f>SUM(G72:G77)</f>
        <v>0</v>
      </c>
      <c r="H78" s="13">
        <f t="shared" si="4"/>
        <v>542927.64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6701692.3300000001</v>
      </c>
      <c r="D81" s="93">
        <f>SUM(D79:D80)+D78+D70</f>
        <v>5802.99</v>
      </c>
      <c r="E81" s="93">
        <f>SUM(E79:E80)+E78+E70</f>
        <v>0</v>
      </c>
      <c r="F81" s="93">
        <f>SUM(F79:F80)+F78+F70</f>
        <v>0</v>
      </c>
      <c r="G81" s="93">
        <f>SUM(G79:G80)+G78+G70</f>
        <v>0</v>
      </c>
      <c r="H81" s="93">
        <f t="shared" si="4"/>
        <v>6707495.3200000003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61969.120000000003</v>
      </c>
      <c r="D88" s="253">
        <f>SUM('DOE25'!G153:G162)</f>
        <v>193397.72</v>
      </c>
      <c r="E88" s="253">
        <f>SUM('DOE25'!H153:H162)</f>
        <v>866956.03</v>
      </c>
      <c r="F88" s="253">
        <f>SUM('DOE25'!I153:I162)</f>
        <v>0</v>
      </c>
      <c r="G88" s="23" t="s">
        <v>288</v>
      </c>
      <c r="H88" s="13">
        <f t="shared" si="5"/>
        <v>1122322.8700000001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61969.120000000003</v>
      </c>
      <c r="D91" s="94">
        <f>SUM(D85:D90)</f>
        <v>193397.72</v>
      </c>
      <c r="E91" s="94">
        <f>SUM(E85:E90)</f>
        <v>866956.03</v>
      </c>
      <c r="F91" s="94">
        <f>SUM(F85:F90)</f>
        <v>0</v>
      </c>
      <c r="G91" s="23" t="s">
        <v>288</v>
      </c>
      <c r="H91" s="13">
        <f t="shared" si="5"/>
        <v>1122322.8700000001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16227207.539999999</v>
      </c>
      <c r="D104" s="68">
        <f>D63+D81+D91+D103</f>
        <v>488480.43999999994</v>
      </c>
      <c r="E104" s="68">
        <f>E63+E81+E91+E103</f>
        <v>866956.03</v>
      </c>
      <c r="F104" s="68">
        <f>F63+F81+F91+F103</f>
        <v>0</v>
      </c>
      <c r="G104" s="68">
        <f>G63+G81+G103</f>
        <v>1021.63</v>
      </c>
      <c r="H104" s="68">
        <f t="shared" si="5"/>
        <v>17583665.639999997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6591335.6600000001</v>
      </c>
      <c r="D109" s="23" t="s">
        <v>288</v>
      </c>
      <c r="E109" s="73">
        <f>('DOE25'!L277)+('DOE25'!L296)+('DOE25'!L315)</f>
        <v>312393.67999999993</v>
      </c>
      <c r="F109" s="23" t="s">
        <v>288</v>
      </c>
      <c r="G109" s="23" t="s">
        <v>288</v>
      </c>
      <c r="H109" s="13">
        <f t="shared" ref="H109:H115" si="6">SUM(C109:G109)</f>
        <v>6903729.3399999999</v>
      </c>
    </row>
    <row r="110" spans="1:8" x14ac:dyDescent="0.2">
      <c r="A110" t="s">
        <v>198</v>
      </c>
      <c r="B110" s="31" t="s">
        <v>199</v>
      </c>
      <c r="C110" s="73">
        <f>('DOE25'!L199)+('DOE25'!L217)+('DOE25'!L235)</f>
        <v>2722135.76</v>
      </c>
      <c r="D110" s="23" t="s">
        <v>288</v>
      </c>
      <c r="E110" s="73">
        <f>('DOE25'!L278)+('DOE25'!L297)+('DOE25'!L316)</f>
        <v>186702.56</v>
      </c>
      <c r="F110" s="23" t="s">
        <v>288</v>
      </c>
      <c r="G110" s="23" t="s">
        <v>288</v>
      </c>
      <c r="H110" s="13">
        <f t="shared" si="6"/>
        <v>2908838.32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97908.87</v>
      </c>
      <c r="D112" s="23" t="s">
        <v>288</v>
      </c>
      <c r="E112" s="73">
        <f>+('DOE25'!L280)+('DOE25'!L299)+('DOE25'!L318)</f>
        <v>23155.33</v>
      </c>
      <c r="F112" s="23" t="s">
        <v>288</v>
      </c>
      <c r="G112" s="23" t="s">
        <v>288</v>
      </c>
      <c r="H112" s="13">
        <f t="shared" si="6"/>
        <v>121064.2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9411380.2899999991</v>
      </c>
      <c r="D115" s="68">
        <f>SUM(D109:D114)</f>
        <v>0</v>
      </c>
      <c r="E115" s="68">
        <f>SUM(E109:E114)</f>
        <v>522251.56999999995</v>
      </c>
      <c r="F115" s="68">
        <f>SUM(F109:F114)</f>
        <v>0</v>
      </c>
      <c r="G115" s="68">
        <f>SUM(G109:G114)</f>
        <v>0</v>
      </c>
      <c r="H115" s="68">
        <f t="shared" si="6"/>
        <v>9933631.8599999994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1227134.4300000002</v>
      </c>
      <c r="D118" s="23" t="s">
        <v>288</v>
      </c>
      <c r="E118" s="73">
        <f>+('DOE25'!L282)+('DOE25'!L301)+('DOE25'!L320)</f>
        <v>117500</v>
      </c>
      <c r="F118" s="23" t="s">
        <v>288</v>
      </c>
      <c r="G118" s="23" t="s">
        <v>288</v>
      </c>
      <c r="H118" s="13">
        <f t="shared" ref="H118:H145" si="7">SUM(C118:G118)</f>
        <v>1344634.4300000002</v>
      </c>
    </row>
    <row r="119" spans="1:8" x14ac:dyDescent="0.2">
      <c r="A119" t="s">
        <v>208</v>
      </c>
      <c r="B119" s="31" t="s">
        <v>209</v>
      </c>
      <c r="C119" s="73">
        <f>('DOE25'!L204)+('DOE25'!L222)+('DOE25'!L240)</f>
        <v>662080.20000000007</v>
      </c>
      <c r="D119" s="23" t="s">
        <v>288</v>
      </c>
      <c r="E119" s="73">
        <f>+('DOE25'!L283)+('DOE25'!L302)+('DOE25'!L321)</f>
        <v>193596.75</v>
      </c>
      <c r="F119" s="23" t="s">
        <v>288</v>
      </c>
      <c r="G119" s="23" t="s">
        <v>288</v>
      </c>
      <c r="H119" s="13">
        <f t="shared" si="7"/>
        <v>855676.95000000007</v>
      </c>
    </row>
    <row r="120" spans="1:8" x14ac:dyDescent="0.2">
      <c r="A120" t="s">
        <v>210</v>
      </c>
      <c r="B120" s="31" t="s">
        <v>211</v>
      </c>
      <c r="C120" s="73">
        <f>('DOE25'!L205)+('DOE25'!L223)+('DOE25'!L241)</f>
        <v>748674.34000000008</v>
      </c>
      <c r="D120" s="23" t="s">
        <v>288</v>
      </c>
      <c r="E120" s="73">
        <f>+('DOE25'!L284)+('DOE25'!L303)+('DOE25'!L322)</f>
        <v>0</v>
      </c>
      <c r="F120" s="23" t="s">
        <v>288</v>
      </c>
      <c r="G120" s="23" t="s">
        <v>288</v>
      </c>
      <c r="H120" s="13">
        <f t="shared" si="7"/>
        <v>748674.34000000008</v>
      </c>
    </row>
    <row r="121" spans="1:8" x14ac:dyDescent="0.2">
      <c r="A121" t="s">
        <v>212</v>
      </c>
      <c r="B121" s="31" t="s">
        <v>213</v>
      </c>
      <c r="C121" s="73">
        <f>('DOE25'!L206)+('DOE25'!L224)+('DOE25'!L242)</f>
        <v>1116138.58</v>
      </c>
      <c r="D121" s="23" t="s">
        <v>288</v>
      </c>
      <c r="E121" s="73">
        <f>+('DOE25'!L285)+('DOE25'!L304)+('DOE25'!L323)</f>
        <v>0</v>
      </c>
      <c r="F121" s="23" t="s">
        <v>288</v>
      </c>
      <c r="G121" s="23" t="s">
        <v>288</v>
      </c>
      <c r="H121" s="13">
        <f t="shared" si="7"/>
        <v>1116138.58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1474312.9300000002</v>
      </c>
      <c r="D123" s="23" t="s">
        <v>288</v>
      </c>
      <c r="E123" s="73">
        <f>+('DOE25'!L287)+('DOE25'!L306)+('DOE25'!L325)</f>
        <v>14100</v>
      </c>
      <c r="F123" s="23" t="s">
        <v>288</v>
      </c>
      <c r="G123" s="23" t="s">
        <v>288</v>
      </c>
      <c r="H123" s="13">
        <f t="shared" si="7"/>
        <v>1488412.9300000002</v>
      </c>
    </row>
    <row r="124" spans="1:8" x14ac:dyDescent="0.2">
      <c r="A124" t="s">
        <v>218</v>
      </c>
      <c r="B124" s="31" t="s">
        <v>219</v>
      </c>
      <c r="C124" s="73">
        <f>('DOE25'!L209)+('DOE25'!L227)+('DOE25'!L245+'DOE25'!L255)</f>
        <v>956988.83000000007</v>
      </c>
      <c r="D124" s="23" t="s">
        <v>288</v>
      </c>
      <c r="E124" s="73">
        <f>+('DOE25'!L288)+('DOE25'!L307)+('DOE25'!L326)</f>
        <v>0</v>
      </c>
      <c r="F124" s="23" t="s">
        <v>288</v>
      </c>
      <c r="G124" s="23" t="s">
        <v>288</v>
      </c>
      <c r="H124" s="13">
        <f t="shared" si="7"/>
        <v>956988.83000000007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518678.49</v>
      </c>
      <c r="E127" s="23" t="s">
        <v>288</v>
      </c>
      <c r="F127" s="23" t="s">
        <v>288</v>
      </c>
      <c r="G127" s="23" t="s">
        <v>288</v>
      </c>
      <c r="H127" s="13">
        <f t="shared" si="7"/>
        <v>518678.49</v>
      </c>
    </row>
    <row r="128" spans="1:8" ht="12.75" thickTop="1" thickBot="1" x14ac:dyDescent="0.25">
      <c r="A128" s="32" t="s">
        <v>226</v>
      </c>
      <c r="C128" s="68">
        <f>SUM(C118:C127)</f>
        <v>6185329.3100000005</v>
      </c>
      <c r="D128" s="68">
        <f>SUM(D118:D127)</f>
        <v>518678.49</v>
      </c>
      <c r="E128" s="68">
        <f>SUM(E118:E127)</f>
        <v>325196.75</v>
      </c>
      <c r="F128" s="68">
        <f>SUM(F118:F127)</f>
        <v>0</v>
      </c>
      <c r="G128" s="68">
        <f>SUM(G118:G127)</f>
        <v>0</v>
      </c>
      <c r="H128" s="68">
        <f t="shared" si="7"/>
        <v>7029204.5500000007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945034.55</v>
      </c>
      <c r="D131" s="23" t="s">
        <v>288</v>
      </c>
      <c r="E131" s="92">
        <f>'DOE25'!L342</f>
        <v>0</v>
      </c>
      <c r="F131" s="23" t="s">
        <v>288</v>
      </c>
      <c r="G131" s="23" t="s">
        <v>288</v>
      </c>
      <c r="H131" s="13">
        <f t="shared" si="7"/>
        <v>945034.55</v>
      </c>
    </row>
    <row r="132" spans="1:8" x14ac:dyDescent="0.2">
      <c r="A132" t="s">
        <v>230</v>
      </c>
      <c r="B132" s="31">
        <v>5120</v>
      </c>
      <c r="C132" s="73">
        <f>'DOE25'!L262</f>
        <v>82711.45</v>
      </c>
      <c r="D132" s="23" t="s">
        <v>288</v>
      </c>
      <c r="E132" s="92">
        <f>'DOE25'!L343</f>
        <v>0</v>
      </c>
      <c r="F132" s="23" t="s">
        <v>288</v>
      </c>
      <c r="G132" s="23" t="s">
        <v>288</v>
      </c>
      <c r="H132" s="13">
        <f t="shared" si="7"/>
        <v>82711.45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19507.71</v>
      </c>
      <c r="F134" s="73">
        <f>'DOE25'!K382</f>
        <v>0</v>
      </c>
      <c r="G134" s="73">
        <f>'DOE25'!K435</f>
        <v>0</v>
      </c>
      <c r="H134" s="13">
        <f t="shared" si="7"/>
        <v>19507.71</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806.5200000000001</v>
      </c>
      <c r="D138" s="23" t="s">
        <v>288</v>
      </c>
      <c r="E138" s="23" t="s">
        <v>288</v>
      </c>
      <c r="F138" s="23" t="s">
        <v>288</v>
      </c>
      <c r="G138" s="23" t="s">
        <v>288</v>
      </c>
      <c r="H138" s="13">
        <f t="shared" si="7"/>
        <v>806.5200000000001</v>
      </c>
    </row>
    <row r="139" spans="1:8" x14ac:dyDescent="0.2">
      <c r="A139" t="s">
        <v>239</v>
      </c>
      <c r="B139" s="31">
        <v>5252</v>
      </c>
      <c r="C139" s="73">
        <f>'DOE25'!L402</f>
        <v>215.11</v>
      </c>
      <c r="D139" s="23" t="s">
        <v>288</v>
      </c>
      <c r="E139" s="23" t="s">
        <v>288</v>
      </c>
      <c r="F139" s="23" t="s">
        <v>288</v>
      </c>
      <c r="G139" s="23" t="s">
        <v>288</v>
      </c>
      <c r="H139" s="13">
        <f t="shared" si="7"/>
        <v>215.11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-1021.6300000000001</v>
      </c>
      <c r="D141" s="23" t="s">
        <v>288</v>
      </c>
      <c r="E141" s="23" t="s">
        <v>288</v>
      </c>
      <c r="F141" s="23" t="s">
        <v>288</v>
      </c>
      <c r="G141" s="23" t="s">
        <v>288</v>
      </c>
      <c r="H141" s="13">
        <f t="shared" si="7"/>
        <v>-1021.6300000000001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1027746</v>
      </c>
      <c r="D144" s="98">
        <f>SUM(D130:D143)</f>
        <v>0</v>
      </c>
      <c r="E144" s="98">
        <f>SUM(E130:E143)</f>
        <v>19507.71</v>
      </c>
      <c r="F144" s="98">
        <f>SUM(F130:F143)</f>
        <v>0</v>
      </c>
      <c r="G144" s="98">
        <f>SUM(G130:G143)</f>
        <v>0</v>
      </c>
      <c r="H144" s="98">
        <f t="shared" si="7"/>
        <v>1047253.71</v>
      </c>
    </row>
    <row r="145" spans="1:9" ht="12.75" thickTop="1" thickBot="1" x14ac:dyDescent="0.25">
      <c r="A145" s="32" t="s">
        <v>244</v>
      </c>
      <c r="C145" s="68">
        <f>(C115+C128+C144)</f>
        <v>16624455.6</v>
      </c>
      <c r="D145" s="68">
        <f>(D115+D128+D144)</f>
        <v>518678.49</v>
      </c>
      <c r="E145" s="68">
        <f>(E115+E128+E144)</f>
        <v>866956.02999999991</v>
      </c>
      <c r="F145" s="68">
        <f>(F115+F128+F144)</f>
        <v>0</v>
      </c>
      <c r="G145" s="68">
        <f>(G115+G128+G144)</f>
        <v>0</v>
      </c>
      <c r="H145" s="68">
        <f t="shared" si="7"/>
        <v>18010090.120000001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910000</v>
      </c>
      <c r="C158" s="19">
        <f>'DOE25'!G498</f>
        <v>35034.550000000003</v>
      </c>
      <c r="D158" s="19">
        <f>'DOE25'!H498</f>
        <v>0</v>
      </c>
      <c r="E158" s="19">
        <f>'DOE25'!I498</f>
        <v>0</v>
      </c>
      <c r="F158" s="19">
        <f>'DOE25'!J498</f>
        <v>0</v>
      </c>
      <c r="G158" s="96">
        <f t="shared" si="8"/>
        <v>945034.55</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Weare</v>
      </c>
    </row>
    <row r="3" spans="1:4" x14ac:dyDescent="0.2">
      <c r="B3" s="137" t="s">
        <v>1799</v>
      </c>
    </row>
    <row r="4" spans="1:4" x14ac:dyDescent="0.2">
      <c r="B4" t="s">
        <v>61</v>
      </c>
      <c r="C4" s="129">
        <f>IF('DOE25'!F666+'DOE25'!F671=0,0,ROUND('DOE25'!F673,0))</f>
        <v>19428</v>
      </c>
    </row>
    <row r="5" spans="1:4" x14ac:dyDescent="0.2">
      <c r="B5" t="s">
        <v>700</v>
      </c>
      <c r="C5" s="129">
        <f>IF('DOE25'!G666+'DOE25'!G671=0,0,ROUND('DOE25'!G673,0))</f>
        <v>16077</v>
      </c>
    </row>
    <row r="6" spans="1:4" x14ac:dyDescent="0.2">
      <c r="B6" t="s">
        <v>62</v>
      </c>
      <c r="C6" s="129">
        <f>IF('DOE25'!H666+'DOE25'!H671=0,0,ROUND('DOE25'!H673,0))</f>
        <v>0</v>
      </c>
    </row>
    <row r="7" spans="1:4" x14ac:dyDescent="0.2">
      <c r="B7" t="s">
        <v>701</v>
      </c>
      <c r="C7" s="129">
        <f>IF('DOE25'!I666+'DOE25'!I671=0,0,ROUND('DOE25'!I673,0))</f>
        <v>17434</v>
      </c>
    </row>
    <row r="9" spans="1:4" x14ac:dyDescent="0.2">
      <c r="A9" s="136" t="s">
        <v>94</v>
      </c>
      <c r="B9" s="137" t="s">
        <v>1800</v>
      </c>
      <c r="C9" s="131" t="s">
        <v>720</v>
      </c>
      <c r="D9" s="131" t="s">
        <v>721</v>
      </c>
    </row>
    <row r="10" spans="1:4" x14ac:dyDescent="0.2">
      <c r="A10">
        <v>1100</v>
      </c>
      <c r="B10" t="s">
        <v>702</v>
      </c>
      <c r="C10" s="129">
        <f>ROUND('DOE25'!L198+'DOE25'!L216+'DOE25'!L234+'DOE25'!L277+'DOE25'!L296+'DOE25'!L315,0)</f>
        <v>6903729</v>
      </c>
      <c r="D10" s="132">
        <f>ROUND((C10/$C$28)*100,1)</f>
        <v>41.2</v>
      </c>
    </row>
    <row r="11" spans="1:4" x14ac:dyDescent="0.2">
      <c r="A11">
        <v>1200</v>
      </c>
      <c r="B11" t="s">
        <v>703</v>
      </c>
      <c r="C11" s="129">
        <f>ROUND('DOE25'!L199+'DOE25'!L217+'DOE25'!L235+'DOE25'!L278+'DOE25'!L297+'DOE25'!L316,0)</f>
        <v>2908838</v>
      </c>
      <c r="D11" s="132">
        <f>ROUND((C11/$C$28)*100,1)</f>
        <v>17.399999999999999</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121064</v>
      </c>
      <c r="D13" s="132">
        <f>ROUND((C13/$C$28)*100,1)</f>
        <v>0.7</v>
      </c>
    </row>
    <row r="14" spans="1:4" x14ac:dyDescent="0.2">
      <c r="D14" s="132"/>
    </row>
    <row r="15" spans="1:4" x14ac:dyDescent="0.2">
      <c r="A15">
        <v>2100</v>
      </c>
      <c r="B15" t="s">
        <v>706</v>
      </c>
      <c r="C15" s="129">
        <f>ROUND('DOE25'!L203+'DOE25'!L221+'DOE25'!L239+'DOE25'!L282+'DOE25'!L301+'DOE25'!L320,0)</f>
        <v>1344634</v>
      </c>
      <c r="D15" s="132">
        <f t="shared" ref="D15:D27" si="0">ROUND((C15/$C$28)*100,1)</f>
        <v>8</v>
      </c>
    </row>
    <row r="16" spans="1:4" x14ac:dyDescent="0.2">
      <c r="A16">
        <v>2200</v>
      </c>
      <c r="B16" t="s">
        <v>707</v>
      </c>
      <c r="C16" s="129">
        <f>ROUND('DOE25'!L204+'DOE25'!L222+'DOE25'!L240+'DOE25'!L283+'DOE25'!L302+'DOE25'!L321,0)</f>
        <v>855677</v>
      </c>
      <c r="D16" s="132">
        <f t="shared" si="0"/>
        <v>5.0999999999999996</v>
      </c>
    </row>
    <row r="17" spans="1:4" x14ac:dyDescent="0.2">
      <c r="A17" s="133" t="s">
        <v>723</v>
      </c>
      <c r="B17" t="s">
        <v>738</v>
      </c>
      <c r="C17" s="129">
        <f>ROUND('DOE25'!L205+'DOE25'!L210+'DOE25'!L223+'DOE25'!L228+'DOE25'!L241+'DOE25'!L246+'DOE25'!L284+'DOE25'!L289+'DOE25'!L303+'DOE25'!L308+'DOE25'!L322+'DOE25'!L327,0)</f>
        <v>748674</v>
      </c>
      <c r="D17" s="132">
        <f t="shared" si="0"/>
        <v>4.5</v>
      </c>
    </row>
    <row r="18" spans="1:4" x14ac:dyDescent="0.2">
      <c r="A18">
        <v>2400</v>
      </c>
      <c r="B18" t="s">
        <v>711</v>
      </c>
      <c r="C18" s="129">
        <f>ROUND('DOE25'!L206+'DOE25'!L224+'DOE25'!L242+'DOE25'!L285+'DOE25'!L304+'DOE25'!L323,0)</f>
        <v>1116139</v>
      </c>
      <c r="D18" s="132">
        <f t="shared" si="0"/>
        <v>6.7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1488413</v>
      </c>
      <c r="D20" s="132">
        <f t="shared" si="0"/>
        <v>8.9</v>
      </c>
    </row>
    <row r="21" spans="1:4" x14ac:dyDescent="0.2">
      <c r="A21">
        <v>2700</v>
      </c>
      <c r="B21" t="s">
        <v>710</v>
      </c>
      <c r="C21" s="129">
        <f>ROUND('DOE25'!L209+'DOE25'!L227+'DOE25'!L245+'DOE25'!L288+'DOE25'!L307+'DOE25'!L326,0)</f>
        <v>956989</v>
      </c>
      <c r="D21" s="132">
        <f t="shared" si="0"/>
        <v>5.7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82711</v>
      </c>
      <c r="D25" s="132">
        <f t="shared" si="0"/>
        <v>0.5</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229398.27000000002</v>
      </c>
      <c r="D27" s="132">
        <f t="shared" si="0"/>
        <v>1.4</v>
      </c>
    </row>
    <row r="28" spans="1:4" x14ac:dyDescent="0.2">
      <c r="B28" s="136" t="s">
        <v>719</v>
      </c>
      <c r="C28" s="130">
        <f>SUM(C10:C27)</f>
        <v>16756266.27</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16756266.27</v>
      </c>
    </row>
    <row r="31" spans="1:4" x14ac:dyDescent="0.2">
      <c r="B31" s="32"/>
      <c r="C31" s="130"/>
    </row>
    <row r="32" spans="1:4" x14ac:dyDescent="0.2">
      <c r="A32">
        <v>5100</v>
      </c>
      <c r="B32" s="32" t="s">
        <v>726</v>
      </c>
      <c r="C32" s="130">
        <f>ROUND('DOE25'!L261+'DOE25'!L342,0)</f>
        <v>945035</v>
      </c>
    </row>
    <row r="34" spans="1:4" x14ac:dyDescent="0.2">
      <c r="A34" s="136" t="s">
        <v>94</v>
      </c>
      <c r="B34" s="137" t="s">
        <v>1801</v>
      </c>
      <c r="C34" s="131" t="s">
        <v>720</v>
      </c>
      <c r="D34" s="131" t="s">
        <v>721</v>
      </c>
    </row>
    <row r="35" spans="1:4" x14ac:dyDescent="0.2">
      <c r="A35">
        <v>1100</v>
      </c>
      <c r="B35" s="71" t="s">
        <v>727</v>
      </c>
      <c r="C35" s="129">
        <f>ROUND('DOE25'!F60+'DOE25'!G60+'DOE25'!H60+'DOE25'!I60+'DOE25'!J60,0)</f>
        <v>9312607</v>
      </c>
      <c r="D35" s="132">
        <f t="shared" ref="D35:D40" si="1">ROUND((C35/$C$41)*100,1)</f>
        <v>53.8</v>
      </c>
    </row>
    <row r="36" spans="1:4" x14ac:dyDescent="0.2">
      <c r="B36" s="71" t="s">
        <v>739</v>
      </c>
      <c r="C36" s="129">
        <f>SUM('DOE25'!F112:J112)-SUM('DOE25'!G97:G110)+('DOE25'!F175+'DOE25'!F176+'DOE25'!I175+'DOE25'!I176)-C35</f>
        <v>151960.72000000067</v>
      </c>
      <c r="D36" s="132">
        <f t="shared" si="1"/>
        <v>0.9</v>
      </c>
    </row>
    <row r="37" spans="1:4" x14ac:dyDescent="0.2">
      <c r="A37" s="133" t="s">
        <v>834</v>
      </c>
      <c r="B37" s="71" t="s">
        <v>728</v>
      </c>
      <c r="C37" s="129">
        <f>ROUND('DOE25'!F117+'DOE25'!F118,0)</f>
        <v>6081187</v>
      </c>
      <c r="D37" s="132">
        <f t="shared" si="1"/>
        <v>35.200000000000003</v>
      </c>
    </row>
    <row r="38" spans="1:4" x14ac:dyDescent="0.2">
      <c r="A38" s="133" t="s">
        <v>734</v>
      </c>
      <c r="B38" s="71" t="s">
        <v>729</v>
      </c>
      <c r="C38" s="129">
        <f>ROUND(SUM('DOE25'!F140:J140)-SUM('DOE25'!F117:F119),0)</f>
        <v>626308</v>
      </c>
      <c r="D38" s="132">
        <f t="shared" si="1"/>
        <v>3.6</v>
      </c>
    </row>
    <row r="39" spans="1:4" x14ac:dyDescent="0.2">
      <c r="A39">
        <v>4000</v>
      </c>
      <c r="B39" s="71" t="s">
        <v>730</v>
      </c>
      <c r="C39" s="129">
        <f>ROUND('DOE25'!F170+'DOE25'!G170+'DOE25'!H170+'DOE25'!I170,0)</f>
        <v>1122323</v>
      </c>
      <c r="D39" s="132">
        <f t="shared" si="1"/>
        <v>6.5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17294385.719999999</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Q12" sqref="Q12"/>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Weare</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39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67</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f>IF('School Level Expenditures'!$B$2=A42,'School Tables'!H42,"")</f>
        <v>39</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f>IF('School Level Expenditures'!$B$2='School Tables'!L70,'School Tables'!S70,"")</f>
        <v>67</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2023-10-16T15:11:14Z</cp:lastPrinted>
  <dcterms:created xsi:type="dcterms:W3CDTF">1997-12-04T19:04:30Z</dcterms:created>
  <dcterms:modified xsi:type="dcterms:W3CDTF">2023-12-29T15:07:21Z</dcterms:modified>
</cp:coreProperties>
</file>