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E42483B1-8D41-4D63-86C9-04DB9D3F5BC7}"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29" i="1" l="1"/>
  <c r="H527" i="1"/>
  <c r="G527" i="1"/>
  <c r="F527" i="1"/>
  <c r="C10" i="12"/>
  <c r="D7" i="14"/>
  <c r="D6" i="14"/>
  <c r="D38" i="14"/>
  <c r="B10" i="12"/>
  <c r="G29" i="1"/>
  <c r="G234" i="1"/>
  <c r="G198" i="1"/>
  <c r="F109" i="1"/>
  <c r="H28" i="1"/>
  <c r="F49" i="1"/>
  <c r="F44" i="1"/>
  <c r="F460" i="1" l="1"/>
  <c r="C11" i="12"/>
  <c r="C12" i="12"/>
  <c r="B12" i="12"/>
  <c r="C20" i="12"/>
  <c r="C19" i="12"/>
  <c r="C28" i="12"/>
  <c r="B28" i="12"/>
  <c r="C39" i="12"/>
  <c r="G236" i="1"/>
  <c r="G237" i="1"/>
  <c r="B39" i="12"/>
  <c r="F237" i="1"/>
  <c r="F236" i="1"/>
  <c r="G242" i="1"/>
  <c r="F242" i="1"/>
  <c r="H201" i="1"/>
  <c r="F201" i="1"/>
  <c r="F17"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H140" i="1" l="1"/>
  <c r="C110" i="2"/>
  <c r="C32" i="10"/>
  <c r="J652" i="1"/>
  <c r="E120" i="2"/>
  <c r="G663" i="1"/>
  <c r="G646" i="1"/>
  <c r="G62" i="2"/>
  <c r="G63" i="2" s="1"/>
  <c r="H113" i="2"/>
  <c r="H79" i="2"/>
  <c r="H76" i="2"/>
  <c r="H58" i="2"/>
  <c r="E125" i="2"/>
  <c r="E124" i="2"/>
  <c r="E111" i="2"/>
  <c r="C119" i="2"/>
  <c r="C13" i="10"/>
  <c r="C125" i="2"/>
  <c r="F85" i="2"/>
  <c r="F91" i="2" s="1"/>
  <c r="E112" i="2"/>
  <c r="G409" i="1"/>
  <c r="H646" i="1" s="1"/>
  <c r="G477" i="1"/>
  <c r="H624" i="1" s="1"/>
  <c r="J624" i="1" s="1"/>
  <c r="A40" i="12"/>
  <c r="E13" i="13"/>
  <c r="C13" i="13" s="1"/>
  <c r="F409" i="1"/>
  <c r="H644" i="1" s="1"/>
  <c r="J644" i="1" s="1"/>
  <c r="C85" i="2"/>
  <c r="C91" i="2" s="1"/>
  <c r="H69" i="2"/>
  <c r="H30" i="2"/>
  <c r="H25" i="2"/>
  <c r="H17" i="2"/>
  <c r="H43" i="2"/>
  <c r="C112" i="2"/>
  <c r="H72" i="2"/>
  <c r="H94" i="2"/>
  <c r="H29" i="2"/>
  <c r="H24" i="2"/>
  <c r="H477" i="1"/>
  <c r="H625" i="1" s="1"/>
  <c r="J625" i="1" s="1"/>
  <c r="H101" i="2"/>
  <c r="H99" i="2"/>
  <c r="J112" i="1"/>
  <c r="H28" i="2"/>
  <c r="H27" i="2"/>
  <c r="D29" i="13"/>
  <c r="C29" i="13" s="1"/>
  <c r="G662" i="1"/>
  <c r="H102" i="2"/>
  <c r="H100" i="2"/>
  <c r="H98" i="2"/>
  <c r="H73" i="2"/>
  <c r="H23" i="2"/>
  <c r="H15" i="2"/>
  <c r="H11" i="2"/>
  <c r="H143" i="2"/>
  <c r="H38" i="2"/>
  <c r="H47" i="2"/>
  <c r="H96" i="2"/>
  <c r="H80" i="2"/>
  <c r="H77" i="2"/>
  <c r="H89" i="2"/>
  <c r="H59" i="2"/>
  <c r="H34" i="2"/>
  <c r="M2" i="14"/>
  <c r="M3" i="14" s="1"/>
  <c r="H12" i="2"/>
  <c r="H8" i="2"/>
  <c r="J140" i="1"/>
  <c r="K2" i="14"/>
  <c r="K3" i="14" s="1"/>
  <c r="D18" i="13"/>
  <c r="C18" i="13" s="1"/>
  <c r="D15" i="13"/>
  <c r="C15" i="13" s="1"/>
  <c r="C121" i="2"/>
  <c r="C12" i="10"/>
  <c r="C120" i="2"/>
  <c r="D6" i="13"/>
  <c r="C6" i="13" s="1"/>
  <c r="L2" i="14"/>
  <c r="L3" i="14" s="1"/>
  <c r="I409" i="1"/>
  <c r="H132" i="2"/>
  <c r="H36" i="2"/>
  <c r="H44" i="2"/>
  <c r="H48" i="2"/>
  <c r="D144" i="2"/>
  <c r="H97" i="2"/>
  <c r="H93" i="2"/>
  <c r="H87" i="2"/>
  <c r="H61" i="2"/>
  <c r="H26" i="2"/>
  <c r="H22" i="2"/>
  <c r="E121" i="2"/>
  <c r="N2" i="14"/>
  <c r="N3" i="14" s="1"/>
  <c r="H137" i="2"/>
  <c r="H35" i="2"/>
  <c r="H13" i="2"/>
  <c r="H9"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B33" i="16" l="1"/>
  <c r="H110" i="2"/>
  <c r="H112" i="2"/>
  <c r="H120" i="2"/>
  <c r="H124" i="2"/>
  <c r="E51" i="2"/>
  <c r="H125" i="2"/>
  <c r="H111" i="2"/>
  <c r="J646" i="1"/>
  <c r="H122" i="2"/>
  <c r="J194" i="1"/>
  <c r="G647" i="1" s="1"/>
  <c r="I663" i="1"/>
  <c r="H119" i="2"/>
  <c r="E128" i="2"/>
  <c r="H123" i="2"/>
  <c r="H114" i="2"/>
  <c r="F194" i="1"/>
  <c r="G628" i="1" s="1"/>
  <c r="J628" i="1" s="1"/>
  <c r="H18" i="2"/>
  <c r="H50" i="2"/>
  <c r="H91" i="2"/>
  <c r="H16" i="2"/>
  <c r="D128" i="2"/>
  <c r="D145" i="2" s="1"/>
  <c r="H127" i="2"/>
  <c r="D51" i="2"/>
  <c r="H57" i="2"/>
  <c r="H134" i="2"/>
  <c r="C81" i="2"/>
  <c r="H81" i="2" s="1"/>
  <c r="H78" i="2"/>
  <c r="H103" i="2"/>
  <c r="I662" i="1"/>
  <c r="L572" i="1"/>
  <c r="H42" i="2"/>
  <c r="H31" i="2"/>
  <c r="G24" i="14"/>
  <c r="H24" i="14" s="1"/>
  <c r="I24" i="14" s="1"/>
  <c r="H118" i="2"/>
  <c r="H62" i="2"/>
  <c r="H85" i="2"/>
  <c r="H121" i="2"/>
  <c r="H21"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194" i="1"/>
  <c r="G629" i="1" s="1"/>
  <c r="J629" i="1" s="1"/>
  <c r="G627" i="1"/>
  <c r="J627" i="1" s="1"/>
  <c r="J52" i="1"/>
  <c r="H622" i="1" s="1"/>
  <c r="J622" i="1" s="1"/>
  <c r="C38" i="10"/>
  <c r="G632" i="1" l="1"/>
  <c r="J632" i="1" s="1"/>
  <c r="H128" i="2"/>
  <c r="C144" i="2"/>
  <c r="H144" i="2" s="1"/>
  <c r="H141" i="2"/>
  <c r="M24" i="14"/>
  <c r="H5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<sst xmlns="http://schemas.openxmlformats.org/spreadsheetml/2006/main" count="6559" uniqueCount="1814">
  <si>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</si>
  <si>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</si>
  <si>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</si>
  <si>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</si>
  <si>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</si>
  <si>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</si>
  <si>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</si>
  <si>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</si>
  <si>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</si>
  <si>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</si>
  <si>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</si>
  <si>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</si>
  <si>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</si>
  <si>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</si>
  <si>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</si>
  <si>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</si>
  <si>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</si>
  <si>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</si>
  <si>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</si>
  <si>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</si>
  <si>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</si>
  <si>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</si>
  <si>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</si>
  <si>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</si>
  <si>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</si>
  <si>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</si>
  <si>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</si>
  <si>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</si>
  <si>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</si>
  <si>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</si>
  <si>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</si>
  <si>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</si>
  <si>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</si>
  <si>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</si>
  <si>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</si>
  <si>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</si>
  <si>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</si>
  <si>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</si>
  <si>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</si>
  <si>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</si>
  <si>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</si>
  <si>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</si>
  <si>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</si>
  <si>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</si>
  <si>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</si>
  <si>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</si>
  <si>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</si>
  <si>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</si>
  <si>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</si>
  <si>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</si>
  <si>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</si>
  <si>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</si>
  <si>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</si>
  <si>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</si>
  <si>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</si>
  <si>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</si>
  <si>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</si>
  <si>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</si>
  <si>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</si>
  <si>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</si>
  <si>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</si>
  <si>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</si>
  <si>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</si>
  <si>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</si>
  <si>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</si>
  <si>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</si>
  <si>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</si>
  <si>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</si>
  <si>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</si>
  <si>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</si>
  <si>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</si>
  <si>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</si>
  <si>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</si>
  <si>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</si>
  <si>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</si>
  <si>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</si>
  <si>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</si>
  <si>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</si>
  <si>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</si>
  <si>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</si>
  <si>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</si>
  <si>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</si>
  <si>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</si>
  <si>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</si>
  <si>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</si>
  <si>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</si>
  <si>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</si>
  <si>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</si>
  <si>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</si>
  <si>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</si>
  <si>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</si>
  <si>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</si>
  <si>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</si>
  <si>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</si>
  <si>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</si>
  <si>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</si>
  <si>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</si>
  <si>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</si>
  <si>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</si>
  <si>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</si>
  <si>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</si>
  <si>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</si>
  <si>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</si>
  <si>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</si>
  <si>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</si>
  <si>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</si>
  <si>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</si>
  <si>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</si>
  <si>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</si>
  <si>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</si>
  <si>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</si>
  <si>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</si>
  <si>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</si>
  <si>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</si>
  <si>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</si>
  <si>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</si>
  <si>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</si>
  <si>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</si>
  <si>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</si>
  <si>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</si>
  <si>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</si>
  <si>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</si>
  <si>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</si>
  <si>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</si>
  <si>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</si>
  <si>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</si>
  <si>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</si>
  <si>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</si>
  <si>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</si>
  <si>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</si>
  <si>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</si>
  <si>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</si>
  <si>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</si>
  <si>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</si>
  <si>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</si>
  <si>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</si>
  <si>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</si>
  <si>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</si>
  <si>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</si>
  <si>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</si>
  <si>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</si>
  <si>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</si>
  <si>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</si>
  <si>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</si>
  <si>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</si>
  <si>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</si>
  <si>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</si>
  <si>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</si>
  <si>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</si>
  <si>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</si>
  <si>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</si>
  <si>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</si>
  <si>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</si>
  <si>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</si>
  <si>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</si>
  <si>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</si>
  <si>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</si>
  <si>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</si>
  <si>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</si>
  <si>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</si>
  <si>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</si>
  <si>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</si>
  <si>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</si>
  <si>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</si>
  <si>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</si>
  <si>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</si>
  <si>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</si>
  <si>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</si>
  <si>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</si>
  <si>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</si>
  <si>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</si>
  <si>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</si>
  <si>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</si>
  <si>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</si>
  <si>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</si>
  <si>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</si>
  <si>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</si>
  <si>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</si>
  <si>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</si>
  <si>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</si>
  <si>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</si>
  <si>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</si>
  <si>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</si>
  <si>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</si>
  <si>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</si>
  <si>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</si>
  <si>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</si>
  <si>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</si>
  <si>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</si>
  <si>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</si>
  <si>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</si>
  <si>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</si>
  <si>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</si>
  <si>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</si>
  <si>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</si>
  <si>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</si>
  <si>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</si>
  <si>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</si>
  <si>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</si>
  <si>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</si>
  <si>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</si>
  <si>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</si>
  <si>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</si>
  <si>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</si>
  <si>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</si>
  <si>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</si>
  <si>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</si>
  <si>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</si>
  <si>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</si>
  <si>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</si>
  <si>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</si>
  <si>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</si>
  <si>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</si>
  <si>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</si>
  <si>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</si>
  <si>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</si>
  <si>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</si>
  <si>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</si>
  <si>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</si>
  <si>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</si>
  <si>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</si>
  <si>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</si>
  <si>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</si>
  <si>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</si>
  <si>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</si>
  <si>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</si>
  <si>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</si>
  <si>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</si>
  <si>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</si>
  <si>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</si>
  <si>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</si>
  <si>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</si>
  <si>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</si>
  <si>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</si>
  <si>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</si>
  <si>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</si>
  <si>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</si>
  <si>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</si>
  <si>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</si>
  <si>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</si>
  <si>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</si>
  <si>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</si>
  <si>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</si>
  <si>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</si>
  <si>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</si>
  <si>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</si>
  <si>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</si>
  <si>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</si>
  <si>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</si>
  <si>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</si>
  <si>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</si>
  <si>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</si>
  <si>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</si>
  <si>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</si>
  <si>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</si>
  <si>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</si>
  <si>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</si>
  <si>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</si>
  <si>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</si>
  <si>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</si>
  <si>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</si>
  <si>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</si>
  <si>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</si>
  <si>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</si>
  <si>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</si>
  <si>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</si>
  <si>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</si>
  <si>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</si>
  <si>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</si>
  <si>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</si>
  <si>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</si>
  <si>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</si>
  <si>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</si>
  <si>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</si>
  <si>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</si>
  <si>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</si>
  <si>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</si>
  <si>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</si>
  <si>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</si>
  <si>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</si>
  <si>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</si>
  <si>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</si>
  <si>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</si>
  <si>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</si>
  <si>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</si>
  <si>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</si>
  <si>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</si>
  <si>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</si>
  <si>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</si>
  <si>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</si>
  <si>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</si>
  <si>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</si>
  <si>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</si>
  <si>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</si>
  <si>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</si>
  <si>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</si>
  <si>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</si>
  <si>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</si>
  <si>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</si>
  <si>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</si>
  <si>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</si>
  <si>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</si>
  <si>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</si>
  <si>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</si>
  <si>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</si>
  <si>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</si>
  <si>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</si>
  <si>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</si>
  <si>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</si>
  <si>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</si>
  <si>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</si>
  <si>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</si>
  <si>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</si>
  <si>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</si>
  <si>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</si>
  <si>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</si>
  <si>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</si>
  <si>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</si>
  <si>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</si>
  <si>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</si>
  <si>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</si>
  <si>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</si>
  <si>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</si>
  <si>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</si>
  <si>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</si>
  <si>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</si>
  <si>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</si>
  <si>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</si>
  <si>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</si>
  <si>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</si>
  <si>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</si>
  <si>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</si>
  <si>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</si>
  <si>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</si>
  <si>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</si>
  <si>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</si>
  <si>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</si>
  <si>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</si>
  <si>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</si>
  <si>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</si>
  <si>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</si>
  <si>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</si>
  <si>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</si>
  <si>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</si>
  <si>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</si>
  <si>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</si>
  <si>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</si>
  <si>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</si>
  <si>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</si>
  <si>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</si>
  <si>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</si>
  <si>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</si>
  <si>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</si>
  <si>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</si>
  <si>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</si>
  <si>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</si>
  <si>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</si>
  <si>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</si>
  <si>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</si>
  <si>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</si>
  <si>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</si>
  <si>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</si>
  <si>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</si>
  <si>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</si>
  <si>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</si>
  <si>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</si>
  <si>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</si>
  <si>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</si>
  <si>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</si>
  <si>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</si>
  <si>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</si>
  <si>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</si>
  <si>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</si>
  <si>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</si>
  <si>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</si>
  <si>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</si>
  <si>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</si>
  <si>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</si>
  <si>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</si>
  <si>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</si>
  <si>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</si>
  <si>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</si>
  <si>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</si>
  <si>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</si>
  <si>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</si>
  <si>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</si>
  <si>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</si>
  <si>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</si>
  <si>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</si>
  <si>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</si>
  <si>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</si>
  <si>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</si>
  <si>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</si>
  <si>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</si>
  <si>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</si>
  <si>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</si>
  <si>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</si>
  <si>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</si>
  <si>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</si>
  <si>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</si>
  <si>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</si>
  <si>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</si>
  <si>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</si>
  <si>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</si>
  <si>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</si>
  <si>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</si>
  <si>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</si>
  <si>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</si>
  <si>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</si>
  <si>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</si>
  <si>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</si>
  <si>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</si>
  <si>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</si>
  <si>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</si>
  <si>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</si>
  <si>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</si>
  <si>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</si>
  <si>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</si>
  <si>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</si>
  <si>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</si>
  <si>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</si>
  <si>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</si>
  <si>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</si>
  <si>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</si>
  <si>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</si>
  <si>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</si>
  <si>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</si>
  <si>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</si>
  <si>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</si>
  <si>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</si>
  <si>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</si>
  <si>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</si>
  <si>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</si>
  <si>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</si>
  <si>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</si>
  <si>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</si>
  <si>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</si>
  <si>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</si>
  <si>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</si>
  <si>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</si>
  <si>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</si>
  <si>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</si>
  <si>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</si>
  <si>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</si>
  <si>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</si>
  <si>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</si>
  <si>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</si>
  <si>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</si>
  <si>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</si>
  <si>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</si>
  <si>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</si>
  <si>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</si>
  <si>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</si>
  <si>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</si>
  <si>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</si>
  <si>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</si>
  <si>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</si>
  <si>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</si>
  <si>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</si>
  <si>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</si>
  <si>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</si>
  <si>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</si>
  <si>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</si>
  <si>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</si>
  <si>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</si>
  <si>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</si>
  <si>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</si>
  <si>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</si>
  <si>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</si>
  <si>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</si>
  <si>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</si>
  <si>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</si>
  <si>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</si>
  <si>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</si>
  <si>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</si>
  <si>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</si>
  <si>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</si>
  <si>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</si>
  <si>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</si>
  <si>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</si>
  <si>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</si>
  <si>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</si>
  <si>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</si>
  <si>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</si>
  <si>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</si>
  <si>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</si>
  <si>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</si>
  <si>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</si>
  <si>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</si>
  <si>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</si>
  <si>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</si>
  <si>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</si>
  <si>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</si>
  <si>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</si>
  <si>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</si>
  <si>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</si>
  <si>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</si>
  <si>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</si>
  <si>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</si>
  <si>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</si>
  <si>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</si>
  <si>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</si>
  <si>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</si>
  <si>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</si>
  <si>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</si>
  <si>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</si>
  <si>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</si>
  <si>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</si>
  <si>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</si>
  <si>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</si>
  <si>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</si>
  <si>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</si>
  <si>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</si>
  <si>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</si>
  <si>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</si>
  <si>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</si>
  <si>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</si>
  <si>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</si>
  <si>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</si>
  <si>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</si>
  <si>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</si>
  <si>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</si>
  <si>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</si>
  <si>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</si>
  <si>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</si>
  <si>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</si>
  <si>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</si>
  <si>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</si>
  <si>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</si>
  <si>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</si>
  <si>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</si>
  <si>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</si>
  <si>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</si>
  <si>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</si>
  <si>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</si>
  <si>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</si>
  <si>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</si>
  <si>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</si>
  <si>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</si>
  <si>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</si>
  <si>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</si>
  <si>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</si>
  <si>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</si>
  <si>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</si>
  <si>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</si>
  <si>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</si>
  <si>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</si>
  <si>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</si>
  <si>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</si>
  <si>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</si>
  <si>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</si>
  <si>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</si>
  <si>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</si>
  <si>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</si>
  <si>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</si>
  <si>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</si>
  <si>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</si>
  <si>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</si>
  <si>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</si>
  <si>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</si>
  <si>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</si>
  <si>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</si>
  <si>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</si>
  <si>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</si>
  <si>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</si>
  <si>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</si>
  <si>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</si>
  <si>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</si>
  <si>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</si>
  <si>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</si>
  <si>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</si>
  <si>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</si>
  <si>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</si>
  <si>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</si>
  <si>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</si>
  <si>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</si>
  <si>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</si>
  <si>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</si>
  <si>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</si>
  <si>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</si>
  <si>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</si>
  <si>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</si>
  <si>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</si>
  <si>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</si>
  <si>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</si>
  <si>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</si>
  <si>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</si>
  <si>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</si>
  <si>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</si>
  <si>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</si>
  <si>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</si>
  <si>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</si>
  <si>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</si>
  <si>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</si>
  <si>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</si>
  <si>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</si>
  <si>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</si>
  <si>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</si>
  <si>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</si>
  <si>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</si>
  <si>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</si>
  <si>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</si>
  <si>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</si>
  <si>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</si>
  <si>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</si>
  <si>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</si>
  <si>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</si>
  <si>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</si>
  <si>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</si>
  <si>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</si>
  <si>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</si>
  <si>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</si>
  <si>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</si>
  <si>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</si>
  <si>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</si>
  <si>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</si>
  <si>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</si>
  <si>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</si>
  <si>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</si>
  <si>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</si>
  <si>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</si>
  <si>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</si>
  <si>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</si>
  <si>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</si>
  <si>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</si>
  <si>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</si>
  <si>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</si>
  <si>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</si>
  <si>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</si>
  <si>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</si>
  <si>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</si>
  <si>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</si>
  <si>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</si>
  <si>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</si>
  <si>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</si>
  <si>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</si>
  <si>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</si>
  <si>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</si>
  <si>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</si>
  <si>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</si>
  <si>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</si>
  <si>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</si>
  <si>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</si>
  <si>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</si>
  <si>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</si>
  <si>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</si>
  <si>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</si>
  <si>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</si>
  <si>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</si>
  <si>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</si>
  <si>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</si>
  <si>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</si>
  <si>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</si>
  <si>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</si>
  <si>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</si>
  <si>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</si>
  <si>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</si>
  <si>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</si>
  <si>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</si>
  <si>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</si>
  <si>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</si>
  <si>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</si>
  <si>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</si>
  <si>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</si>
  <si>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</si>
  <si>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</si>
  <si>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</si>
  <si>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</si>
  <si>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</si>
  <si>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</si>
  <si>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</si>
  <si>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</si>
  <si>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</si>
  <si>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</si>
  <si>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</si>
  <si>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</si>
  <si>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</si>
  <si>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</si>
  <si>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</si>
  <si>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</si>
  <si>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</si>
  <si>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</si>
  <si>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</si>
  <si>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</si>
  <si>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</si>
  <si>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</si>
  <si>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</si>
  <si>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</si>
  <si>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</si>
  <si>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</si>
  <si>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</si>
  <si>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</si>
  <si>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</si>
  <si>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</si>
  <si>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</si>
  <si>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</si>
  <si>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</si>
  <si>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</si>
  <si>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</si>
  <si>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</si>
  <si>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</si>
  <si>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</si>
  <si>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</si>
  <si>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</si>
  <si>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</si>
  <si>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</si>
  <si>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</si>
  <si>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</si>
  <si>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</si>
  <si>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</si>
  <si>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</si>
  <si>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</si>
  <si>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</si>
  <si>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</si>
  <si>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</si>
  <si>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</si>
  <si>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</si>
  <si>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</si>
  <si>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</si>
  <si>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</si>
  <si>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</si>
  <si>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</si>
  <si>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</si>
  <si>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</si>
  <si>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</si>
  <si>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</si>
  <si>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</si>
  <si>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</si>
  <si>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</si>
  <si>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</si>
  <si>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</si>
  <si>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</si>
  <si>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</si>
  <si>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</si>
  <si>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</si>
  <si>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</si>
  <si>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</si>
  <si>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</si>
  <si>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</si>
  <si>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</si>
  <si>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</si>
  <si>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</si>
  <si>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</si>
  <si>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</si>
  <si>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</si>
  <si>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</si>
  <si>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</si>
  <si>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</si>
  <si>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</si>
  <si>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</si>
  <si>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</si>
  <si>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</si>
  <si>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</si>
  <si>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</si>
  <si>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</si>
  <si>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</si>
  <si>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</si>
  <si>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</si>
  <si>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</si>
  <si>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</si>
  <si>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</si>
  <si>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</si>
  <si>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</si>
  <si>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</si>
  <si>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</si>
  <si>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</si>
  <si>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</si>
  <si>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</si>
  <si>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</si>
  <si>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</si>
  <si>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</si>
  <si>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</si>
  <si>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</si>
  <si>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</si>
  <si>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</si>
  <si>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</si>
  <si>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</si>
  <si>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</si>
  <si>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</si>
  <si>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</si>
  <si>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</si>
  <si>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</si>
  <si>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</si>
  <si>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</si>
  <si>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</si>
  <si>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</si>
  <si>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</si>
  <si>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</si>
  <si>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</si>
  <si>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</si>
  <si>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</si>
  <si>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</si>
  <si>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</si>
  <si>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</si>
  <si>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</si>
  <si>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</si>
  <si>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</si>
  <si>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</si>
  <si>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</si>
  <si>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</si>
  <si>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</si>
  <si>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</si>
  <si>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</si>
  <si>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</si>
  <si>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</si>
  <si>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</si>
  <si>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</si>
  <si>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</si>
  <si>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</si>
  <si>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</si>
  <si>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</si>
  <si>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</si>
  <si>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</si>
  <si>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</si>
  <si>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</si>
  <si>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</si>
  <si>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</si>
  <si>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</si>
  <si>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</si>
  <si>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</si>
  <si>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</si>
  <si>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</si>
  <si>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</si>
  <si>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</si>
  <si>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</si>
  <si>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</si>
  <si>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</si>
  <si>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</si>
  <si>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</si>
  <si>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</si>
  <si>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</si>
  <si>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</si>
  <si>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</si>
  <si>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</si>
  <si>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</si>
  <si>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</si>
  <si>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</si>
  <si>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</si>
  <si>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</si>
  <si>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</si>
  <si>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</si>
  <si>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</si>
  <si>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</si>
  <si>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</si>
  <si>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</si>
  <si>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</si>
  <si>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</si>
  <si>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</si>
  <si>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</si>
  <si>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</si>
  <si>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</si>
  <si>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</si>
  <si>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</si>
  <si>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</si>
  <si>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</si>
  <si>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</si>
  <si>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</si>
  <si>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</si>
  <si>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</si>
  <si>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</si>
  <si>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</si>
  <si>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</si>
  <si>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</si>
  <si>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</si>
  <si>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</si>
  <si>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</si>
  <si>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</si>
  <si>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</si>
  <si>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</si>
  <si>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</si>
  <si>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</si>
  <si>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</si>
  <si>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</si>
  <si>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</si>
  <si>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</si>
  <si>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</si>
  <si>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</si>
  <si>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</si>
  <si>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</si>
  <si>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</si>
  <si>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</si>
  <si>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</si>
  <si>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</si>
  <si>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</si>
  <si>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</si>
  <si>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</si>
  <si>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</si>
  <si>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</si>
  <si>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</si>
  <si>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</si>
  <si>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</si>
  <si>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</si>
  <si>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</si>
  <si>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</si>
  <si>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</si>
  <si>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</si>
  <si>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</si>
  <si>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</si>
  <si>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</si>
  <si>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</si>
  <si>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</si>
  <si>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</si>
  <si>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</si>
  <si>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</si>
  <si>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</si>
  <si>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</si>
  <si>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</si>
  <si>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</si>
  <si>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</si>
  <si>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</si>
  <si>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</si>
  <si>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</si>
  <si>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</si>
  <si>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</si>
  <si>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</si>
  <si>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</si>
  <si>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</si>
  <si>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</si>
  <si>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</si>
  <si>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</si>
  <si>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</si>
  <si>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</si>
  <si>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</si>
  <si>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</si>
  <si>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</si>
  <si>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</si>
  <si>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</si>
  <si>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</si>
  <si>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</si>
  <si>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</si>
  <si>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</si>
  <si>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</si>
  <si>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</si>
  <si>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</si>
  <si>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</si>
  <si>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</si>
  <si>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</si>
  <si>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</si>
  <si>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</si>
  <si>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</si>
  <si>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</si>
  <si>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</si>
  <si>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</si>
  <si>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</si>
  <si>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</si>
  <si>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</si>
  <si>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</si>
  <si>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</si>
  <si>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</si>
  <si>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</si>
  <si>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</si>
  <si>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</si>
  <si>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</si>
  <si>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</si>
  <si>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</si>
  <si>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</si>
  <si>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</si>
  <si>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</si>
  <si>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</si>
  <si>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</si>
  <si>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</si>
  <si>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</si>
  <si>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</si>
  <si>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</si>
  <si>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</si>
  <si>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</si>
  <si>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</si>
  <si>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</si>
  <si>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</si>
  <si>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</si>
  <si>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</si>
  <si>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</si>
  <si>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</si>
  <si>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</si>
  <si>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</si>
  <si>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</si>
  <si>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</si>
  <si>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</si>
  <si>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</si>
  <si>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</si>
  <si>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</si>
  <si>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</si>
  <si>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</si>
  <si>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</si>
  <si>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</si>
  <si>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</si>
  <si>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</si>
  <si>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</si>
  <si>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</si>
  <si>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</si>
  <si>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</si>
  <si>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</si>
  <si>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</si>
  <si>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</si>
  <si>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</si>
  <si>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</si>
  <si>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</si>
  <si>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</si>
  <si>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</si>
  <si>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</si>
  <si>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</si>
  <si>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</si>
  <si>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</si>
  <si>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</si>
  <si>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</si>
  <si>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</si>
  <si>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</si>
  <si>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</si>
  <si>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</si>
  <si>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</si>
  <si>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</si>
  <si>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</si>
  <si>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</si>
  <si>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</si>
  <si>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</si>
  <si>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</si>
  <si>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</si>
  <si>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</si>
  <si>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</si>
  <si>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</si>
  <si>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</si>
  <si>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</si>
  <si>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</si>
  <si>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</si>
  <si>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</si>
  <si>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</si>
  <si>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</si>
  <si>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</si>
  <si>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</si>
  <si>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</si>
  <si>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</si>
  <si>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</si>
  <si>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</si>
  <si>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</si>
  <si>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</si>
  <si>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</si>
  <si>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</si>
  <si>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</si>
  <si>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</si>
  <si>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</si>
  <si>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</si>
  <si>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</si>
  <si>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</si>
  <si>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</si>
  <si>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</si>
  <si>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</si>
  <si>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</si>
  <si>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</si>
  <si>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</si>
  <si>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</si>
  <si>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</si>
  <si>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</si>
  <si>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</si>
  <si>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</si>
  <si>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</si>
  <si>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</si>
  <si>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</si>
  <si>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</si>
  <si>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</si>
  <si>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</si>
  <si>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</si>
  <si>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</si>
  <si>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</si>
  <si>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</si>
  <si>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</si>
  <si>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</si>
  <si>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</si>
  <si>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</si>
  <si>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</si>
  <si>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</si>
  <si>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</si>
  <si>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</si>
  <si>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</si>
  <si>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</si>
  <si>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</si>
  <si>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</si>
  <si>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</si>
  <si>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</si>
  <si>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</si>
  <si>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</si>
  <si>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</si>
  <si>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</si>
  <si>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</si>
  <si>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</si>
  <si>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</si>
  <si>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</si>
  <si>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</si>
  <si>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</si>
  <si>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</si>
  <si>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</si>
  <si>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</si>
  <si>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</si>
  <si>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</si>
  <si>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</si>
  <si>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</si>
  <si>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</si>
  <si>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</si>
  <si>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</si>
  <si>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</si>
  <si>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</si>
  <si>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</si>
  <si>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</si>
  <si>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</si>
  <si>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</si>
  <si>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</si>
  <si>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</si>
  <si>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</si>
  <si>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</si>
  <si>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</si>
  <si>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</si>
  <si>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</si>
  <si>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</si>
  <si>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</si>
  <si>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</si>
  <si>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</si>
  <si>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</si>
  <si>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</si>
  <si>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</si>
  <si>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</si>
  <si>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</si>
  <si>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</si>
  <si>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</si>
  <si>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</si>
  <si>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</si>
  <si>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</si>
  <si>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</si>
  <si>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</si>
  <si>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</si>
  <si>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</si>
  <si>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</si>
  <si>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</si>
  <si>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</si>
  <si>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</si>
  <si>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</si>
  <si>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</si>
  <si>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</si>
  <si>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</si>
  <si>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</si>
  <si>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</si>
  <si>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</si>
  <si>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</si>
  <si>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</si>
  <si>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</si>
  <si>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</si>
  <si>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</si>
  <si>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</si>
  <si>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</si>
  <si>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</si>
  <si>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</si>
  <si>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</si>
  <si>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</si>
  <si>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</si>
  <si>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</si>
  <si>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</si>
  <si>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</si>
  <si>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</si>
  <si>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</si>
  <si>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</si>
  <si>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</si>
  <si>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</si>
  <si>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</si>
  <si>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</si>
  <si>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</si>
  <si>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</si>
  <si>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</si>
  <si>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</si>
  <si>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</si>
  <si>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</si>
  <si>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</si>
  <si>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</si>
  <si>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</si>
  <si>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</si>
  <si>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</si>
  <si>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</si>
  <si>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</si>
  <si>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</si>
  <si>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</si>
  <si>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</si>
  <si>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</si>
  <si>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</si>
  <si>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</si>
  <si>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</si>
  <si>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</si>
  <si>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</si>
  <si>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</si>
  <si>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</si>
  <si>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</si>
  <si>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</si>
  <si>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</si>
  <si>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</si>
  <si>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</si>
  <si>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</si>
  <si>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</si>
  <si>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</si>
  <si>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</si>
  <si>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</si>
  <si>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</si>
  <si>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</si>
  <si>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</si>
  <si>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</si>
  <si>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</si>
  <si>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</si>
  <si>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</si>
  <si>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</si>
  <si>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</si>
  <si>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</si>
  <si>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</si>
  <si>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</si>
  <si>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</si>
  <si>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</si>
  <si>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</si>
  <si>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</si>
  <si>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</si>
  <si>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</si>
  <si>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</si>
  <si>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</si>
  <si>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</si>
  <si>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</si>
  <si>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</si>
  <si>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</si>
  <si>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</si>
  <si>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</si>
  <si>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</si>
  <si>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</si>
  <si>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</si>
  <si>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</si>
  <si>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</si>
  <si>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</si>
  <si>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</si>
  <si>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</si>
  <si>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</si>
  <si>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</si>
  <si>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</si>
  <si>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</si>
  <si>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</si>
  <si>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</si>
  <si>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</si>
  <si>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</si>
  <si>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</si>
  <si>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</si>
  <si>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</si>
  <si>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</si>
  <si>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</si>
  <si>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</si>
  <si>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</si>
  <si>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</si>
  <si>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</si>
  <si>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</si>
  <si>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</si>
  <si>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</si>
  <si>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</si>
  <si>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</si>
  <si>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</si>
  <si>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</si>
  <si>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</si>
  <si>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</si>
  <si>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</si>
  <si>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</si>
  <si>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</si>
  <si>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</si>
  <si>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</si>
  <si>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</si>
  <si>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</si>
  <si>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</si>
  <si>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</si>
  <si>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</si>
  <si>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</si>
  <si>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</si>
  <si>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</si>
  <si>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</si>
  <si>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</si>
  <si>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</si>
  <si>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</si>
  <si>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</si>
  <si>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</si>
  <si>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</si>
  <si>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</si>
  <si>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</si>
  <si>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</si>
  <si>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</si>
  <si>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</si>
  <si>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</si>
  <si>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</si>
  <si>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</si>
  <si>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</si>
  <si>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</si>
  <si>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</si>
  <si>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</si>
  <si>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</si>
  <si>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</si>
  <si>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</si>
  <si>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</si>
  <si>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</si>
  <si>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</si>
  <si>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</si>
  <si>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</si>
  <si>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</si>
  <si>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</si>
  <si>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</si>
  <si>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</si>
  <si>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</si>
  <si>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</si>
  <si>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</si>
  <si>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</si>
  <si>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</si>
  <si>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</si>
  <si>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</si>
  <si>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</si>
  <si>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</si>
  <si>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</si>
  <si>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</si>
  <si>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</si>
  <si>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</si>
  <si>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</si>
  <si>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</si>
  <si>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</si>
  <si>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</si>
  <si>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</si>
  <si>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</si>
  <si>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</si>
  <si>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</si>
  <si>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</si>
  <si>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</si>
  <si>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</si>
  <si>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</si>
  <si>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</si>
  <si>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</si>
  <si>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</si>
  <si>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</si>
  <si>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</si>
  <si>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</si>
  <si>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</si>
  <si>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</si>
  <si>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</si>
  <si>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</si>
  <si>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</si>
  <si>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</si>
  <si>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</si>
  <si>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</si>
  <si>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</si>
  <si>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</si>
  <si>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</si>
  <si>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</si>
  <si>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</si>
  <si>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</si>
  <si>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</si>
  <si>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</si>
  <si>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</si>
  <si>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</si>
  <si>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</si>
  <si>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</si>
  <si>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</si>
  <si>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</si>
  <si>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</si>
  <si>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</si>
  <si>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</si>
  <si>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</si>
  <si>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</si>
  <si>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</si>
  <si>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</si>
  <si>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</si>
  <si>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</si>
  <si>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</si>
  <si>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</si>
  <si>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</si>
  <si>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</si>
  <si>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</si>
  <si>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</si>
  <si>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</si>
  <si>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</si>
  <si>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</si>
  <si>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</si>
  <si>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</si>
  <si>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</si>
  <si>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</si>
  <si>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</si>
  <si>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</si>
  <si>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</si>
  <si>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</si>
  <si>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</si>
  <si>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</si>
  <si>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</si>
  <si>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</si>
  <si>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</si>
  <si>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</si>
  <si>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</si>
  <si>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</si>
  <si>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</si>
  <si>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</si>
  <si>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</si>
  <si>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</si>
  <si>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</si>
  <si>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</si>
  <si>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</si>
  <si>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</si>
  <si>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</si>
  <si>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</si>
  <si>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</si>
  <si>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</si>
  <si>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</si>
  <si>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</si>
  <si>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</si>
  <si>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</si>
  <si>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</si>
  <si>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</si>
  <si>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</si>
  <si>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</si>
  <si>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</si>
  <si>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</si>
  <si>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</si>
  <si>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</si>
  <si>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</si>
  <si>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</si>
  <si>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</si>
  <si>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</si>
  <si>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</si>
  <si>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</si>
  <si>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</si>
  <si>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</si>
  <si>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</si>
  <si>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</si>
  <si>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</si>
  <si>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</si>
  <si>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</si>
  <si>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</si>
  <si>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</si>
  <si>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</si>
  <si>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</si>
  <si>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</si>
  <si>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</si>
  <si>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</si>
  <si>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</si>
  <si>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</si>
  <si>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</si>
  <si>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</si>
  <si>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</si>
  <si>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</si>
  <si>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</si>
  <si>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</si>
  <si>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</si>
  <si>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</si>
  <si>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</si>
  <si>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</si>
  <si>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</si>
  <si>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</si>
  <si>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</si>
  <si>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</si>
  <si>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</si>
  <si>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</si>
  <si>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</si>
  <si>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</si>
  <si>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</si>
  <si>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</si>
  <si>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</si>
  <si>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</si>
  <si>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</si>
  <si>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</si>
  <si>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</si>
  <si>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</si>
  <si>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</si>
  <si>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</si>
  <si>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</si>
  <si>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</si>
  <si>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</si>
  <si>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</si>
  <si>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</si>
  <si>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</si>
  <si>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</si>
  <si>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</si>
  <si>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</si>
  <si>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</si>
  <si>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</si>
  <si>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</si>
  <si>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</si>
  <si>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</si>
  <si>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</si>
  <si>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</si>
  <si>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</si>
  <si>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</si>
  <si>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</si>
  <si>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</si>
  <si>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</si>
  <si>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</si>
  <si>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</si>
  <si>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</si>
  <si>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</si>
  <si>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</si>
  <si>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</si>
  <si>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</si>
  <si>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</si>
  <si>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</si>
  <si>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</si>
  <si>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</si>
  <si>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</si>
  <si>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</si>
  <si>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</si>
  <si>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</si>
  <si>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</si>
  <si>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</si>
  <si>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</si>
  <si>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</si>
  <si>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</si>
  <si>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</si>
  <si>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</si>
  <si>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</si>
  <si>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</si>
  <si>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</si>
  <si>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</si>
  <si>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</si>
  <si>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</si>
  <si>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</si>
  <si>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</si>
  <si>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</si>
  <si>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</si>
  <si>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</si>
  <si>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</si>
  <si>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</si>
  <si>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</si>
  <si>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</si>
  <si>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</si>
  <si>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</si>
  <si>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</si>
  <si>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</si>
  <si>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</si>
  <si>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</si>
  <si>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</si>
  <si>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</si>
  <si>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</si>
  <si>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</si>
  <si>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</si>
  <si>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</si>
  <si>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</si>
  <si>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</si>
  <si>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</si>
  <si>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</si>
  <si>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</si>
  <si>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</si>
  <si>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</si>
  <si>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</si>
  <si>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</si>
  <si>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</si>
  <si>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</si>
  <si>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</si>
  <si>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</si>
  <si>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</si>
  <si>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</si>
  <si>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</si>
  <si>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</si>
  <si>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</si>
  <si>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</si>
  <si>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</si>
  <si>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</si>
  <si>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</si>
  <si>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</si>
  <si>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</si>
  <si>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</si>
  <si>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</si>
  <si>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</si>
  <si>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</si>
  <si>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</si>
  <si>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</si>
  <si>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</si>
  <si>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</si>
  <si>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</si>
  <si>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</si>
  <si>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</si>
  <si>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</si>
  <si>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</si>
  <si>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</si>
  <si>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</si>
  <si>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</si>
  <si>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</si>
  <si>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</si>
  <si>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</si>
  <si>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</si>
  <si>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</si>
  <si>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</si>
  <si>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</si>
  <si>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</si>
  <si>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</si>
  <si>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</si>
  <si>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</si>
  <si>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</si>
  <si>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</si>
  <si>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</si>
  <si>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</si>
  <si>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</si>
  <si>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</si>
  <si>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</si>
  <si>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</si>
  <si>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</si>
  <si>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</si>
  <si>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</si>
  <si>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</si>
  <si>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</si>
  <si>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</si>
  <si>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</si>
  <si>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</si>
  <si>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</si>
  <si>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</si>
  <si>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</si>
  <si>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</si>
  <si>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</si>
  <si>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</si>
  <si>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</si>
  <si>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</si>
  <si>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</si>
  <si>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</si>
  <si>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</si>
  <si>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</si>
  <si>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</si>
  <si>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</si>
  <si>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</si>
  <si>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</si>
  <si>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</si>
  <si>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</si>
  <si>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</si>
  <si>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</si>
  <si>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</si>
  <si>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</si>
  <si>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</si>
  <si>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</si>
  <si>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</si>
  <si>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</si>
  <si>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</si>
  <si>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</si>
  <si>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</si>
  <si>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</si>
  <si>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</si>
  <si>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</si>
  <si>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</si>
  <si>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</si>
  <si>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</si>
  <si>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</si>
  <si>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</si>
  <si>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</si>
  <si>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</si>
  <si>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</si>
  <si>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</si>
  <si>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</si>
  <si>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</si>
  <si>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</si>
  <si>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</si>
  <si>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</si>
  <si>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</si>
  <si>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</si>
  <si>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</si>
  <si>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</si>
  <si>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</si>
  <si>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</si>
  <si>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</si>
  <si>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</si>
  <si>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</si>
  <si>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</si>
  <si>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</si>
  <si>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</si>
  <si>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</si>
  <si>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</si>
  <si>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</si>
  <si>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</si>
  <si>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</si>
  <si>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</si>
  <si>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</si>
  <si>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</si>
  <si>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</si>
  <si>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</si>
  <si>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</si>
  <si>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</si>
  <si>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</si>
  <si>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</si>
  <si>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</si>
  <si>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</si>
  <si>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</si>
  <si>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</si>
  <si>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</si>
  <si>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</si>
  <si>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</si>
  <si>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</si>
  <si>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</si>
  <si>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</si>
  <si>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</si>
  <si>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</si>
  <si>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</si>
  <si>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</si>
  <si>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</si>
  <si>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</si>
  <si>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</si>
  <si>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</si>
  <si>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</si>
  <si>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</si>
  <si>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</si>
  <si>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</si>
  <si>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</si>
  <si>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</si>
  <si>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</si>
  <si>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</si>
  <si>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</si>
  <si>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</si>
  <si>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</si>
  <si>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</si>
  <si>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</si>
  <si>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</si>
  <si>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</si>
  <si>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</si>
  <si>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</si>
  <si>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</si>
  <si>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</si>
  <si>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</si>
  <si>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</si>
  <si>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</si>
  <si>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</si>
  <si>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</si>
  <si>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</si>
  <si>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</si>
  <si>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</si>
  <si>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</si>
  <si>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</si>
  <si>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</si>
  <si>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</si>
  <si>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</si>
  <si>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</si>
  <si>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</si>
  <si>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</si>
  <si>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</si>
  <si>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</si>
  <si>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</si>
  <si>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</si>
  <si>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</si>
  <si>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</si>
  <si>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</si>
  <si>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</si>
  <si>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</si>
  <si>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</si>
  <si>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</si>
  <si>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</si>
  <si>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</si>
  <si>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</si>
  <si>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</si>
  <si>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</si>
  <si>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</si>
  <si>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</si>
  <si>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</si>
  <si>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</si>
  <si>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</si>
  <si>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</si>
  <si>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</si>
  <si>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</si>
  <si>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</si>
  <si>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</si>
  <si>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</si>
  <si>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</si>
  <si>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</si>
  <si>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</si>
  <si>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</si>
  <si>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</si>
  <si>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</si>
  <si>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</si>
  <si>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</si>
  <si>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</si>
  <si>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</si>
  <si>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</si>
  <si>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</si>
  <si>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</si>
  <si>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</si>
  <si>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</si>
  <si>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</si>
  <si>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</si>
  <si>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</si>
  <si>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</si>
  <si>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</si>
  <si>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</si>
  <si>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</si>
  <si>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</si>
  <si>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</si>
  <si>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</si>
  <si>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</si>
  <si>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</si>
  <si>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</si>
  <si>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</si>
  <si>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</si>
  <si>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</si>
  <si>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</si>
  <si>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</si>
  <si>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</si>
  <si>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</si>
  <si>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</si>
  <si>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</si>
  <si>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</si>
  <si>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</si>
  <si>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</si>
  <si>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</si>
  <si>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</si>
  <si>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</si>
  <si>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</si>
  <si>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</si>
  <si>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</si>
  <si>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</si>
  <si>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</si>
  <si>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</si>
  <si>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</si>
  <si>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</si>
  <si>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</si>
  <si>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</si>
  <si>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</si>
  <si>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</si>
  <si>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</si>
  <si>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</si>
  <si>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</si>
  <si>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</si>
  <si>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</si>
  <si>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</si>
  <si>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</si>
  <si>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Vocational tuition aid is reported on an accrual basis consistent with WMRSD's historical accounting practices.</t>
  </si>
  <si>
    <t>There was a difference between the accounting system and the trust fund balance in the DOE25 for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</si>
</sst>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8" fontId="6"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6"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1460</v>
      </c>
      <c r="B2">
        <f>INDEX('School Tables'!$AH$3:$AH$209,MATCH('DOE25'!A2,'School Tables'!$AJ$3:$AJ$209,0))</f>
        <v>568</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2059631.29</v>
      </c>
      <c r="G9" s="18">
        <v>200</v>
      </c>
      <c r="H9" s="18">
        <v>0</v>
      </c>
      <c r="I9" s="18"/>
      <c r="J9" s="13">
        <f>SUM(I440)</f>
        <v>1427461.52</v>
      </c>
      <c r="K9" s="23" t="s">
        <v>288</v>
      </c>
      <c r="L9" s="23" t="s">
        <v>288</v>
      </c>
      <c r="M9" s="8"/>
      <c r="N9" s="165"/>
    </row>
    <row r="10" spans="1:14" s="3" customFormat="1" ht="12.2" customHeight="1" x14ac:dyDescent="0.15">
      <c r="A10" s="1" t="s">
        <v>562</v>
      </c>
      <c r="B10" s="2" t="s">
        <v>289</v>
      </c>
      <c r="C10" s="6">
        <v>2</v>
      </c>
      <c r="D10" s="2" t="s">
        <v>428</v>
      </c>
      <c r="E10" s="6">
        <v>110</v>
      </c>
      <c r="F10" s="18">
        <v>175.91</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v>5398</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1005807.57</v>
      </c>
      <c r="G12" s="18">
        <v>5059.5</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194742.73</v>
      </c>
      <c r="G13" s="18">
        <v>67528.2</v>
      </c>
      <c r="H13" s="18">
        <v>1899346.59</v>
      </c>
      <c r="I13" s="18"/>
      <c r="J13" s="13">
        <f>SUM(I443)</f>
        <v>7918.29</v>
      </c>
      <c r="K13" s="23" t="s">
        <v>288</v>
      </c>
      <c r="L13" s="23" t="s">
        <v>288</v>
      </c>
      <c r="M13" s="8"/>
      <c r="N13" s="165"/>
    </row>
    <row r="14" spans="1:14" s="3" customFormat="1" ht="12.2" customHeight="1" x14ac:dyDescent="0.15">
      <c r="A14" s="1" t="s">
        <v>565</v>
      </c>
      <c r="B14" s="2" t="s">
        <v>289</v>
      </c>
      <c r="C14" s="6">
        <v>6</v>
      </c>
      <c r="D14" s="2" t="s">
        <v>428</v>
      </c>
      <c r="E14" s="6">
        <v>150</v>
      </c>
      <c r="F14" s="18">
        <v>42877.919999999998</v>
      </c>
      <c r="G14" s="18">
        <v>160.80000000000001</v>
      </c>
      <c r="H14" s="18">
        <v>0</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f>13123.35</f>
        <v>13123.35</v>
      </c>
      <c r="G17" s="18"/>
      <c r="H17" s="18">
        <v>0</v>
      </c>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3321756.77</v>
      </c>
      <c r="G19" s="38">
        <f>SUM(G9:G18)</f>
        <v>72948.5</v>
      </c>
      <c r="H19" s="38">
        <f>SUM(H9:H18)</f>
        <v>1899346.59</v>
      </c>
      <c r="I19" s="38">
        <f>SUM(I9:I18)</f>
        <v>0</v>
      </c>
      <c r="J19" s="38">
        <f>SUM(J9:J18)</f>
        <v>1435379.81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1010866.12</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7918.29</v>
      </c>
      <c r="G23" s="18"/>
      <c r="H23" s="18">
        <v>0</v>
      </c>
      <c r="I23" s="18"/>
      <c r="J23" s="13">
        <f>SUM(I450)</f>
        <v>72619.91</v>
      </c>
      <c r="K23" s="23" t="s">
        <v>288</v>
      </c>
      <c r="L23" s="23" t="s">
        <v>288</v>
      </c>
      <c r="M23" s="8"/>
      <c r="N23" s="165"/>
    </row>
    <row r="24" spans="1:14" s="3" customFormat="1" ht="12.2" customHeight="1" x14ac:dyDescent="0.15">
      <c r="A24" s="1" t="s">
        <v>570</v>
      </c>
      <c r="B24" s="2" t="s">
        <v>289</v>
      </c>
      <c r="C24" s="6">
        <v>14</v>
      </c>
      <c r="D24" s="2" t="s">
        <v>429</v>
      </c>
      <c r="E24" s="6">
        <v>420</v>
      </c>
      <c r="F24" s="18">
        <v>199265.08</v>
      </c>
      <c r="G24" s="18">
        <v>2788.48</v>
      </c>
      <c r="H24" s="18">
        <v>352442.5</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1099385.01</v>
      </c>
      <c r="G28" s="18">
        <v>9111.8700000000008</v>
      </c>
      <c r="H28" s="18">
        <f>60526.19+32586.43</f>
        <v>93112.62</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600154.87</v>
      </c>
      <c r="G29" s="18">
        <f>5248.36</f>
        <v>5248.36</v>
      </c>
      <c r="H29" s="18">
        <v>41479.629999999997</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206332</v>
      </c>
      <c r="G30" s="18"/>
      <c r="H30" s="18">
        <v>362981.11</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2113055.25</v>
      </c>
      <c r="G32" s="38">
        <f>SUM(G22:G31)</f>
        <v>17148.71</v>
      </c>
      <c r="H32" s="38">
        <f>SUM(H22:H31)</f>
        <v>1860881.98</v>
      </c>
      <c r="I32" s="38">
        <f>SUM(I22:I31)</f>
        <v>0</v>
      </c>
      <c r="J32" s="38">
        <f>SUM(J22:J31)</f>
        <v>72619.91</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13123.35</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55799.79</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f>720000</f>
        <v>720000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7918.29</v>
      </c>
      <c r="G48" s="18"/>
      <c r="H48" s="18">
        <v>38464.61</v>
      </c>
      <c r="I48" s="18"/>
      <c r="J48" s="13">
        <f>SUM(I460)</f>
        <v>1362759.9</v>
      </c>
      <c r="K48" s="23" t="s">
        <v>288</v>
      </c>
      <c r="L48" s="23" t="s">
        <v>288</v>
      </c>
      <c r="M48" s="8"/>
      <c r="N48" s="165"/>
    </row>
    <row r="49" spans="1:14" s="3" customFormat="1" ht="12.2" customHeight="1" x14ac:dyDescent="0.15">
      <c r="A49" s="1" t="s">
        <v>858</v>
      </c>
      <c r="B49" s="2" t="s">
        <v>289</v>
      </c>
      <c r="C49" s="6">
        <v>34</v>
      </c>
      <c r="D49" s="2"/>
      <c r="E49" s="6">
        <v>753</v>
      </c>
      <c r="F49" s="18">
        <f>3060.66</f>
        <v>3060.66</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464599.22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1208701.52</v>
      </c>
      <c r="G51" s="38">
        <f>SUM(G35:G50)</f>
        <v>55799.79</v>
      </c>
      <c r="H51" s="38">
        <f>SUM(H35:H50)</f>
        <v>38464.61</v>
      </c>
      <c r="I51" s="38">
        <f>SUM(I35:I50)</f>
        <v>0</v>
      </c>
      <c r="J51" s="38">
        <f>SUM(J35:J50)</f>
        <v>1362759.9</v>
      </c>
      <c r="K51" s="42" t="s">
        <v>288</v>
      </c>
      <c r="L51" s="42" t="s">
        <v>288</v>
      </c>
      <c r="N51" s="131"/>
    </row>
    <row r="52" spans="1:14" s="3" customFormat="1" ht="12.2" customHeight="1" thickTop="1" x14ac:dyDescent="0.15">
      <c r="A52" s="35" t="s">
        <v>455</v>
      </c>
      <c r="B52" s="36" t="s">
        <v>289</v>
      </c>
      <c r="C52" s="6">
        <v>37</v>
      </c>
      <c r="D52" s="36" t="s">
        <v>653</v>
      </c>
      <c r="E52" s="36"/>
      <c r="F52" s="38">
        <f>F51+F32</f>
        <v>3321756.77</v>
      </c>
      <c r="G52" s="38">
        <f>G51+G32</f>
        <v>72948.5</v>
      </c>
      <c r="H52" s="38">
        <f>H51+H32</f>
        <v>1899346.59</v>
      </c>
      <c r="I52" s="38">
        <f>I51+I32</f>
        <v>0</v>
      </c>
      <c r="J52" s="38">
        <f>J51+J32</f>
        <v>1435379.8099999998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10248750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10248750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314">
        <v>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324</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18726.64</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19597.740000000002</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1290600.99</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2535</v>
      </c>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SUM(F64:F78)</f>
        <v>1331784.3700000001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4764.74</v>
      </c>
      <c r="G96" s="18"/>
      <c r="H96" s="18"/>
      <c r="I96" s="18"/>
      <c r="J96" s="18">
        <v>16254.7</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216939.11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7417</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c r="H101" s="18">
        <v>0</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c r="H102" s="18">
        <v>220072.14</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v>810</v>
      </c>
      <c r="G103" s="18"/>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f>44103.21-28128.65</f>
        <v>15974.559999999998</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41201.85</v>
      </c>
      <c r="G110" s="18"/>
      <c r="H110" s="18">
        <v>16546.11</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62751.149999999994</v>
      </c>
      <c r="G111" s="38">
        <f>SUM(G96:G110)</f>
        <v>216939.11</v>
      </c>
      <c r="H111" s="38">
        <f>SUM(H96:H110)</f>
        <v>244035.25</v>
      </c>
      <c r="I111" s="38">
        <f>SUM(I96:I110)</f>
        <v>0</v>
      </c>
      <c r="J111" s="38">
        <f>SUM(J96:J110)</f>
        <v>16254.7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11643285.520000001</v>
      </c>
      <c r="G112" s="38">
        <f>G60+G111</f>
        <v>216939.11</v>
      </c>
      <c r="H112" s="38">
        <f>H60+H79+H94+H111</f>
        <v>244035.25</v>
      </c>
      <c r="I112" s="38">
        <f>I60+I111</f>
        <v>0</v>
      </c>
      <c r="J112" s="38">
        <f>J60+J111</f>
        <v>16254.7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7643113.21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1474199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121305.81</v>
      </c>
      <c r="G120" s="18"/>
      <c r="H120" s="18">
        <v>0</v>
      </c>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9238618.0200000014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286146.81</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70205.95</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4342.8</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v>0</v>
      </c>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7595.15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360695.56</v>
      </c>
      <c r="G136" s="38">
        <f>SUM(G123:G135)</f>
        <v>7595.15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9599313.5800000019</v>
      </c>
      <c r="G140" s="38">
        <f>G121+SUM(G136:G137)</f>
        <v>7595.15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75033.100000000006</v>
      </c>
      <c r="G150" s="23" t="s">
        <v>288</v>
      </c>
      <c r="H150" s="18">
        <v>0</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v>0</v>
      </c>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v>0</v>
      </c>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598798.80000000005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127872.94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78649.740000000005</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378839.47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350122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104804.72</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49998.05</v>
      </c>
      <c r="H161" s="18">
        <v>24654.37</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3112047.29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179837.82</v>
      </c>
      <c r="G163" s="38">
        <f>SUM(G150:G162)</f>
        <v>428837.51999999996</v>
      </c>
      <c r="H163" s="38">
        <f>SUM(H150:H162)</f>
        <v>4292145.1400000006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22453.79</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202291.61000000002</v>
      </c>
      <c r="G170" s="38">
        <f>G147+G163+SUM(G164:G169)</f>
        <v>428837.51999999996</v>
      </c>
      <c r="H170" s="38">
        <f>H147+H163+SUM(H164:H169)</f>
        <v>4292145.1400000006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14214.15</v>
      </c>
      <c r="H180" s="18"/>
      <c r="I180" s="18"/>
      <c r="J180" s="18">
        <v>2030785.67</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57326.51</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57326.51</v>
      </c>
      <c r="G184" s="38">
        <f>SUM(G180:G183)</f>
        <v>14214.15</v>
      </c>
      <c r="H184" s="38">
        <f>SUM(H180:H183)</f>
        <v>0</v>
      </c>
      <c r="I184" s="38">
        <f>SUM(I180:I183)</f>
        <v>0</v>
      </c>
      <c r="J184" s="38">
        <f>SUM(J180:J183)</f>
        <v>2030785.67</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1314797.3600000001</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1604703.67</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2919501.0300000003</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2976827.54</v>
      </c>
      <c r="G193" s="38">
        <f>G184+SUM(G189:G192)</f>
        <v>14214.15</v>
      </c>
      <c r="H193" s="38">
        <f>+H184+SUM(H189:H192)</f>
        <v>0</v>
      </c>
      <c r="I193" s="38">
        <f>I178+I184+SUM(I189:I192)</f>
        <v>0</v>
      </c>
      <c r="J193" s="38">
        <f>J184</f>
        <v>2030785.67</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24421718.25</v>
      </c>
      <c r="G194" s="38">
        <f>G112+G140+G170+G193</f>
        <v>667585.92999999993</v>
      </c>
      <c r="H194" s="38">
        <f>H112+H140+H170+H193</f>
        <v>4536180.3900000006</v>
      </c>
      <c r="I194" s="38">
        <f>I112+I140+I170+I193</f>
        <v>0</v>
      </c>
      <c r="J194" s="38">
        <f>J112+J140+J193</f>
        <v>2047040.3699999999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2656809.84</v>
      </c>
      <c r="G198" s="18">
        <f>1649392.69+9481.77+9481.77</f>
        <v>1668356.23</v>
      </c>
      <c r="H198" s="18">
        <v>40083.83</v>
      </c>
      <c r="I198" s="18">
        <v>86227.54</v>
      </c>
      <c r="J198" s="18">
        <v>3196.92</v>
      </c>
      <c r="K198" s="18">
        <v>52276.71</v>
      </c>
      <c r="L198" s="13">
        <f>SUM(F198:K198)</f>
        <v>4506951.07</v>
      </c>
      <c r="M198" s="8"/>
      <c r="N198" s="165"/>
    </row>
    <row r="199" spans="1:14" s="3" customFormat="1" ht="12.2" customHeight="1" x14ac:dyDescent="0.15">
      <c r="A199" s="1" t="s">
        <v>439</v>
      </c>
      <c r="B199" s="2" t="s">
        <v>341</v>
      </c>
      <c r="C199" s="2" t="s">
        <v>291</v>
      </c>
      <c r="D199" s="2" t="s">
        <v>431</v>
      </c>
      <c r="E199" s="6">
        <v>1200</v>
      </c>
      <c r="F199" s="18">
        <v>1006624.7</v>
      </c>
      <c r="G199" s="18">
        <v>571133.09</v>
      </c>
      <c r="H199" s="18">
        <v>189625.78</v>
      </c>
      <c r="I199" s="18">
        <v>2576.35</v>
      </c>
      <c r="J199" s="18">
        <v>2982.41</v>
      </c>
      <c r="K199" s="18">
        <v>0</v>
      </c>
      <c r="L199" s="13">
        <f>SUM(F199:K199)</f>
        <v>1772942.33</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f>55863.85-180</f>
        <v>55683.85</v>
      </c>
      <c r="G201" s="18">
        <v>12692.63</v>
      </c>
      <c r="H201" s="18">
        <f>8430.39+180</f>
        <v>8610.39</v>
      </c>
      <c r="I201" s="18">
        <v>1794.73</v>
      </c>
      <c r="J201" s="18">
        <v>3710.66</v>
      </c>
      <c r="K201" s="18">
        <v>4677.33</v>
      </c>
      <c r="L201" s="13">
        <f>SUM(F201:K201)</f>
        <v>87169.59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795906.71</v>
      </c>
      <c r="G203" s="18">
        <v>499977.56</v>
      </c>
      <c r="H203" s="18">
        <v>200693.31</v>
      </c>
      <c r="I203" s="18">
        <v>6329.37</v>
      </c>
      <c r="J203" s="18">
        <v>388.12</v>
      </c>
      <c r="K203" s="18">
        <v>0</v>
      </c>
      <c r="L203" s="13">
        <f t="shared" ref="L203:L209" si="0">SUM(F203:K203)</f>
        <v>1503295.0700000003</v>
      </c>
      <c r="M203" s="8"/>
      <c r="N203" s="165"/>
    </row>
    <row r="204" spans="1:14" s="3" customFormat="1" ht="12.2" customHeight="1" x14ac:dyDescent="0.15">
      <c r="A204" s="1" t="s">
        <v>443</v>
      </c>
      <c r="B204" s="2" t="s">
        <v>341</v>
      </c>
      <c r="C204" s="2" t="s">
        <v>295</v>
      </c>
      <c r="D204" s="2" t="s">
        <v>431</v>
      </c>
      <c r="E204" s="6">
        <v>2200</v>
      </c>
      <c r="F204" s="18">
        <v>365417.71</v>
      </c>
      <c r="G204" s="18">
        <v>222717.35</v>
      </c>
      <c r="H204" s="18">
        <v>12727.15</v>
      </c>
      <c r="I204" s="18">
        <v>27854.33</v>
      </c>
      <c r="J204" s="18">
        <v>3488.63</v>
      </c>
      <c r="K204" s="18"/>
      <c r="L204" s="13">
        <f t="shared" si="0"/>
        <v>632205.17000000004</v>
      </c>
      <c r="M204" s="8"/>
      <c r="N204" s="165"/>
    </row>
    <row r="205" spans="1:14" s="3" customFormat="1" ht="12.2" customHeight="1" x14ac:dyDescent="0.15">
      <c r="A205" s="1" t="s">
        <v>444</v>
      </c>
      <c r="B205" s="2" t="s">
        <v>341</v>
      </c>
      <c r="C205" s="2" t="s">
        <v>296</v>
      </c>
      <c r="D205" s="2" t="s">
        <v>431</v>
      </c>
      <c r="E205" s="6">
        <v>2300</v>
      </c>
      <c r="F205" s="18">
        <v>365803.56</v>
      </c>
      <c r="G205" s="18">
        <v>154577.38</v>
      </c>
      <c r="H205" s="18">
        <v>69696.53</v>
      </c>
      <c r="I205" s="18">
        <v>5759.75</v>
      </c>
      <c r="J205" s="18">
        <v>974.02</v>
      </c>
      <c r="K205" s="18">
        <v>27778.13</v>
      </c>
      <c r="L205" s="13">
        <f t="shared" si="0"/>
        <v>624589.37</v>
      </c>
      <c r="M205" s="8"/>
      <c r="N205" s="165"/>
    </row>
    <row r="206" spans="1:14" s="3" customFormat="1" ht="12.2" customHeight="1" x14ac:dyDescent="0.15">
      <c r="A206" s="1" t="s">
        <v>445</v>
      </c>
      <c r="B206" s="2" t="s">
        <v>341</v>
      </c>
      <c r="C206" s="2" t="s">
        <v>297</v>
      </c>
      <c r="D206" s="2" t="s">
        <v>431</v>
      </c>
      <c r="E206" s="6">
        <v>2400</v>
      </c>
      <c r="F206" s="18">
        <v>522662.25</v>
      </c>
      <c r="G206" s="18">
        <v>312118.13</v>
      </c>
      <c r="H206" s="18">
        <v>46009.5</v>
      </c>
      <c r="I206" s="18">
        <v>15912.15</v>
      </c>
      <c r="J206" s="18">
        <v>4680.5200000000004</v>
      </c>
      <c r="K206" s="18">
        <v>11640.56</v>
      </c>
      <c r="L206" s="13">
        <f t="shared" si="0"/>
        <v>913023.1100000001</v>
      </c>
      <c r="M206" s="8"/>
      <c r="N206" s="165"/>
    </row>
    <row r="207" spans="1:14" s="3" customFormat="1" ht="12.2" customHeight="1" x14ac:dyDescent="0.15">
      <c r="A207" s="1" t="s">
        <v>446</v>
      </c>
      <c r="B207" s="2" t="s">
        <v>341</v>
      </c>
      <c r="C207" s="2" t="s">
        <v>298</v>
      </c>
      <c r="D207" s="2" t="s">
        <v>431</v>
      </c>
      <c r="E207" s="6">
        <v>2500</v>
      </c>
      <c r="F207" s="18">
        <v>172223.75</v>
      </c>
      <c r="G207" s="18">
        <v>66087.31</v>
      </c>
      <c r="H207" s="18">
        <v>3293.54</v>
      </c>
      <c r="I207" s="18">
        <v>0</v>
      </c>
      <c r="J207" s="18">
        <v>0</v>
      </c>
      <c r="K207" s="18">
        <v>1219.99</v>
      </c>
      <c r="L207" s="13">
        <f t="shared" si="0"/>
        <v>242824.59</v>
      </c>
      <c r="M207" s="8"/>
      <c r="N207" s="165"/>
    </row>
    <row r="208" spans="1:14" s="3" customFormat="1" ht="12.2" customHeight="1" x14ac:dyDescent="0.15">
      <c r="A208" s="1" t="s">
        <v>447</v>
      </c>
      <c r="B208" s="2" t="s">
        <v>341</v>
      </c>
      <c r="C208" s="2" t="s">
        <v>299</v>
      </c>
      <c r="D208" s="2" t="s">
        <v>431</v>
      </c>
      <c r="E208" s="6">
        <v>2600</v>
      </c>
      <c r="F208" s="18">
        <v>435092.8</v>
      </c>
      <c r="G208" s="18">
        <v>269271.75</v>
      </c>
      <c r="H208" s="18">
        <v>917663.18</v>
      </c>
      <c r="I208" s="18">
        <v>265283.07</v>
      </c>
      <c r="J208" s="18">
        <v>7200.49</v>
      </c>
      <c r="K208" s="18">
        <v>2201.0700000000002</v>
      </c>
      <c r="L208" s="13">
        <f t="shared" si="0"/>
        <v>1896712.36</v>
      </c>
      <c r="M208" s="8"/>
      <c r="N208" s="165"/>
    </row>
    <row r="209" spans="1:14" s="3" customFormat="1" ht="12.2" customHeight="1" x14ac:dyDescent="0.15">
      <c r="A209" s="1" t="s">
        <v>448</v>
      </c>
      <c r="B209" s="2" t="s">
        <v>341</v>
      </c>
      <c r="C209" s="2" t="s">
        <v>300</v>
      </c>
      <c r="D209" s="2" t="s">
        <v>431</v>
      </c>
      <c r="E209" s="6">
        <v>2700</v>
      </c>
      <c r="F209" s="18">
        <v>18876.95</v>
      </c>
      <c r="G209" s="18">
        <v>4422.12</v>
      </c>
      <c r="H209" s="18">
        <v>695479.04</v>
      </c>
      <c r="I209" s="18">
        <v>6078</v>
      </c>
      <c r="J209" s="18">
        <v>21664.560000000001</v>
      </c>
      <c r="K209" s="18">
        <v>0</v>
      </c>
      <c r="L209" s="13">
        <f t="shared" si="0"/>
        <v>746520.67</v>
      </c>
      <c r="M209" s="8"/>
      <c r="N209" s="165"/>
    </row>
    <row r="210" spans="1:14" s="3" customFormat="1" ht="12.2" customHeight="1" x14ac:dyDescent="0.15">
      <c r="A210" s="1" t="s">
        <v>449</v>
      </c>
      <c r="B210" s="2" t="s">
        <v>341</v>
      </c>
      <c r="C210" s="2" t="s">
        <v>343</v>
      </c>
      <c r="D210" s="2" t="s">
        <v>431</v>
      </c>
      <c r="E210" s="6">
        <v>2800</v>
      </c>
      <c r="F210" s="18">
        <v>133738.03</v>
      </c>
      <c r="G210" s="18">
        <v>60103.33</v>
      </c>
      <c r="H210" s="18">
        <v>10859.83</v>
      </c>
      <c r="I210" s="18">
        <v>176.65</v>
      </c>
      <c r="J210" s="18">
        <v>0</v>
      </c>
      <c r="K210" s="18">
        <v>38169.9</v>
      </c>
      <c r="L210" s="13">
        <f>SUM(F210:K210)</f>
        <v>243047.73999999996</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6528840.1499999994</v>
      </c>
      <c r="G212" s="38">
        <f t="shared" si="1"/>
        <v>3841456.88</v>
      </c>
      <c r="H212" s="38">
        <f t="shared" si="1"/>
        <v>2194742.08</v>
      </c>
      <c r="I212" s="38">
        <f t="shared" si="1"/>
        <v>417991.94000000006</v>
      </c>
      <c r="J212" s="38">
        <f t="shared" si="1"/>
        <v>48286.33</v>
      </c>
      <c r="K212" s="38">
        <f t="shared" si="1"/>
        <v>137963.69</v>
      </c>
      <c r="L212" s="38">
        <f t="shared" si="1"/>
        <v>13169281.069999998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1173374.24</v>
      </c>
      <c r="G234" s="18">
        <f>685267.63+9482.04</f>
        <v>694749.67</v>
      </c>
      <c r="H234" s="18">
        <v>41570.83</v>
      </c>
      <c r="I234" s="18">
        <v>37584.879999999997</v>
      </c>
      <c r="J234" s="18">
        <v>5472.8</v>
      </c>
      <c r="K234" s="18">
        <v>28964.52</v>
      </c>
      <c r="L234" s="13">
        <f>SUM(F234:K234)</f>
        <v>1981716.9400000002</v>
      </c>
      <c r="M234" s="8"/>
      <c r="N234" s="165"/>
    </row>
    <row r="235" spans="1:14" s="3" customFormat="1" ht="12.2" customHeight="1" x14ac:dyDescent="0.15">
      <c r="A235" s="1" t="s">
        <v>439</v>
      </c>
      <c r="B235" s="2" t="s">
        <v>350</v>
      </c>
      <c r="C235" s="2" t="s">
        <v>291</v>
      </c>
      <c r="D235" s="2" t="s">
        <v>431</v>
      </c>
      <c r="E235" s="6">
        <v>1200</v>
      </c>
      <c r="F235" s="18">
        <v>434733.78</v>
      </c>
      <c r="G235" s="18">
        <v>324842.3</v>
      </c>
      <c r="H235" s="18">
        <v>749443.22</v>
      </c>
      <c r="I235" s="18">
        <v>1035.68</v>
      </c>
      <c r="J235" s="18">
        <v>96</v>
      </c>
      <c r="K235" s="18">
        <v>0</v>
      </c>
      <c r="L235" s="13">
        <f>SUM(F235:K235)</f>
        <v>1510150.98</v>
      </c>
      <c r="M235" s="8"/>
      <c r="N235" s="165"/>
    </row>
    <row r="236" spans="1:14" s="3" customFormat="1" ht="12.2" customHeight="1" x14ac:dyDescent="0.15">
      <c r="A236" s="1" t="s">
        <v>440</v>
      </c>
      <c r="B236" s="2" t="s">
        <v>350</v>
      </c>
      <c r="C236" s="2" t="s">
        <v>292</v>
      </c>
      <c r="D236" s="2" t="s">
        <v>431</v>
      </c>
      <c r="E236" s="6">
        <v>1300</v>
      </c>
      <c r="F236" s="18">
        <f>438365.18+17821.96+6854.56</f>
        <v>463041.7</v>
      </c>
      <c r="G236" s="18">
        <f>194031.7+19693.31+1870.62</f>
        <v>215595.63</v>
      </c>
      <c r="H236" s="18">
        <v>16342.06</v>
      </c>
      <c r="I236" s="18">
        <v>47807.199999999997</v>
      </c>
      <c r="J236" s="18">
        <v>34170.99</v>
      </c>
      <c r="K236" s="18">
        <v>1995</v>
      </c>
      <c r="L236" s="13">
        <f>SUM(F236:K236)</f>
        <v>778952.58000000007</v>
      </c>
      <c r="M236" s="8"/>
      <c r="N236" s="165"/>
    </row>
    <row r="237" spans="1:14" s="3" customFormat="1" ht="12.2" customHeight="1" x14ac:dyDescent="0.15">
      <c r="A237" s="1" t="s">
        <v>441</v>
      </c>
      <c r="B237" s="2" t="s">
        <v>350</v>
      </c>
      <c r="C237" s="2" t="s">
        <v>293</v>
      </c>
      <c r="D237" s="2" t="s">
        <v>431</v>
      </c>
      <c r="E237" s="6">
        <v>1400</v>
      </c>
      <c r="F237" s="18">
        <f>169040.95-600-17821.96-6854.56</f>
        <v>143764.43000000002</v>
      </c>
      <c r="G237" s="18">
        <f>66380.76-135.85-19693.31-1870.62</f>
        <v>44680.979999999989</v>
      </c>
      <c r="H237" s="18">
        <v>30104.83</v>
      </c>
      <c r="I237" s="18">
        <v>25717.54</v>
      </c>
      <c r="J237" s="18">
        <v>7409.28</v>
      </c>
      <c r="K237" s="18">
        <v>15421.88</v>
      </c>
      <c r="L237" s="13">
        <f>SUM(F237:K237)</f>
        <v>267098.94</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368392.22</v>
      </c>
      <c r="G239" s="18">
        <v>210287.63</v>
      </c>
      <c r="H239" s="18">
        <v>15647.01</v>
      </c>
      <c r="I239" s="18">
        <v>2795.71</v>
      </c>
      <c r="J239" s="18">
        <v>0</v>
      </c>
      <c r="K239" s="18">
        <v>800</v>
      </c>
      <c r="L239" s="13">
        <f t="shared" ref="L239:L245" si="4">SUM(F239:K239)</f>
        <v>597922.56999999995</v>
      </c>
      <c r="M239" s="8"/>
      <c r="N239" s="165"/>
    </row>
    <row r="240" spans="1:14" s="3" customFormat="1" ht="12.2" customHeight="1" x14ac:dyDescent="0.15">
      <c r="A240" s="1" t="s">
        <v>443</v>
      </c>
      <c r="B240" s="2" t="s">
        <v>350</v>
      </c>
      <c r="C240" s="2" t="s">
        <v>295</v>
      </c>
      <c r="D240" s="2" t="s">
        <v>431</v>
      </c>
      <c r="E240" s="6">
        <v>2200</v>
      </c>
      <c r="F240" s="18">
        <v>89775</v>
      </c>
      <c r="G240" s="18">
        <v>78438.490000000005</v>
      </c>
      <c r="H240" s="18">
        <v>13453.45</v>
      </c>
      <c r="I240" s="18">
        <v>9989.2999999999993</v>
      </c>
      <c r="J240" s="18">
        <v>0</v>
      </c>
      <c r="K240" s="18">
        <v>0</v>
      </c>
      <c r="L240" s="13">
        <f t="shared" si="4"/>
        <v>191656.24</v>
      </c>
      <c r="M240" s="8"/>
      <c r="N240" s="165"/>
    </row>
    <row r="241" spans="1:14" s="3" customFormat="1" ht="12.2" customHeight="1" x14ac:dyDescent="0.15">
      <c r="A241" s="1" t="s">
        <v>444</v>
      </c>
      <c r="B241" s="2" t="s">
        <v>350</v>
      </c>
      <c r="C241" s="2" t="s">
        <v>296</v>
      </c>
      <c r="D241" s="2" t="s">
        <v>431</v>
      </c>
      <c r="E241" s="6">
        <v>2300</v>
      </c>
      <c r="F241" s="18">
        <v>261722.1</v>
      </c>
      <c r="G241" s="18">
        <v>117460.17</v>
      </c>
      <c r="H241" s="18">
        <v>79901.55</v>
      </c>
      <c r="I241" s="18">
        <v>2830.33</v>
      </c>
      <c r="J241" s="18">
        <v>487</v>
      </c>
      <c r="K241" s="18">
        <v>13888.86</v>
      </c>
      <c r="L241" s="13">
        <f t="shared" si="4"/>
        <v>476290.01</v>
      </c>
      <c r="M241" s="8"/>
      <c r="N241" s="165"/>
    </row>
    <row r="242" spans="1:14" s="3" customFormat="1" ht="12.2" customHeight="1" x14ac:dyDescent="0.15">
      <c r="A242" s="1" t="s">
        <v>445</v>
      </c>
      <c r="B242" s="2" t="s">
        <v>350</v>
      </c>
      <c r="C242" s="2" t="s">
        <v>297</v>
      </c>
      <c r="D242" s="2" t="s">
        <v>431</v>
      </c>
      <c r="E242" s="6">
        <v>2400</v>
      </c>
      <c r="F242" s="18">
        <f>347973.2+600</f>
        <v>348573.2</v>
      </c>
      <c r="G242" s="18">
        <f>209256.06+135.85</f>
        <v>209391.91</v>
      </c>
      <c r="H242" s="18">
        <v>31314.38</v>
      </c>
      <c r="I242" s="18">
        <v>17587.349999999999</v>
      </c>
      <c r="J242" s="18">
        <v>6851.87</v>
      </c>
      <c r="K242" s="18">
        <v>31732.74</v>
      </c>
      <c r="L242" s="13">
        <f t="shared" si="4"/>
        <v>645451.44999999995</v>
      </c>
      <c r="M242" s="8"/>
      <c r="N242" s="165"/>
    </row>
    <row r="243" spans="1:14" s="3" customFormat="1" ht="12.2" customHeight="1" x14ac:dyDescent="0.15">
      <c r="A243" s="1" t="s">
        <v>446</v>
      </c>
      <c r="B243" s="2" t="s">
        <v>350</v>
      </c>
      <c r="C243" s="2" t="s">
        <v>298</v>
      </c>
      <c r="D243" s="2" t="s">
        <v>431</v>
      </c>
      <c r="E243" s="6">
        <v>2500</v>
      </c>
      <c r="F243" s="18">
        <v>86110.58</v>
      </c>
      <c r="G243" s="18">
        <v>33043.160000000003</v>
      </c>
      <c r="H243" s="18">
        <v>1646.75</v>
      </c>
      <c r="I243" s="18">
        <v>0</v>
      </c>
      <c r="J243" s="18">
        <v>0</v>
      </c>
      <c r="K243" s="18">
        <v>609.99</v>
      </c>
      <c r="L243" s="13">
        <f t="shared" si="4"/>
        <v>121410.48000000001</v>
      </c>
      <c r="M243" s="8"/>
      <c r="N243" s="165"/>
    </row>
    <row r="244" spans="1:14" s="3" customFormat="1" ht="12.2" customHeight="1" x14ac:dyDescent="0.15">
      <c r="A244" s="1" t="s">
        <v>447</v>
      </c>
      <c r="B244" s="2" t="s">
        <v>350</v>
      </c>
      <c r="C244" s="2" t="s">
        <v>299</v>
      </c>
      <c r="D244" s="2" t="s">
        <v>431</v>
      </c>
      <c r="E244" s="6">
        <v>2600</v>
      </c>
      <c r="F244" s="18">
        <v>281835.46999999997</v>
      </c>
      <c r="G244" s="18">
        <v>136625.92000000001</v>
      </c>
      <c r="H244" s="18">
        <v>1009412.07</v>
      </c>
      <c r="I244" s="18">
        <v>232600.56</v>
      </c>
      <c r="J244" s="18">
        <v>3463.06</v>
      </c>
      <c r="K244" s="18">
        <v>1700.52</v>
      </c>
      <c r="L244" s="13">
        <f t="shared" si="4"/>
        <v>1665637.6</v>
      </c>
      <c r="M244" s="8"/>
      <c r="N244" s="165"/>
    </row>
    <row r="245" spans="1:14" s="3" customFormat="1" ht="12.2" customHeight="1" x14ac:dyDescent="0.15">
      <c r="A245" s="1" t="s">
        <v>448</v>
      </c>
      <c r="B245" s="2" t="s">
        <v>350</v>
      </c>
      <c r="C245" s="2" t="s">
        <v>300</v>
      </c>
      <c r="D245" s="2" t="s">
        <v>431</v>
      </c>
      <c r="E245" s="6">
        <v>2700</v>
      </c>
      <c r="F245" s="18">
        <v>18831.53</v>
      </c>
      <c r="G245" s="18">
        <v>3094.84</v>
      </c>
      <c r="H245" s="18">
        <v>605965.18999999994</v>
      </c>
      <c r="I245" s="18">
        <v>3403.46</v>
      </c>
      <c r="J245" s="18">
        <v>10832.29</v>
      </c>
      <c r="K245" s="18">
        <v>0</v>
      </c>
      <c r="L245" s="13">
        <f t="shared" si="4"/>
        <v>642127.30999999994</v>
      </c>
      <c r="M245" s="8"/>
      <c r="N245" s="165"/>
    </row>
    <row r="246" spans="1:14" s="3" customFormat="1" ht="12.2" customHeight="1" x14ac:dyDescent="0.15">
      <c r="A246" s="1" t="s">
        <v>449</v>
      </c>
      <c r="B246" s="2" t="s">
        <v>350</v>
      </c>
      <c r="C246" s="2" t="s">
        <v>343</v>
      </c>
      <c r="D246" s="2" t="s">
        <v>431</v>
      </c>
      <c r="E246" s="6">
        <v>2800</v>
      </c>
      <c r="F246" s="18">
        <v>112843.46</v>
      </c>
      <c r="G246" s="18">
        <v>45741.120000000003</v>
      </c>
      <c r="H246" s="18">
        <v>5429.83</v>
      </c>
      <c r="I246" s="18">
        <v>88.33</v>
      </c>
      <c r="J246" s="18">
        <v>0</v>
      </c>
      <c r="K246" s="18">
        <v>19084.669999999998</v>
      </c>
      <c r="L246" s="13">
        <f>SUM(F246:K246)</f>
        <v>183187.40999999997</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3782997.7100000004</v>
      </c>
      <c r="G248" s="38">
        <f t="shared" si="5"/>
        <v>2113951.8199999998</v>
      </c>
      <c r="H248" s="38">
        <f t="shared" si="5"/>
        <v>2600231.17</v>
      </c>
      <c r="I248" s="38">
        <f t="shared" si="5"/>
        <v>381440.34</v>
      </c>
      <c r="J248" s="38">
        <f t="shared" si="5"/>
        <v>68783.290000000008</v>
      </c>
      <c r="K248" s="38">
        <f t="shared" si="5"/>
        <v>114198.18000000001</v>
      </c>
      <c r="L248" s="38">
        <f t="shared" si="5"/>
        <v>9061602.5100000016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v>2585.23</v>
      </c>
      <c r="G255" s="18">
        <v>197.77</v>
      </c>
      <c r="H255" s="18"/>
      <c r="I255" s="18">
        <v>706.9</v>
      </c>
      <c r="J255" s="18"/>
      <c r="K255" s="18"/>
      <c r="L255" s="13">
        <f t="shared" si="6"/>
        <v>3489.9</v>
      </c>
      <c r="M255" s="8"/>
      <c r="N255" s="165"/>
    </row>
    <row r="256" spans="1:14" s="3" customFormat="1" ht="12.2" customHeight="1" thickBot="1" x14ac:dyDescent="0.2">
      <c r="A256" s="1" t="s">
        <v>584</v>
      </c>
      <c r="B256" s="2" t="s">
        <v>352</v>
      </c>
      <c r="C256" s="6">
        <v>6</v>
      </c>
      <c r="D256" s="2" t="s">
        <v>431</v>
      </c>
      <c r="E256" s="6">
        <v>4000</v>
      </c>
      <c r="F256" s="18"/>
      <c r="G256" s="18"/>
      <c r="H256" s="18">
        <v>24703</v>
      </c>
      <c r="I256" s="18"/>
      <c r="J256" s="18"/>
      <c r="K256" s="18"/>
      <c r="L256" s="13">
        <f t="shared" si="6"/>
        <v>24703</v>
      </c>
      <c r="M256" s="8"/>
      <c r="N256" s="165"/>
    </row>
    <row r="257" spans="1:14" s="3" customFormat="1" ht="12.2" customHeight="1" thickTop="1" thickBot="1" x14ac:dyDescent="0.2">
      <c r="A257" s="35" t="s">
        <v>461</v>
      </c>
      <c r="B257" s="37">
        <v>10</v>
      </c>
      <c r="C257" s="37">
        <v>7</v>
      </c>
      <c r="D257" s="36" t="s">
        <v>431</v>
      </c>
      <c r="E257" s="37"/>
      <c r="F257" s="38">
        <f t="shared" ref="F257:K257" si="7">SUM(F251:F256)</f>
        <v>2585.23</v>
      </c>
      <c r="G257" s="38">
        <f t="shared" si="7"/>
        <v>197.77</v>
      </c>
      <c r="H257" s="38">
        <f t="shared" si="7"/>
        <v>24703</v>
      </c>
      <c r="I257" s="38">
        <f t="shared" si="7"/>
        <v>706.9</v>
      </c>
      <c r="J257" s="38">
        <f t="shared" si="7"/>
        <v>0</v>
      </c>
      <c r="K257" s="38">
        <f t="shared" si="7"/>
        <v>0</v>
      </c>
      <c r="L257" s="38">
        <f>SUM(F257:K257)</f>
        <v>28192.9</v>
      </c>
      <c r="M257" s="8"/>
      <c r="N257" s="165"/>
    </row>
    <row r="258" spans="1:14" s="3" customFormat="1" ht="12.2" customHeight="1" thickTop="1" x14ac:dyDescent="0.15">
      <c r="A258" s="35" t="s">
        <v>462</v>
      </c>
      <c r="B258" s="37">
        <v>10</v>
      </c>
      <c r="C258" s="37">
        <v>8</v>
      </c>
      <c r="D258" s="36" t="s">
        <v>431</v>
      </c>
      <c r="E258" s="37"/>
      <c r="F258" s="38">
        <f t="shared" ref="F258:L258" si="8">F212+F230+F248+F257</f>
        <v>10314423.09</v>
      </c>
      <c r="G258" s="38">
        <f t="shared" si="8"/>
        <v>5955606.4699999988</v>
      </c>
      <c r="H258" s="38">
        <f t="shared" si="8"/>
        <v>4819676.25</v>
      </c>
      <c r="I258" s="38">
        <f t="shared" si="8"/>
        <v>800139.18</v>
      </c>
      <c r="J258" s="38">
        <f t="shared" si="8"/>
        <v>117069.62000000001</v>
      </c>
      <c r="K258" s="38">
        <f t="shared" si="8"/>
        <v>252161.87</v>
      </c>
      <c r="L258" s="38">
        <f t="shared" si="8"/>
        <v>22259076.479999997</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14214.15</v>
      </c>
      <c r="L264" s="13">
        <f>SUM(F264:K264)</f>
        <v>14214.15</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2030785.67</v>
      </c>
      <c r="L267" s="13">
        <f>SUM(F267:K267)</f>
        <v>2030785.67</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42223.58</v>
      </c>
      <c r="L269" s="13">
        <f>SUM(F269:K269)</f>
        <v>42223.58</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2087223.4</v>
      </c>
      <c r="L271" s="38">
        <f t="shared" si="9"/>
        <v>2087223.4</v>
      </c>
      <c r="M271" s="8"/>
      <c r="N271" s="165"/>
    </row>
    <row r="272" spans="1:14" s="33" customFormat="1" ht="12.2" customHeight="1" thickTop="1" x14ac:dyDescent="0.2">
      <c r="A272" s="40" t="s">
        <v>464</v>
      </c>
      <c r="B272" s="37">
        <v>10</v>
      </c>
      <c r="C272" s="37">
        <v>18</v>
      </c>
      <c r="D272" s="36" t="s">
        <v>431</v>
      </c>
      <c r="E272" s="37"/>
      <c r="F272" s="39">
        <f t="shared" ref="F272:L272" si="11">F258+F271</f>
        <v>10314423.09</v>
      </c>
      <c r="G272" s="39">
        <f t="shared" si="11"/>
        <v>5955606.4699999988</v>
      </c>
      <c r="H272" s="39">
        <f t="shared" si="11"/>
        <v>4819676.25</v>
      </c>
      <c r="I272" s="39">
        <f t="shared" si="11"/>
        <v>800139.18</v>
      </c>
      <c r="J272" s="39">
        <f t="shared" si="11"/>
        <v>117069.62000000001</v>
      </c>
      <c r="K272" s="39">
        <f t="shared" si="11"/>
        <v>2339385.27</v>
      </c>
      <c r="L272" s="39">
        <f t="shared" si="11"/>
        <v>24346299.879999995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610129.54</v>
      </c>
      <c r="G277" s="18">
        <v>258835.25</v>
      </c>
      <c r="H277" s="18">
        <v>0</v>
      </c>
      <c r="I277" s="18">
        <v>312799.12</v>
      </c>
      <c r="J277" s="18">
        <v>36780.080000000002</v>
      </c>
      <c r="K277" s="18">
        <v>0</v>
      </c>
      <c r="L277" s="13">
        <f>SUM(F277:K277)</f>
        <v>1218543.9900000002</v>
      </c>
      <c r="M277" s="8"/>
      <c r="N277" s="165"/>
    </row>
    <row r="278" spans="1:14" s="3" customFormat="1" ht="12.2" customHeight="1" x14ac:dyDescent="0.15">
      <c r="A278" s="1" t="s">
        <v>439</v>
      </c>
      <c r="B278" s="2" t="s">
        <v>357</v>
      </c>
      <c r="C278" s="2" t="s">
        <v>291</v>
      </c>
      <c r="D278" s="2" t="s">
        <v>431</v>
      </c>
      <c r="E278" s="6">
        <v>1200</v>
      </c>
      <c r="F278" s="18">
        <v>64692.55</v>
      </c>
      <c r="G278" s="18">
        <v>6573.3</v>
      </c>
      <c r="H278" s="18">
        <v>20048.75</v>
      </c>
      <c r="I278" s="18">
        <v>4145.28</v>
      </c>
      <c r="J278" s="18">
        <v>3571.24</v>
      </c>
      <c r="K278" s="18">
        <v>0</v>
      </c>
      <c r="L278" s="13">
        <f>SUM(F278:K278)</f>
        <v>99031.12000000001</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62357</v>
      </c>
      <c r="G280" s="18">
        <v>17764.240000000002</v>
      </c>
      <c r="H280" s="18">
        <v>20918.05</v>
      </c>
      <c r="I280" s="18">
        <v>1464.75</v>
      </c>
      <c r="J280" s="18">
        <v>0</v>
      </c>
      <c r="K280" s="18">
        <v>0</v>
      </c>
      <c r="L280" s="13">
        <f>SUM(F280:K280)</f>
        <v>102504.04000000001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81272.47</v>
      </c>
      <c r="G282" s="18">
        <v>23555.79</v>
      </c>
      <c r="H282" s="18">
        <v>209383.72</v>
      </c>
      <c r="I282" s="18">
        <v>26583.25</v>
      </c>
      <c r="J282" s="18">
        <v>4447.17</v>
      </c>
      <c r="K282" s="18">
        <v>0</v>
      </c>
      <c r="L282" s="13">
        <f t="shared" ref="L282:L288" si="12">SUM(F282:K282)</f>
        <v>345242.39999999997</v>
      </c>
      <c r="M282" s="8"/>
      <c r="N282" s="165"/>
    </row>
    <row r="283" spans="1:14" s="3" customFormat="1" ht="12.2" customHeight="1" x14ac:dyDescent="0.15">
      <c r="A283" s="1" t="s">
        <v>443</v>
      </c>
      <c r="B283" s="2" t="s">
        <v>357</v>
      </c>
      <c r="C283" s="2" t="s">
        <v>295</v>
      </c>
      <c r="D283" s="2" t="s">
        <v>431</v>
      </c>
      <c r="E283" s="6">
        <v>2200</v>
      </c>
      <c r="F283" s="18">
        <v>87523.87</v>
      </c>
      <c r="G283" s="18">
        <v>18576.86</v>
      </c>
      <c r="H283" s="18">
        <v>100610.02</v>
      </c>
      <c r="I283" s="18">
        <v>20342.419999999998</v>
      </c>
      <c r="J283" s="18">
        <v>0</v>
      </c>
      <c r="K283" s="18"/>
      <c r="L283" s="13">
        <f t="shared" si="12"/>
        <v>227053.16999999998</v>
      </c>
      <c r="M283" s="8"/>
      <c r="N283" s="165"/>
    </row>
    <row r="284" spans="1:14" s="3" customFormat="1" ht="12.2" customHeight="1" x14ac:dyDescent="0.15">
      <c r="A284" s="1" t="s">
        <v>444</v>
      </c>
      <c r="B284" s="2" t="s">
        <v>357</v>
      </c>
      <c r="C284" s="2" t="s">
        <v>296</v>
      </c>
      <c r="D284" s="2" t="s">
        <v>431</v>
      </c>
      <c r="E284" s="6">
        <v>2300</v>
      </c>
      <c r="F284" s="18">
        <v>0</v>
      </c>
      <c r="G284" s="18">
        <v>0</v>
      </c>
      <c r="H284" s="18">
        <v>934.92</v>
      </c>
      <c r="I284" s="18">
        <v>0</v>
      </c>
      <c r="J284" s="18">
        <v>0</v>
      </c>
      <c r="K284" s="18">
        <v>2173.7600000000002</v>
      </c>
      <c r="L284" s="13">
        <f t="shared" si="12"/>
        <v>3108.6800000000003</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2143.31</v>
      </c>
      <c r="G286" s="18">
        <v>200.07</v>
      </c>
      <c r="H286" s="18">
        <v>0</v>
      </c>
      <c r="I286" s="18">
        <v>5147.0600000000004</v>
      </c>
      <c r="J286" s="18">
        <v>0</v>
      </c>
      <c r="K286" s="18">
        <v>0</v>
      </c>
      <c r="L286" s="13">
        <f t="shared" si="12"/>
        <v>7490.4400000000005</v>
      </c>
      <c r="M286" s="8"/>
      <c r="N286" s="165"/>
    </row>
    <row r="287" spans="1:14" s="3" customFormat="1" ht="12.2" customHeight="1" x14ac:dyDescent="0.15">
      <c r="A287" s="1" t="s">
        <v>447</v>
      </c>
      <c r="B287" s="2" t="s">
        <v>357</v>
      </c>
      <c r="C287" s="2" t="s">
        <v>299</v>
      </c>
      <c r="D287" s="2" t="s">
        <v>431</v>
      </c>
      <c r="E287" s="6">
        <v>2600</v>
      </c>
      <c r="F287" s="18">
        <v>0</v>
      </c>
      <c r="G287" s="18">
        <v>0</v>
      </c>
      <c r="H287" s="18">
        <v>23115.79</v>
      </c>
      <c r="I287" s="18">
        <v>21832.78</v>
      </c>
      <c r="J287" s="18">
        <v>6546.75</v>
      </c>
      <c r="K287" s="18">
        <v>0</v>
      </c>
      <c r="L287" s="13">
        <f t="shared" si="12"/>
        <v>51495.32</v>
      </c>
      <c r="M287" s="8"/>
      <c r="N287" s="165"/>
    </row>
    <row r="288" spans="1:14" s="3" customFormat="1" ht="12.2" customHeight="1" x14ac:dyDescent="0.15">
      <c r="A288" s="1" t="s">
        <v>448</v>
      </c>
      <c r="B288" s="2" t="s">
        <v>357</v>
      </c>
      <c r="C288" s="2" t="s">
        <v>300</v>
      </c>
      <c r="D288" s="2" t="s">
        <v>431</v>
      </c>
      <c r="E288" s="6">
        <v>2700</v>
      </c>
      <c r="F288" s="18">
        <v>1307.33</v>
      </c>
      <c r="G288" s="18">
        <v>203.22</v>
      </c>
      <c r="H288" s="18">
        <v>11211.17</v>
      </c>
      <c r="I288" s="18">
        <v>3250.48</v>
      </c>
      <c r="J288" s="18">
        <v>0</v>
      </c>
      <c r="K288" s="18">
        <v>0</v>
      </c>
      <c r="L288" s="13">
        <f t="shared" si="12"/>
        <v>15972.199999999999</v>
      </c>
      <c r="M288" s="8"/>
      <c r="N288" s="165"/>
    </row>
    <row r="289" spans="1:14" s="3" customFormat="1" ht="12.2" customHeight="1" x14ac:dyDescent="0.15">
      <c r="A289" s="1" t="s">
        <v>449</v>
      </c>
      <c r="B289" s="2" t="s">
        <v>357</v>
      </c>
      <c r="C289" s="2" t="s">
        <v>343</v>
      </c>
      <c r="D289" s="2" t="s">
        <v>431</v>
      </c>
      <c r="E289" s="6">
        <v>2800</v>
      </c>
      <c r="F289" s="18">
        <v>0</v>
      </c>
      <c r="G289" s="18">
        <v>0</v>
      </c>
      <c r="H289" s="18">
        <v>13956.68</v>
      </c>
      <c r="I289" s="18">
        <v>0</v>
      </c>
      <c r="J289" s="18">
        <v>0</v>
      </c>
      <c r="K289" s="18">
        <v>0</v>
      </c>
      <c r="L289" s="13">
        <f>SUM(F289:K289)</f>
        <v>13956.68</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909426.07000000007</v>
      </c>
      <c r="G291" s="39">
        <f t="shared" si="13"/>
        <v>325708.72999999992</v>
      </c>
      <c r="H291" s="39">
        <f t="shared" si="13"/>
        <v>400179.1</v>
      </c>
      <c r="I291" s="39">
        <f t="shared" si="13"/>
        <v>395565.14</v>
      </c>
      <c r="J291" s="39">
        <f t="shared" si="13"/>
        <v>51345.24</v>
      </c>
      <c r="K291" s="39">
        <f t="shared" si="13"/>
        <v>2173.7600000000002</v>
      </c>
      <c r="L291" s="38">
        <f t="shared" si="13"/>
        <v>2084398.04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142271.13</v>
      </c>
      <c r="G315" s="18">
        <v>48929.27</v>
      </c>
      <c r="H315" s="18">
        <v>0</v>
      </c>
      <c r="I315" s="18">
        <v>245554.87</v>
      </c>
      <c r="J315" s="18">
        <v>4532</v>
      </c>
      <c r="K315" s="18">
        <v>0</v>
      </c>
      <c r="L315" s="13">
        <f>SUM(F315:K315)</f>
        <v>441287.27</v>
      </c>
      <c r="M315" s="8"/>
      <c r="N315" s="165"/>
    </row>
    <row r="316" spans="1:14" s="3" customFormat="1" ht="12.2" customHeight="1" x14ac:dyDescent="0.15">
      <c r="A316" s="1" t="s">
        <v>439</v>
      </c>
      <c r="B316" s="2" t="s">
        <v>359</v>
      </c>
      <c r="C316" s="2" t="s">
        <v>291</v>
      </c>
      <c r="D316" s="2" t="s">
        <v>431</v>
      </c>
      <c r="E316" s="6">
        <v>1200</v>
      </c>
      <c r="F316" s="18">
        <v>24004.89</v>
      </c>
      <c r="G316" s="18">
        <v>1829.02</v>
      </c>
      <c r="H316" s="18">
        <v>0</v>
      </c>
      <c r="I316" s="18">
        <v>2401.4499999999998</v>
      </c>
      <c r="J316" s="18">
        <v>0</v>
      </c>
      <c r="K316" s="18">
        <v>119</v>
      </c>
      <c r="L316" s="13">
        <f>SUM(F316:K316)</f>
        <v>28354.36</v>
      </c>
      <c r="M316" s="8"/>
      <c r="N316" s="165"/>
    </row>
    <row r="317" spans="1:14" s="3" customFormat="1" ht="12.2" customHeight="1" x14ac:dyDescent="0.15">
      <c r="A317" s="1" t="s">
        <v>440</v>
      </c>
      <c r="B317" s="2" t="s">
        <v>359</v>
      </c>
      <c r="C317" s="2" t="s">
        <v>292</v>
      </c>
      <c r="D317" s="2" t="s">
        <v>431</v>
      </c>
      <c r="E317" s="6">
        <v>1300</v>
      </c>
      <c r="F317" s="18">
        <v>37520.54</v>
      </c>
      <c r="G317" s="18">
        <v>10669.16</v>
      </c>
      <c r="H317" s="18">
        <v>6453.9</v>
      </c>
      <c r="I317" s="18">
        <v>20716.36</v>
      </c>
      <c r="J317" s="18">
        <v>35508.879999999997</v>
      </c>
      <c r="K317" s="18">
        <v>811.12</v>
      </c>
      <c r="L317" s="13">
        <f>SUM(F317:K317)</f>
        <v>111679.95999999999</v>
      </c>
      <c r="M317" s="8"/>
      <c r="N317" s="165"/>
    </row>
    <row r="318" spans="1:14" s="3" customFormat="1" ht="12.2" customHeight="1" x14ac:dyDescent="0.15">
      <c r="A318" s="1" t="s">
        <v>441</v>
      </c>
      <c r="B318" s="2" t="s">
        <v>359</v>
      </c>
      <c r="C318" s="2" t="s">
        <v>293</v>
      </c>
      <c r="D318" s="2" t="s">
        <v>431</v>
      </c>
      <c r="E318" s="6">
        <v>1400</v>
      </c>
      <c r="F318" s="18">
        <v>16287.5</v>
      </c>
      <c r="G318" s="18">
        <v>4660.41</v>
      </c>
      <c r="H318" s="18">
        <v>22312.5</v>
      </c>
      <c r="I318" s="18">
        <v>27239.81</v>
      </c>
      <c r="J318" s="18">
        <v>0</v>
      </c>
      <c r="K318" s="18">
        <v>1300</v>
      </c>
      <c r="L318" s="13">
        <f>SUM(F318:K318)</f>
        <v>71800.22</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44642.080000000002</v>
      </c>
      <c r="G320" s="18">
        <v>12573.01</v>
      </c>
      <c r="H320" s="18">
        <v>53558.1</v>
      </c>
      <c r="I320" s="18">
        <v>7877.64</v>
      </c>
      <c r="J320" s="18">
        <v>0</v>
      </c>
      <c r="K320" s="18">
        <v>3876.48</v>
      </c>
      <c r="L320" s="13">
        <f t="shared" ref="L320:L326" si="16">SUM(F320:K320)</f>
        <v>122527.31</v>
      </c>
      <c r="M320" s="8"/>
      <c r="N320" s="165"/>
    </row>
    <row r="321" spans="1:14" s="3" customFormat="1" ht="12.2" customHeight="1" x14ac:dyDescent="0.15">
      <c r="A321" s="1" t="s">
        <v>443</v>
      </c>
      <c r="B321" s="2" t="s">
        <v>359</v>
      </c>
      <c r="C321" s="2" t="s">
        <v>295</v>
      </c>
      <c r="D321" s="2" t="s">
        <v>431</v>
      </c>
      <c r="E321" s="6">
        <v>2200</v>
      </c>
      <c r="F321" s="18">
        <v>66092.990000000005</v>
      </c>
      <c r="G321" s="18">
        <v>16930.68</v>
      </c>
      <c r="H321" s="18">
        <v>59908.22</v>
      </c>
      <c r="I321" s="18">
        <v>12877.64</v>
      </c>
      <c r="J321" s="18">
        <v>2496.12</v>
      </c>
      <c r="K321" s="18">
        <v>140</v>
      </c>
      <c r="L321" s="13">
        <f t="shared" si="16"/>
        <v>158445.65000000002</v>
      </c>
      <c r="M321" s="8"/>
      <c r="N321" s="165"/>
    </row>
    <row r="322" spans="1:14" s="3" customFormat="1" ht="12.2" customHeight="1" x14ac:dyDescent="0.15">
      <c r="A322" s="1" t="s">
        <v>444</v>
      </c>
      <c r="B322" s="2" t="s">
        <v>359</v>
      </c>
      <c r="C322" s="2" t="s">
        <v>296</v>
      </c>
      <c r="D322" s="2" t="s">
        <v>431</v>
      </c>
      <c r="E322" s="6">
        <v>2300</v>
      </c>
      <c r="F322" s="18">
        <v>0</v>
      </c>
      <c r="G322" s="18">
        <v>0</v>
      </c>
      <c r="H322" s="18">
        <v>460.48</v>
      </c>
      <c r="I322" s="18">
        <v>0</v>
      </c>
      <c r="J322" s="18">
        <v>0</v>
      </c>
      <c r="K322" s="18">
        <v>531.49</v>
      </c>
      <c r="L322" s="13">
        <f t="shared" si="16"/>
        <v>991.97</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1065.19</v>
      </c>
      <c r="G324" s="18">
        <v>98.2</v>
      </c>
      <c r="H324" s="18">
        <v>0</v>
      </c>
      <c r="I324" s="18">
        <v>4070.29</v>
      </c>
      <c r="J324" s="18">
        <v>0</v>
      </c>
      <c r="K324" s="18">
        <v>0</v>
      </c>
      <c r="L324" s="13">
        <f t="shared" si="16"/>
        <v>5233.68</v>
      </c>
      <c r="M324" s="8"/>
      <c r="N324" s="165"/>
    </row>
    <row r="325" spans="1:14" s="3" customFormat="1" ht="12.2" customHeight="1" x14ac:dyDescent="0.15">
      <c r="A325" s="1" t="s">
        <v>447</v>
      </c>
      <c r="B325" s="2" t="s">
        <v>359</v>
      </c>
      <c r="C325" s="2" t="s">
        <v>299</v>
      </c>
      <c r="D325" s="2" t="s">
        <v>431</v>
      </c>
      <c r="E325" s="6">
        <v>2600</v>
      </c>
      <c r="F325" s="18">
        <v>0</v>
      </c>
      <c r="G325" s="18">
        <v>0</v>
      </c>
      <c r="H325" s="18">
        <v>2209.37</v>
      </c>
      <c r="I325" s="18">
        <v>8879.35</v>
      </c>
      <c r="J325" s="18">
        <v>2182.25</v>
      </c>
      <c r="K325" s="18">
        <v>0</v>
      </c>
      <c r="L325" s="13">
        <f t="shared" si="16"/>
        <v>13270.970000000001</v>
      </c>
      <c r="M325" s="8"/>
      <c r="N325" s="165"/>
    </row>
    <row r="326" spans="1:14" s="3" customFormat="1" ht="12.2" customHeight="1" x14ac:dyDescent="0.15">
      <c r="A326" s="1" t="s">
        <v>448</v>
      </c>
      <c r="B326" s="2" t="s">
        <v>359</v>
      </c>
      <c r="C326" s="2" t="s">
        <v>300</v>
      </c>
      <c r="D326" s="2" t="s">
        <v>431</v>
      </c>
      <c r="E326" s="6">
        <v>2700</v>
      </c>
      <c r="F326" s="18">
        <v>4415.03</v>
      </c>
      <c r="G326" s="18">
        <v>956</v>
      </c>
      <c r="H326" s="18">
        <v>6463.91</v>
      </c>
      <c r="I326" s="18">
        <v>0</v>
      </c>
      <c r="J326" s="18">
        <v>0</v>
      </c>
      <c r="K326" s="18">
        <v>0</v>
      </c>
      <c r="L326" s="13">
        <f t="shared" si="16"/>
        <v>11834.939999999999</v>
      </c>
      <c r="M326" s="8"/>
      <c r="N326" s="165"/>
    </row>
    <row r="327" spans="1:14" s="3" customFormat="1" ht="12.2" customHeight="1" x14ac:dyDescent="0.15">
      <c r="A327" s="1" t="s">
        <v>449</v>
      </c>
      <c r="B327" s="2" t="s">
        <v>359</v>
      </c>
      <c r="C327" s="2" t="s">
        <v>343</v>
      </c>
      <c r="D327" s="2" t="s">
        <v>431</v>
      </c>
      <c r="E327" s="6">
        <v>2800</v>
      </c>
      <c r="F327" s="18">
        <v>0</v>
      </c>
      <c r="G327" s="18">
        <v>0</v>
      </c>
      <c r="H327" s="18">
        <v>6818.32</v>
      </c>
      <c r="I327" s="18">
        <v>0</v>
      </c>
      <c r="J327" s="18">
        <v>0</v>
      </c>
      <c r="K327" s="18">
        <v>0</v>
      </c>
      <c r="L327" s="13">
        <f>SUM(F327:K327)</f>
        <v>6818.32</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336299.35000000003</v>
      </c>
      <c r="G329" s="39">
        <f t="shared" si="17"/>
        <v>96645.749999999985</v>
      </c>
      <c r="H329" s="39">
        <f t="shared" si="17"/>
        <v>158184.80000000002</v>
      </c>
      <c r="I329" s="39">
        <f t="shared" si="17"/>
        <v>329617.40999999997</v>
      </c>
      <c r="J329" s="39">
        <f t="shared" si="17"/>
        <v>44719.25</v>
      </c>
      <c r="K329" s="39">
        <f t="shared" si="17"/>
        <v>6778.09</v>
      </c>
      <c r="L329" s="38">
        <f t="shared" si="17"/>
        <v>972244.64999999979</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v>2908.03</v>
      </c>
      <c r="J336" s="18"/>
      <c r="K336" s="18"/>
      <c r="L336" s="13">
        <f t="shared" si="18"/>
        <v>2908.03</v>
      </c>
      <c r="M336" s="8"/>
      <c r="N336" s="165"/>
    </row>
    <row r="337" spans="1:43" s="3" customFormat="1" ht="12.2" customHeight="1" thickBot="1" x14ac:dyDescent="0.2">
      <c r="A337" s="1" t="s">
        <v>584</v>
      </c>
      <c r="B337" s="6">
        <v>14</v>
      </c>
      <c r="C337" s="6">
        <v>5</v>
      </c>
      <c r="D337" s="2" t="s">
        <v>431</v>
      </c>
      <c r="E337" s="6">
        <v>4000</v>
      </c>
      <c r="F337" s="18"/>
      <c r="G337" s="18"/>
      <c r="H337" s="18">
        <v>1409723.66</v>
      </c>
      <c r="I337" s="18"/>
      <c r="J337" s="18"/>
      <c r="K337" s="18"/>
      <c r="L337" s="13">
        <f t="shared" si="18"/>
        <v>1409723.66</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1409723.66</v>
      </c>
      <c r="I338" s="38">
        <f t="shared" si="19"/>
        <v>2908.03</v>
      </c>
      <c r="J338" s="38">
        <f t="shared" si="19"/>
        <v>0</v>
      </c>
      <c r="K338" s="38">
        <f t="shared" si="19"/>
        <v>0</v>
      </c>
      <c r="L338" s="38">
        <f t="shared" si="18"/>
        <v>1412631.69</v>
      </c>
      <c r="M338" s="8"/>
      <c r="N338" s="165"/>
    </row>
    <row r="339" spans="1:43" s="3" customFormat="1" ht="12.2" customHeight="1" thickTop="1" x14ac:dyDescent="0.15">
      <c r="A339" s="35" t="s">
        <v>468</v>
      </c>
      <c r="B339" s="37">
        <v>14</v>
      </c>
      <c r="C339" s="37">
        <v>7</v>
      </c>
      <c r="D339" s="36" t="s">
        <v>431</v>
      </c>
      <c r="E339" s="37"/>
      <c r="F339" s="38">
        <f t="shared" ref="F339:L339" si="20">F291+F310+F329+F338</f>
        <v>1245725.4200000002</v>
      </c>
      <c r="G339" s="38">
        <f t="shared" si="20"/>
        <v>422354.47999999992</v>
      </c>
      <c r="H339" s="38">
        <f t="shared" si="20"/>
        <v>1968087.56</v>
      </c>
      <c r="I339" s="38">
        <f t="shared" si="20"/>
        <v>728090.58000000007</v>
      </c>
      <c r="J339" s="38">
        <f t="shared" si="20"/>
        <v>96064.489999999991</v>
      </c>
      <c r="K339" s="38">
        <f t="shared" si="20"/>
        <v>8951.85</v>
      </c>
      <c r="L339" s="38">
        <f t="shared" si="20"/>
        <v>4469274.38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57326.51</v>
      </c>
      <c r="L345" s="13">
        <f t="shared" ref="L345:L351" si="21">SUM(F345:K345)</f>
        <v>57326.51</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57326.51</v>
      </c>
      <c r="L352" s="38">
        <f>SUM(L342:L351)</f>
        <v>57326.51</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1245725.4200000002</v>
      </c>
      <c r="G353" s="38">
        <f>G339</f>
        <v>422354.47999999992</v>
      </c>
      <c r="H353" s="38">
        <f>H339</f>
        <v>1968087.56</v>
      </c>
      <c r="I353" s="38">
        <f>I339</f>
        <v>728090.58000000007</v>
      </c>
      <c r="J353" s="38">
        <f>J339</f>
        <v>96064.489999999991</v>
      </c>
      <c r="K353" s="38">
        <f>K339+K352</f>
        <v>66278.36</v>
      </c>
      <c r="L353" s="38">
        <f>L339+L352</f>
        <v>4526600.8899999997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151652.25</v>
      </c>
      <c r="G359" s="18">
        <v>95971.91</v>
      </c>
      <c r="H359" s="18">
        <v>1200.56</v>
      </c>
      <c r="I359" s="18">
        <v>228073.26</v>
      </c>
      <c r="J359" s="18">
        <v>3041</v>
      </c>
      <c r="K359" s="18">
        <v>2936.34</v>
      </c>
      <c r="L359" s="13">
        <f>SUM(F359:K359)</f>
        <v>482875.32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v>83783.360000000001</v>
      </c>
      <c r="G361" s="18">
        <v>43634.2</v>
      </c>
      <c r="H361" s="18">
        <v>538.15</v>
      </c>
      <c r="I361" s="18">
        <v>96458.13</v>
      </c>
      <c r="J361" s="18">
        <v>3041</v>
      </c>
      <c r="K361" s="18">
        <v>1468.16</v>
      </c>
      <c r="L361" s="13">
        <f>SUM(F361:K361)</f>
        <v>228923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235435.61</v>
      </c>
      <c r="G363" s="38">
        <f t="shared" si="22"/>
        <v>139606.10999999999</v>
      </c>
      <c r="H363" s="38">
        <f t="shared" si="22"/>
        <v>1738.71</v>
      </c>
      <c r="I363" s="38">
        <f t="shared" si="22"/>
        <v>324531.39</v>
      </c>
      <c r="J363" s="38">
        <f t="shared" si="22"/>
        <v>6082</v>
      </c>
      <c r="K363" s="38">
        <f t="shared" si="22"/>
        <v>4404.5</v>
      </c>
      <c r="L363" s="38">
        <f t="shared" si="22"/>
        <v>711798.32000000007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210865.53</v>
      </c>
      <c r="G368" s="18"/>
      <c r="H368" s="18">
        <v>89576.75</v>
      </c>
      <c r="I368" s="13">
        <f>SUM(F368:H368)</f>
        <v>300442.28000000003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17207.73</v>
      </c>
      <c r="G369" s="53"/>
      <c r="H369" s="53">
        <v>6881.38</v>
      </c>
      <c r="I369" s="13">
        <f>SUM(F369:H369)</f>
        <v>24089.11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228073.26</v>
      </c>
      <c r="G370" s="38">
        <f>SUM(G368:G369)</f>
        <v>0</v>
      </c>
      <c r="H370" s="38">
        <f>SUM(H368:H369)</f>
        <v>96458.13</v>
      </c>
      <c r="I370" s="38">
        <f>SUM(I368:I369)</f>
        <v>324531.39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v>25000</v>
      </c>
      <c r="H392" s="18">
        <v>1481.57</v>
      </c>
      <c r="I392" s="18"/>
      <c r="J392" s="23" t="s">
        <v>288</v>
      </c>
      <c r="K392" s="23" t="s">
        <v>288</v>
      </c>
      <c r="L392" s="13">
        <f t="shared" si="25"/>
        <v>26481.57</v>
      </c>
      <c r="M392" s="8"/>
      <c r="N392" s="165"/>
    </row>
    <row r="393" spans="1:14" s="3" customFormat="1" ht="12.2" customHeight="1" thickBot="1" x14ac:dyDescent="0.2">
      <c r="A393" s="62" t="s">
        <v>555</v>
      </c>
      <c r="B393" s="2" t="s">
        <v>381</v>
      </c>
      <c r="C393" s="6">
        <v>6</v>
      </c>
      <c r="D393" s="2" t="s">
        <v>432</v>
      </c>
      <c r="E393" s="6"/>
      <c r="F393" s="18"/>
      <c r="G393" s="18">
        <v>2005785.67</v>
      </c>
      <c r="H393" s="18">
        <v>14773.13</v>
      </c>
      <c r="I393" s="18"/>
      <c r="J393" s="23" t="s">
        <v>288</v>
      </c>
      <c r="K393" s="23" t="s">
        <v>288</v>
      </c>
      <c r="L393" s="13">
        <f t="shared" si="25"/>
        <v>2020558.7999999998</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2030785.67</v>
      </c>
      <c r="H394" s="97">
        <f>SUM(H388:H393)</f>
        <v>16254.699999999999</v>
      </c>
      <c r="I394" s="54">
        <f>SUM(I388:I393)</f>
        <v>0</v>
      </c>
      <c r="J394" s="42" t="s">
        <v>288</v>
      </c>
      <c r="K394" s="42" t="s">
        <v>288</v>
      </c>
      <c r="L394" s="38">
        <f>SUM(L388:L393)</f>
        <v>2047040.3699999999</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2030785.67</v>
      </c>
      <c r="H409" s="38">
        <f>H394+H402+H408</f>
        <v>16254.699999999999</v>
      </c>
      <c r="I409" s="38">
        <f>I394+I402+I408</f>
        <v>0</v>
      </c>
      <c r="J409" s="23" t="s">
        <v>288</v>
      </c>
      <c r="K409" s="23" t="s">
        <v>288</v>
      </c>
      <c r="L409" s="38">
        <f>L394+L402+L408</f>
        <v>2047040.3699999999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v>6000</v>
      </c>
      <c r="L418" s="13">
        <f t="shared" si="27"/>
        <v>6000</v>
      </c>
      <c r="M418" s="8"/>
      <c r="N418" s="165"/>
    </row>
    <row r="419" spans="1:21" s="3" customFormat="1" ht="12.2" customHeight="1" thickBot="1" x14ac:dyDescent="0.2">
      <c r="A419" s="62" t="s">
        <v>555</v>
      </c>
      <c r="B419" s="6">
        <v>17</v>
      </c>
      <c r="C419" s="6">
        <v>6</v>
      </c>
      <c r="D419" s="2" t="s">
        <v>432</v>
      </c>
      <c r="E419" s="6"/>
      <c r="F419" s="18"/>
      <c r="G419" s="18"/>
      <c r="H419" s="18"/>
      <c r="I419" s="18"/>
      <c r="J419" s="18"/>
      <c r="K419" s="18">
        <v>2913501.03</v>
      </c>
      <c r="L419" s="13">
        <f t="shared" si="27"/>
        <v>2913501.03</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2919501.03</v>
      </c>
      <c r="L420" s="38">
        <f t="shared" si="28"/>
        <v>2919501.03</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2919501.03</v>
      </c>
      <c r="L435" s="38">
        <f t="shared" si="32"/>
        <v>2919501.03</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1427461.52</v>
      </c>
      <c r="G440" s="18"/>
      <c r="H440" s="18"/>
      <c r="I440" s="13">
        <f t="shared" ref="I440:I446" si="33">SUM(F440:H440)</f>
        <v>1427461.52</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SUM(F442:H442)</f>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7918.29</v>
      </c>
      <c r="G443" s="18"/>
      <c r="H443" s="18"/>
      <c r="I443" s="13">
        <f t="shared" si="33"/>
        <v>7918.29</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SUM(F444:H444)</f>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1435379.81</v>
      </c>
      <c r="G447" s="13">
        <f>SUM(G440:G446)</f>
        <v>0</v>
      </c>
      <c r="H447" s="13">
        <f>SUM(H440:H446)</f>
        <v>0</v>
      </c>
      <c r="I447" s="13">
        <f>SUM(I440:I446)</f>
        <v>1435379.81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72619.91</v>
      </c>
      <c r="G450" s="18"/>
      <c r="H450" s="18"/>
      <c r="I450" s="13">
        <f>SUM(F450:H450)</f>
        <v>72619.91</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72619.91</v>
      </c>
      <c r="G453" s="57">
        <f>SUM(G449:G452)</f>
        <v>0</v>
      </c>
      <c r="H453" s="57">
        <f>SUM(H449:H452)</f>
        <v>0</v>
      </c>
      <c r="I453" s="57">
        <f>SUM(I449:I452)</f>
        <v>72619.91</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1362759.9</f>
        <v>1362759.9</v>
      </c>
      <c r="G460" s="18"/>
      <c r="H460" s="18"/>
      <c r="I460" s="13">
        <f t="shared" si="34"/>
        <v>1362759.9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1362759.9</v>
      </c>
      <c r="G461" s="65">
        <f>SUM(G455:G460)</f>
        <v>0</v>
      </c>
      <c r="H461" s="65">
        <f>SUM(H455:H460)</f>
        <v>0</v>
      </c>
      <c r="I461" s="65">
        <f>SUM(I455:I460)</f>
        <v>1362759.9</v>
      </c>
      <c r="J461" s="23" t="s">
        <v>288</v>
      </c>
      <c r="K461" s="23" t="s">
        <v>288</v>
      </c>
      <c r="L461" s="23" t="s">
        <v>288</v>
      </c>
      <c r="N461" s="131"/>
    </row>
    <row r="462" spans="1:86" ht="12.2" customHeight="1" thickTop="1" x14ac:dyDescent="0.2">
      <c r="A462" s="40" t="s">
        <v>424</v>
      </c>
      <c r="B462" s="41">
        <v>18</v>
      </c>
      <c r="C462" s="64">
        <v>21</v>
      </c>
      <c r="D462" s="114" t="s">
        <v>432</v>
      </c>
      <c r="E462" s="64"/>
      <c r="F462" s="39">
        <f>F453+F461</f>
        <v>1435379.8099999998</v>
      </c>
      <c r="G462" s="39">
        <f>G453+G461</f>
        <v>0</v>
      </c>
      <c r="H462" s="39">
        <f>H453+H461</f>
        <v>0</v>
      </c>
      <c r="I462" s="39">
        <f>I453+I461</f>
        <v>1435379.8099999998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1133283.1499999985</v>
      </c>
      <c r="G466" s="18">
        <v>100012.18</v>
      </c>
      <c r="H466" s="18">
        <v>28885.11</v>
      </c>
      <c r="I466" s="18">
        <v>0</v>
      </c>
      <c r="J466" s="18">
        <v>2233484.5900000003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24421718.25</v>
      </c>
      <c r="G469" s="18">
        <v>667585.93000000005</v>
      </c>
      <c r="H469" s="18">
        <v>4536180.3900000006</v>
      </c>
      <c r="I469" s="18">
        <v>0</v>
      </c>
      <c r="J469" s="18">
        <v>2047040.37</v>
      </c>
      <c r="K469" s="23" t="s">
        <v>288</v>
      </c>
      <c r="L469" s="23" t="s">
        <v>288</v>
      </c>
      <c r="N469" s="131"/>
    </row>
    <row r="470" spans="1:14" ht="12.2" customHeight="1" x14ac:dyDescent="0.2">
      <c r="A470" s="71" t="s">
        <v>611</v>
      </c>
      <c r="B470" s="22">
        <v>19</v>
      </c>
      <c r="C470" s="31">
        <v>3</v>
      </c>
      <c r="D470" s="2" t="s">
        <v>432</v>
      </c>
      <c r="E470" s="31"/>
      <c r="F470" s="18"/>
      <c r="G470" s="18"/>
      <c r="H470" s="18"/>
      <c r="I470" s="18"/>
      <c r="J470" s="18">
        <v>1735.97</v>
      </c>
      <c r="K470" s="23" t="s">
        <v>288</v>
      </c>
      <c r="L470" s="23" t="s">
        <v>288</v>
      </c>
      <c r="N470" s="131"/>
    </row>
    <row r="471" spans="1:14" ht="12.2" customHeight="1" x14ac:dyDescent="0.2">
      <c r="A471" s="32" t="s">
        <v>425</v>
      </c>
      <c r="B471" s="22">
        <v>19</v>
      </c>
      <c r="C471" s="31">
        <v>4</v>
      </c>
      <c r="D471" s="2" t="s">
        <v>432</v>
      </c>
      <c r="E471" s="31"/>
      <c r="F471" s="19">
        <f>SUM(F469:F470)</f>
        <v>24421718.25</v>
      </c>
      <c r="G471" s="19">
        <f>SUM(G469:G470)</f>
        <v>667585.93000000005</v>
      </c>
      <c r="H471" s="19">
        <f>SUM(H469:H470)</f>
        <v>4536180.3900000006</v>
      </c>
      <c r="I471" s="19">
        <f>SUM(I469:I470)</f>
        <v>0</v>
      </c>
      <c r="J471" s="19">
        <f>SUM(J469:J470)</f>
        <v>2048776.34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24346299.879999999</v>
      </c>
      <c r="G473" s="18">
        <v>711798.32</v>
      </c>
      <c r="H473" s="18">
        <v>4526600.8899999997</v>
      </c>
      <c r="I473" s="18"/>
      <c r="J473" s="18">
        <v>2919501.03</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24346299.879999999</v>
      </c>
      <c r="G475" s="19">
        <f>SUM(G473:G474)</f>
        <v>711798.32</v>
      </c>
      <c r="H475" s="19">
        <f>SUM(H473:H474)</f>
        <v>4526600.8899999997</v>
      </c>
      <c r="I475" s="19">
        <f>SUM(I473:I474)</f>
        <v>0</v>
      </c>
      <c r="J475" s="19">
        <f>SUM(J473:J474)</f>
        <v>2919501.03</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1208701.5199999996</v>
      </c>
      <c r="G477" s="19">
        <f>(G466+G471)- G475</f>
        <v>55799.790000000154</v>
      </c>
      <c r="H477" s="19">
        <f>(H466+H471)- H475</f>
        <v>38464.610000001267</v>
      </c>
      <c r="I477" s="19">
        <f>(I466+I471)- I475</f>
        <v>0</v>
      </c>
      <c r="J477" s="19">
        <f>(J466+J471)- J475</f>
        <v>1362759.9000000008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1813</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1071317.25</v>
      </c>
      <c r="G522" s="18">
        <v>577706.39</v>
      </c>
      <c r="H522" s="18">
        <v>209674.53</v>
      </c>
      <c r="I522" s="18">
        <v>6659.69</v>
      </c>
      <c r="J522" s="18">
        <v>6553.65</v>
      </c>
      <c r="K522" s="18">
        <v>0</v>
      </c>
      <c r="L522" s="69">
        <f>SUM(F522:K522)</f>
        <v>1871911.51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458738.67</v>
      </c>
      <c r="G524" s="18">
        <v>326671.32</v>
      </c>
      <c r="H524" s="18">
        <v>749443.22</v>
      </c>
      <c r="I524" s="18">
        <v>3406.16</v>
      </c>
      <c r="J524" s="18">
        <v>96</v>
      </c>
      <c r="K524" s="18">
        <v>119</v>
      </c>
      <c r="L524" s="69">
        <f>SUM(F524:K524)</f>
        <v>1538474.3699999999</v>
      </c>
      <c r="N524" s="131"/>
    </row>
    <row r="525" spans="1:14" ht="12.2" customHeight="1" thickTop="1" x14ac:dyDescent="0.2">
      <c r="A525" s="97" t="s">
        <v>63</v>
      </c>
      <c r="B525" s="41">
        <v>21</v>
      </c>
      <c r="C525" s="41">
        <v>4</v>
      </c>
      <c r="D525" s="115" t="s">
        <v>432</v>
      </c>
      <c r="E525" s="41"/>
      <c r="F525" s="81">
        <f>SUM(F522:F524)</f>
        <v>1530055.92</v>
      </c>
      <c r="G525" s="81">
        <f t="shared" ref="G525:L525" si="36">SUM(G522:G524)</f>
        <v>904377.71</v>
      </c>
      <c r="H525" s="81">
        <f t="shared" si="36"/>
        <v>959117.75</v>
      </c>
      <c r="I525" s="81">
        <f t="shared" si="36"/>
        <v>10065.849999999999</v>
      </c>
      <c r="J525" s="81">
        <f t="shared" si="36"/>
        <v>6649.65</v>
      </c>
      <c r="K525" s="81">
        <f t="shared" si="36"/>
        <v>119</v>
      </c>
      <c r="L525" s="70">
        <f t="shared" si="36"/>
        <v>3410385.88</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383037.53+162</f>
        <v>383199.53</v>
      </c>
      <c r="G527" s="18">
        <f>235239.74+34.98</f>
        <v>235274.72</v>
      </c>
      <c r="H527" s="18">
        <f>388070.29+19497.1</f>
        <v>407567.38999999996</v>
      </c>
      <c r="I527" s="18">
        <v>14982.55</v>
      </c>
      <c r="J527" s="18">
        <v>4447.17</v>
      </c>
      <c r="K527" s="18">
        <v>0</v>
      </c>
      <c r="L527" s="69">
        <f>SUM(F527:K527)</f>
        <v>1045471.36</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v>51515.51</v>
      </c>
      <c r="G529" s="18">
        <v>28796.560000000001</v>
      </c>
      <c r="H529" s="18">
        <f>45697.71+9748.4</f>
        <v>55446.11</v>
      </c>
      <c r="I529" s="18">
        <v>2190.16</v>
      </c>
      <c r="J529" s="18">
        <v>0</v>
      </c>
      <c r="K529" s="18">
        <v>0</v>
      </c>
      <c r="L529" s="69">
        <f>SUM(F529:K529)</f>
        <v>137948.34</v>
      </c>
      <c r="M529" s="8"/>
      <c r="N529" s="165"/>
    </row>
    <row r="530" spans="1:14" s="3" customFormat="1" ht="12.2" customHeight="1" thickTop="1" x14ac:dyDescent="0.15">
      <c r="A530" s="97" t="s">
        <v>65</v>
      </c>
      <c r="B530" s="41">
        <v>21</v>
      </c>
      <c r="C530" s="41">
        <v>8</v>
      </c>
      <c r="D530" s="115" t="s">
        <v>432</v>
      </c>
      <c r="E530" s="41"/>
      <c r="F530" s="70">
        <f>SUM(F527:F529)</f>
        <v>434715.04000000004</v>
      </c>
      <c r="G530" s="70">
        <f t="shared" ref="G530:L530" si="37">SUM(G527:G529)</f>
        <v>264071.28000000003</v>
      </c>
      <c r="H530" s="70">
        <f t="shared" si="37"/>
        <v>463013.49999999994</v>
      </c>
      <c r="I530" s="70">
        <f t="shared" si="37"/>
        <v>17172.71</v>
      </c>
      <c r="J530" s="70">
        <f t="shared" si="37"/>
        <v>4447.17</v>
      </c>
      <c r="K530" s="70">
        <f t="shared" si="37"/>
        <v>0</v>
      </c>
      <c r="L530" s="70">
        <f t="shared" si="37"/>
        <v>1183419.7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95892.4</v>
      </c>
      <c r="G532" s="18">
        <v>48024.67</v>
      </c>
      <c r="H532" s="18">
        <v>2813.4</v>
      </c>
      <c r="I532" s="18">
        <v>1999</v>
      </c>
      <c r="J532" s="18">
        <v>0</v>
      </c>
      <c r="K532" s="18">
        <v>11669.15</v>
      </c>
      <c r="L532" s="69">
        <f>SUM(F532:K532)</f>
        <v>160398.62</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47945.48</v>
      </c>
      <c r="G534" s="18">
        <v>24011.98</v>
      </c>
      <c r="H534" s="18">
        <v>1406.68</v>
      </c>
      <c r="I534" s="18">
        <v>999.49</v>
      </c>
      <c r="J534" s="18">
        <v>0</v>
      </c>
      <c r="K534" s="18">
        <v>5834.49</v>
      </c>
      <c r="L534" s="69">
        <f>SUM(F534:K534)</f>
        <v>80198.12000000001</v>
      </c>
      <c r="M534" s="8"/>
      <c r="N534" s="165"/>
    </row>
    <row r="535" spans="1:14" s="3" customFormat="1" ht="12.2" customHeight="1" thickTop="1" x14ac:dyDescent="0.15">
      <c r="A535" s="97" t="s">
        <v>67</v>
      </c>
      <c r="B535" s="41">
        <v>21</v>
      </c>
      <c r="C535" s="41">
        <v>12</v>
      </c>
      <c r="D535" s="115" t="s">
        <v>432</v>
      </c>
      <c r="E535" s="41"/>
      <c r="F535" s="70">
        <f>SUM(F532:F534)</f>
        <v>143837.88</v>
      </c>
      <c r="G535" s="70">
        <f t="shared" ref="G535:L535" si="38">SUM(G532:G534)</f>
        <v>72036.649999999994</v>
      </c>
      <c r="H535" s="70">
        <f t="shared" si="38"/>
        <v>4220.08</v>
      </c>
      <c r="I535" s="70">
        <f t="shared" si="38"/>
        <v>2998.49</v>
      </c>
      <c r="J535" s="70">
        <f t="shared" si="38"/>
        <v>0</v>
      </c>
      <c r="K535" s="70">
        <f t="shared" si="38"/>
        <v>17503.64</v>
      </c>
      <c r="L535" s="70">
        <f t="shared" si="38"/>
        <v>240596.74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366.43</v>
      </c>
      <c r="I537" s="18"/>
      <c r="J537" s="18"/>
      <c r="K537" s="18"/>
      <c r="L537" s="69">
        <f>SUM(F537:K537)</f>
        <v>366.43</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v>183.21</v>
      </c>
      <c r="I539" s="18"/>
      <c r="J539" s="18"/>
      <c r="K539" s="18"/>
      <c r="L539" s="69">
        <f>SUM(F539:K539)</f>
        <v>183.21</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549.64</v>
      </c>
      <c r="I540" s="70">
        <f t="shared" si="39"/>
        <v>0</v>
      </c>
      <c r="J540" s="70">
        <f t="shared" si="39"/>
        <v>0</v>
      </c>
      <c r="K540" s="70">
        <f t="shared" si="39"/>
        <v>0</v>
      </c>
      <c r="L540" s="70">
        <f t="shared" si="39"/>
        <v>549.64</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17849.98</v>
      </c>
      <c r="G542" s="18">
        <v>4307.1899999999996</v>
      </c>
      <c r="H542" s="18">
        <v>186922.65</v>
      </c>
      <c r="I542" s="18">
        <v>1829.73</v>
      </c>
      <c r="J542" s="18">
        <v>0</v>
      </c>
      <c r="K542" s="18">
        <v>0</v>
      </c>
      <c r="L542" s="69">
        <f>SUM(F542:K542)</f>
        <v>210909.55000000002</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v>8924.86</v>
      </c>
      <c r="G544" s="18">
        <v>2157.98</v>
      </c>
      <c r="H544" s="18">
        <v>142494.1</v>
      </c>
      <c r="I544" s="18">
        <v>914.85</v>
      </c>
      <c r="J544" s="18">
        <v>0</v>
      </c>
      <c r="K544" s="18">
        <v>0</v>
      </c>
      <c r="L544" s="69">
        <f>SUM(F544:K544)</f>
        <v>154491.79</v>
      </c>
      <c r="M544" s="8"/>
      <c r="N544" s="165"/>
    </row>
    <row r="545" spans="1:14" s="3" customFormat="1" ht="12.2" customHeight="1" thickTop="1" thickBot="1" x14ac:dyDescent="0.2">
      <c r="A545" s="93" t="s">
        <v>71</v>
      </c>
      <c r="B545" s="63">
        <v>21</v>
      </c>
      <c r="C545" s="63">
        <v>20</v>
      </c>
      <c r="D545" s="140" t="s">
        <v>432</v>
      </c>
      <c r="E545" s="63"/>
      <c r="F545" s="141">
        <f>SUM(F542:F544)</f>
        <v>26774.84</v>
      </c>
      <c r="G545" s="141">
        <f t="shared" ref="G545:L545" si="40">SUM(G542:G544)</f>
        <v>6465.17</v>
      </c>
      <c r="H545" s="141">
        <f t="shared" si="40"/>
        <v>329416.75</v>
      </c>
      <c r="I545" s="141">
        <f t="shared" si="40"/>
        <v>2744.58</v>
      </c>
      <c r="J545" s="141">
        <f t="shared" si="40"/>
        <v>0</v>
      </c>
      <c r="K545" s="141">
        <f t="shared" si="40"/>
        <v>0</v>
      </c>
      <c r="L545" s="141">
        <f t="shared" si="40"/>
        <v>365401.34</v>
      </c>
      <c r="M545" s="8"/>
      <c r="N545" s="165"/>
    </row>
    <row r="546" spans="1:14" s="3" customFormat="1" ht="12.2" customHeight="1" thickTop="1" x14ac:dyDescent="0.15">
      <c r="A546" s="75" t="s">
        <v>72</v>
      </c>
      <c r="B546" s="41">
        <v>21</v>
      </c>
      <c r="C546" s="41">
        <v>21</v>
      </c>
      <c r="D546" s="115" t="s">
        <v>432</v>
      </c>
      <c r="E546" s="41"/>
      <c r="F546" s="70">
        <f>F525+F530+F535+F540+F545</f>
        <v>2135383.6799999997</v>
      </c>
      <c r="G546" s="70">
        <f t="shared" ref="G546:L546" si="41">G525+G530+G535+G540+G545</f>
        <v>1246950.8099999998</v>
      </c>
      <c r="H546" s="70">
        <f t="shared" si="41"/>
        <v>1756317.72</v>
      </c>
      <c r="I546" s="70">
        <f t="shared" si="41"/>
        <v>32981.629999999997</v>
      </c>
      <c r="J546" s="70">
        <f t="shared" si="41"/>
        <v>11096.82</v>
      </c>
      <c r="K546" s="70">
        <f t="shared" si="41"/>
        <v>17622.64</v>
      </c>
      <c r="L546" s="70">
        <f t="shared" si="41"/>
        <v>5200353.3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1871911.51</v>
      </c>
      <c r="G550" s="69">
        <f>L527</f>
        <v>1045471.36</v>
      </c>
      <c r="H550" s="69">
        <f>L532</f>
        <v>160398.62</v>
      </c>
      <c r="I550" s="69">
        <f>L537</f>
        <v>366.43</v>
      </c>
      <c r="J550" s="69">
        <f>L542</f>
        <v>210909.55000000002</v>
      </c>
      <c r="K550" s="69">
        <f>SUM(F550:J550)</f>
        <v>3289057.47</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1538474.3699999999</v>
      </c>
      <c r="G552" s="69">
        <f>L529</f>
        <v>137948.34</v>
      </c>
      <c r="H552" s="69">
        <f>L534</f>
        <v>80198.12000000001</v>
      </c>
      <c r="I552" s="69">
        <f>L539</f>
        <v>183.21</v>
      </c>
      <c r="J552" s="69">
        <f>L544</f>
        <v>154491.79</v>
      </c>
      <c r="K552" s="69">
        <f>SUM(F552:J552)</f>
        <v>1911295.83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3410385.88</v>
      </c>
      <c r="G553" s="70">
        <f t="shared" si="42"/>
        <v>1183419.7</v>
      </c>
      <c r="H553" s="70">
        <f t="shared" si="42"/>
        <v>240596.74</v>
      </c>
      <c r="I553" s="70">
        <f t="shared" si="42"/>
        <v>549.64</v>
      </c>
      <c r="J553" s="70">
        <f t="shared" si="42"/>
        <v>365401.34</v>
      </c>
      <c r="K553" s="70">
        <f t="shared" si="42"/>
        <v>5200353.3000000007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37296.67</v>
      </c>
      <c r="G563" s="18">
        <v>10614.19</v>
      </c>
      <c r="H563" s="18">
        <v>866.81</v>
      </c>
      <c r="I563" s="18">
        <v>0</v>
      </c>
      <c r="J563" s="18">
        <v>0</v>
      </c>
      <c r="K563" s="18">
        <v>0</v>
      </c>
      <c r="L563" s="69">
        <f>SUM(F563:K563)</f>
        <v>48777.67</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v>18370</v>
      </c>
      <c r="G565" s="18">
        <v>5227.8999999999996</v>
      </c>
      <c r="H565" s="18">
        <v>439.34</v>
      </c>
      <c r="I565" s="18">
        <v>0</v>
      </c>
      <c r="J565" s="18">
        <v>0</v>
      </c>
      <c r="K565" s="18">
        <v>0</v>
      </c>
      <c r="L565" s="69">
        <f>SUM(F565:K565)</f>
        <v>24037.24</v>
      </c>
      <c r="M565" s="8"/>
      <c r="N565" s="165"/>
    </row>
    <row r="566" spans="1:14" s="3" customFormat="1" ht="12.2" customHeight="1" thickTop="1" x14ac:dyDescent="0.15">
      <c r="A566" s="97" t="s">
        <v>65</v>
      </c>
      <c r="B566" s="41">
        <v>22</v>
      </c>
      <c r="C566" s="41">
        <v>8</v>
      </c>
      <c r="D566" s="115" t="s">
        <v>432</v>
      </c>
      <c r="E566" s="41"/>
      <c r="F566" s="70">
        <f t="shared" ref="F566:L566" si="44">SUM(F563:F565)</f>
        <v>55666.67</v>
      </c>
      <c r="G566" s="70">
        <f t="shared" si="44"/>
        <v>15842.09</v>
      </c>
      <c r="H566" s="70">
        <f t="shared" si="44"/>
        <v>1306.1499999999999</v>
      </c>
      <c r="I566" s="70">
        <f t="shared" si="44"/>
        <v>0</v>
      </c>
      <c r="J566" s="70">
        <f t="shared" si="44"/>
        <v>0</v>
      </c>
      <c r="K566" s="70">
        <f t="shared" si="44"/>
        <v>0</v>
      </c>
      <c r="L566" s="70">
        <f t="shared" si="44"/>
        <v>72814.91</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55666.67</v>
      </c>
      <c r="G572" s="70">
        <f t="shared" ref="G572:L572" si="46">G561+G566+G571</f>
        <v>15842.09</v>
      </c>
      <c r="H572" s="70">
        <f t="shared" si="46"/>
        <v>1306.1499999999999</v>
      </c>
      <c r="I572" s="70">
        <f t="shared" si="46"/>
        <v>0</v>
      </c>
      <c r="J572" s="70">
        <f t="shared" si="46"/>
        <v>0</v>
      </c>
      <c r="K572" s="70">
        <f t="shared" si="46"/>
        <v>0</v>
      </c>
      <c r="L572" s="70">
        <f t="shared" si="46"/>
        <v>72814.91</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c r="H576" s="18">
        <v>0</v>
      </c>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2812</v>
      </c>
      <c r="G580" s="18"/>
      <c r="H580" s="18">
        <v>50.32</v>
      </c>
      <c r="I580" s="69">
        <f t="shared" si="47"/>
        <v>2862.32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185934.47</v>
      </c>
      <c r="G583" s="18"/>
      <c r="H583" s="18">
        <v>579161.31999999995</v>
      </c>
      <c r="I583" s="69">
        <f t="shared" si="47"/>
        <v>765095.78999999992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c r="H585" s="18">
        <v>42408.32</v>
      </c>
      <c r="I585" s="69">
        <f t="shared" si="47"/>
        <v>42408.32</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457142.09</v>
      </c>
      <c r="I592" s="18"/>
      <c r="J592" s="18">
        <v>375539.66</v>
      </c>
      <c r="K592" s="80">
        <f t="shared" ref="K592:K598" si="48">SUM(H592:J592)</f>
        <v>832681.75</v>
      </c>
      <c r="L592" s="23" t="s">
        <v>288</v>
      </c>
      <c r="M592" s="8"/>
      <c r="N592" s="165"/>
    </row>
    <row r="593" spans="1:14" s="3" customFormat="1" ht="12.2" customHeight="1" x14ac:dyDescent="0.15">
      <c r="A593" s="3" t="s">
        <v>638</v>
      </c>
      <c r="B593" s="22">
        <v>23</v>
      </c>
      <c r="C593" s="22">
        <v>2</v>
      </c>
      <c r="D593" s="2" t="s">
        <v>432</v>
      </c>
      <c r="E593" s="22"/>
      <c r="F593" s="78">
        <v>2722</v>
      </c>
      <c r="G593" s="79" t="s">
        <v>97</v>
      </c>
      <c r="H593" s="18">
        <v>210909.55</v>
      </c>
      <c r="I593" s="18"/>
      <c r="J593" s="18">
        <v>154549.54</v>
      </c>
      <c r="K593" s="80">
        <f t="shared" si="48"/>
        <v>365459.08999999997</v>
      </c>
      <c r="L593" s="23" t="s">
        <v>288</v>
      </c>
      <c r="M593" s="8"/>
      <c r="N593" s="165"/>
    </row>
    <row r="594" spans="1:14" s="3" customFormat="1" ht="12.2" customHeight="1" x14ac:dyDescent="0.15">
      <c r="A594" s="3" t="s">
        <v>639</v>
      </c>
      <c r="B594" s="22">
        <v>23</v>
      </c>
      <c r="C594" s="22">
        <v>3</v>
      </c>
      <c r="D594" s="2" t="s">
        <v>432</v>
      </c>
      <c r="E594" s="22"/>
      <c r="F594" s="78">
        <v>2723</v>
      </c>
      <c r="G594" s="79" t="s">
        <v>97</v>
      </c>
      <c r="H594" s="18">
        <v>38866.5</v>
      </c>
      <c r="I594" s="18"/>
      <c r="J594" s="18">
        <v>27120.639999999999</v>
      </c>
      <c r="K594" s="80">
        <f t="shared" si="48"/>
        <v>65987.14</v>
      </c>
      <c r="L594" s="23" t="s">
        <v>288</v>
      </c>
      <c r="M594" s="8"/>
      <c r="N594" s="165"/>
    </row>
    <row r="595" spans="1:14" s="3" customFormat="1" ht="12.2" customHeight="1" x14ac:dyDescent="0.15">
      <c r="A595" s="21" t="s">
        <v>640</v>
      </c>
      <c r="B595" s="22">
        <v>23</v>
      </c>
      <c r="C595" s="22">
        <v>4</v>
      </c>
      <c r="D595" s="2" t="s">
        <v>432</v>
      </c>
      <c r="E595" s="22"/>
      <c r="F595" s="78">
        <v>2724</v>
      </c>
      <c r="G595" s="79" t="s">
        <v>97</v>
      </c>
      <c r="H595" s="18">
        <v>30836.799999999999</v>
      </c>
      <c r="I595" s="18"/>
      <c r="J595" s="18">
        <v>66215.88</v>
      </c>
      <c r="K595" s="80">
        <f t="shared" si="48"/>
        <v>97052.680000000008</v>
      </c>
      <c r="L595" s="23" t="s">
        <v>288</v>
      </c>
      <c r="M595" s="8"/>
      <c r="N595" s="165"/>
    </row>
    <row r="596" spans="1:14" s="3" customFormat="1" ht="12.2" customHeight="1" x14ac:dyDescent="0.15">
      <c r="A596" s="103" t="s">
        <v>652</v>
      </c>
      <c r="B596" s="22">
        <v>23</v>
      </c>
      <c r="C596" s="22">
        <v>5</v>
      </c>
      <c r="D596" s="2" t="s">
        <v>432</v>
      </c>
      <c r="E596" s="22"/>
      <c r="F596" s="78">
        <v>2725</v>
      </c>
      <c r="G596" s="79" t="s">
        <v>97</v>
      </c>
      <c r="H596" s="18">
        <v>8765.73</v>
      </c>
      <c r="I596" s="18"/>
      <c r="J596" s="18">
        <v>18701.59</v>
      </c>
      <c r="K596" s="80">
        <f t="shared" si="48"/>
        <v>27467.32</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746520.67</v>
      </c>
      <c r="I599" s="81">
        <f>SUM(I592:I598)</f>
        <v>0</v>
      </c>
      <c r="J599" s="81">
        <f>SUM(J592:J598)</f>
        <v>642127.30999999994</v>
      </c>
      <c r="K599" s="81">
        <f>SUM(K592:K598)</f>
        <v>1388647.9799999997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99631.56</v>
      </c>
      <c r="I605" s="18"/>
      <c r="J605" s="18">
        <v>113502.55</v>
      </c>
      <c r="K605" s="80">
        <f>SUM(H605:J605)</f>
        <v>213134.11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99631.56</v>
      </c>
      <c r="I606" s="81">
        <f>SUM(I603:I605)</f>
        <v>0</v>
      </c>
      <c r="J606" s="81">
        <f>SUM(J603:J605)</f>
        <v>113502.55</v>
      </c>
      <c r="K606" s="81">
        <f>SUM(K603:K605)</f>
        <v>213134.11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62357</v>
      </c>
      <c r="G612" s="18">
        <v>17764.240000000002</v>
      </c>
      <c r="H612" s="18">
        <v>0</v>
      </c>
      <c r="I612" s="18">
        <v>1163.73</v>
      </c>
      <c r="J612" s="18">
        <v>0</v>
      </c>
      <c r="K612" s="18">
        <v>0</v>
      </c>
      <c r="L612" s="69">
        <f>SUM(F612:K612)</f>
        <v>81284.97</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v>62357</v>
      </c>
      <c r="G614" s="18">
        <v>17764.240000000002</v>
      </c>
      <c r="H614" s="18">
        <v>0</v>
      </c>
      <c r="I614" s="18">
        <v>1163.73</v>
      </c>
      <c r="J614" s="18">
        <v>0</v>
      </c>
      <c r="K614" s="18">
        <v>0</v>
      </c>
      <c r="L614" s="69">
        <f>SUM(F614:K614)</f>
        <v>81284.97</v>
      </c>
      <c r="M614" s="8"/>
      <c r="N614" s="165"/>
    </row>
    <row r="615" spans="1:14" s="3" customFormat="1" ht="12.2" customHeight="1" thickTop="1" x14ac:dyDescent="0.15">
      <c r="A615" s="75" t="s">
        <v>340</v>
      </c>
      <c r="B615" s="41">
        <v>23</v>
      </c>
      <c r="C615" s="41">
        <v>16</v>
      </c>
      <c r="D615" s="36" t="s">
        <v>432</v>
      </c>
      <c r="E615" s="41"/>
      <c r="F615" s="81">
        <f t="shared" ref="F615:L615" si="49">SUM(F612:F614)</f>
        <v>124714</v>
      </c>
      <c r="G615" s="81">
        <f t="shared" si="49"/>
        <v>35528.480000000003</v>
      </c>
      <c r="H615" s="81">
        <f t="shared" si="49"/>
        <v>0</v>
      </c>
      <c r="I615" s="81">
        <f t="shared" si="49"/>
        <v>2327.46</v>
      </c>
      <c r="J615" s="81">
        <f t="shared" si="49"/>
        <v>0</v>
      </c>
      <c r="K615" s="81">
        <f t="shared" si="49"/>
        <v>0</v>
      </c>
      <c r="L615" s="70">
        <f t="shared" si="49"/>
        <v>162569.94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3321756.77</v>
      </c>
      <c r="H618" s="80">
        <f>SUM(F52)</f>
        <v>3321756.77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72948.5</v>
      </c>
      <c r="H619" s="80">
        <f>SUM(G52)</f>
        <v>72948.5</v>
      </c>
      <c r="I619" s="87" t="s">
        <v>875</v>
      </c>
      <c r="J619" s="80">
        <f>G619-H619</f>
        <v>0</v>
      </c>
      <c r="K619" s="80"/>
      <c r="L619" s="80"/>
      <c r="M619" s="8"/>
    </row>
    <row r="620" spans="1:14" s="3" customFormat="1" ht="12.2" customHeight="1" x14ac:dyDescent="0.15">
      <c r="A620" s="74"/>
      <c r="B620" s="22"/>
      <c r="C620" s="22"/>
      <c r="D620" s="22"/>
      <c r="E620" s="22"/>
      <c r="F620" s="87" t="s">
        <v>685</v>
      </c>
      <c r="G620" s="80">
        <f>SUM(H19)</f>
        <v>1899346.59</v>
      </c>
      <c r="H620" s="80">
        <f>SUM(H52)</f>
        <v>1899346.59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1435379.81</v>
      </c>
      <c r="H622" s="80">
        <f>SUM(J52)</f>
        <v>1435379.8099999998</v>
      </c>
      <c r="I622" s="87" t="s">
        <v>878</v>
      </c>
      <c r="J622" s="80">
        <f>G622-H622</f>
        <v>0</v>
      </c>
      <c r="K622" s="80"/>
      <c r="L622" s="80"/>
      <c r="M622" s="8"/>
    </row>
    <row r="623" spans="1:14" s="3" customFormat="1" ht="12.2" customHeight="1" x14ac:dyDescent="0.15">
      <c r="A623" s="74"/>
      <c r="B623" s="22"/>
      <c r="C623" s="22"/>
      <c r="D623" s="22"/>
      <c r="E623" s="22"/>
      <c r="F623" s="87" t="s">
        <v>864</v>
      </c>
      <c r="G623" s="80">
        <f>F51</f>
        <v>1208701.52</v>
      </c>
      <c r="H623" s="80">
        <f>F477</f>
        <v>1208701.5199999996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55799.79</v>
      </c>
      <c r="H624" s="80">
        <f>G477</f>
        <v>55799.790000000154</v>
      </c>
      <c r="I624" s="87" t="s">
        <v>102</v>
      </c>
      <c r="J624" s="80">
        <f t="shared" si="50"/>
        <v>-1.5279510989785194E-10</v>
      </c>
      <c r="K624" s="80"/>
      <c r="L624" s="80"/>
      <c r="M624" s="8"/>
    </row>
    <row r="625" spans="1:13" s="3" customFormat="1" ht="12.2" customHeight="1" x14ac:dyDescent="0.15">
      <c r="A625" s="74"/>
      <c r="B625" s="22"/>
      <c r="C625" s="22"/>
      <c r="D625" s="22"/>
      <c r="E625" s="22"/>
      <c r="F625" s="86" t="s">
        <v>866</v>
      </c>
      <c r="G625" s="80">
        <f>H51</f>
        <v>38464.61</v>
      </c>
      <c r="H625" s="80">
        <f>H477</f>
        <v>38464.610000001267</v>
      </c>
      <c r="I625" s="87" t="s">
        <v>103</v>
      </c>
      <c r="J625" s="80">
        <f t="shared" si="50"/>
        <v>-1.2660166248679161E-9</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1362759.9</v>
      </c>
      <c r="H627" s="80">
        <f>J477</f>
        <v>1362759.9000000008</v>
      </c>
      <c r="I627" s="87" t="s">
        <v>105</v>
      </c>
      <c r="J627" s="80">
        <f t="shared" si="50"/>
        <v>0</v>
      </c>
      <c r="K627" s="67"/>
      <c r="L627" s="69"/>
      <c r="M627" s="8"/>
    </row>
    <row r="628" spans="1:13" s="3" customFormat="1" ht="12.2" customHeight="1" x14ac:dyDescent="0.15">
      <c r="A628" s="21"/>
      <c r="B628" s="22"/>
      <c r="C628" s="22"/>
      <c r="D628" s="22"/>
      <c r="E628" s="22"/>
      <c r="F628" s="86" t="s">
        <v>658</v>
      </c>
      <c r="G628" s="80">
        <f>F194</f>
        <v>24421718.25</v>
      </c>
      <c r="H628" s="80">
        <f>SUM(F469)</f>
        <v>24421718.25</v>
      </c>
      <c r="I628" s="87" t="s">
        <v>106</v>
      </c>
      <c r="J628" s="80">
        <f>G628-H628</f>
        <v>0</v>
      </c>
      <c r="K628" s="67"/>
      <c r="L628" s="69"/>
      <c r="M628" s="8"/>
    </row>
    <row r="629" spans="1:13" s="3" customFormat="1" ht="12.2" customHeight="1" x14ac:dyDescent="0.15">
      <c r="A629" s="21"/>
      <c r="B629" s="22"/>
      <c r="C629" s="22"/>
      <c r="D629" s="22"/>
      <c r="E629" s="22"/>
      <c r="F629" s="86" t="s">
        <v>659</v>
      </c>
      <c r="G629" s="80">
        <f>G194</f>
        <v>667585.92999999993</v>
      </c>
      <c r="H629" s="80">
        <f>SUM(G469)</f>
        <v>667585.93000000005</v>
      </c>
      <c r="I629" s="87" t="s">
        <v>107</v>
      </c>
      <c r="J629" s="80">
        <f>G629-H629</f>
        <v>0</v>
      </c>
      <c r="K629" s="67"/>
      <c r="L629" s="69"/>
      <c r="M629" s="8"/>
    </row>
    <row r="630" spans="1:13" s="3" customFormat="1" ht="12.2" customHeight="1" x14ac:dyDescent="0.15">
      <c r="A630" s="21"/>
      <c r="B630" s="22"/>
      <c r="C630" s="22"/>
      <c r="D630" s="22"/>
      <c r="E630" s="22"/>
      <c r="F630" s="86" t="s">
        <v>660</v>
      </c>
      <c r="G630" s="80">
        <f>H194</f>
        <v>4536180.3900000006</v>
      </c>
      <c r="H630" s="80">
        <f>SUM(H469)</f>
        <v>4536180.3900000006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2047040.3699999999</v>
      </c>
      <c r="H632" s="80">
        <f>SUM(J469)</f>
        <v>2047040.37</v>
      </c>
      <c r="I632" s="87" t="s">
        <v>110</v>
      </c>
      <c r="J632" s="80">
        <f>G632-H632</f>
        <v>0</v>
      </c>
      <c r="K632" s="67"/>
      <c r="L632" s="69"/>
      <c r="M632" s="8"/>
    </row>
    <row r="633" spans="1:13" s="3" customFormat="1" ht="12.2" customHeight="1" x14ac:dyDescent="0.15">
      <c r="A633" s="21"/>
      <c r="B633" s="22"/>
      <c r="C633" s="22"/>
      <c r="D633" s="22"/>
      <c r="E633" s="22"/>
      <c r="F633" s="86" t="s">
        <v>394</v>
      </c>
      <c r="G633" s="80">
        <f>SUM(L272)</f>
        <v>24346299.879999995</v>
      </c>
      <c r="H633" s="80">
        <f>SUM(F473)</f>
        <v>24346299.879999999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4526600.8899999997</v>
      </c>
      <c r="H634" s="80">
        <f>SUM(H473)</f>
        <v>4526600.8899999997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324531.39</v>
      </c>
      <c r="H635" s="80">
        <f>I370</f>
        <v>324531.39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711798.32000000007</v>
      </c>
      <c r="H636" s="80">
        <f>SUM(G473)</f>
        <v>711798.32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2047040.3699999999</v>
      </c>
      <c r="H638" s="108">
        <f>SUM(J469)</f>
        <v>2047040.37</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2919501.03</v>
      </c>
      <c r="H639" s="108">
        <f>SUM(J473)</f>
        <v>2919501.03</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1435379.81</v>
      </c>
      <c r="H640" s="80">
        <f>SUM(F462)</f>
        <v>1435379.8099999998</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1435379.81</v>
      </c>
      <c r="H643" s="80">
        <f>SUM(I462)</f>
        <v>1435379.8099999998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16254.7</v>
      </c>
      <c r="H645" s="80">
        <f>H409</f>
        <v>16254.699999999999</v>
      </c>
      <c r="I645" s="87" t="s">
        <v>480</v>
      </c>
      <c r="J645" s="80">
        <f t="shared" si="50"/>
        <v>0</v>
      </c>
      <c r="K645" s="67"/>
      <c r="L645" s="69"/>
      <c r="M645" s="8"/>
    </row>
    <row r="646" spans="1:13" s="3" customFormat="1" ht="12.2" customHeight="1" x14ac:dyDescent="0.15">
      <c r="A646" s="21"/>
      <c r="B646" s="22"/>
      <c r="C646" s="22"/>
      <c r="D646" s="22"/>
      <c r="E646" s="22"/>
      <c r="F646" s="86" t="s">
        <v>664</v>
      </c>
      <c r="G646" s="80">
        <f>J184</f>
        <v>2030785.67</v>
      </c>
      <c r="H646" s="80">
        <f>G409</f>
        <v>2030785.67</v>
      </c>
      <c r="I646" s="87" t="s">
        <v>481</v>
      </c>
      <c r="J646" s="80">
        <f t="shared" si="50"/>
        <v>0</v>
      </c>
      <c r="K646" s="67"/>
      <c r="L646" s="69"/>
      <c r="M646" s="8"/>
    </row>
    <row r="647" spans="1:13" s="3" customFormat="1" ht="12.2" customHeight="1" x14ac:dyDescent="0.15">
      <c r="A647" s="21"/>
      <c r="B647" s="22"/>
      <c r="C647" s="22"/>
      <c r="D647" s="22"/>
      <c r="E647" s="22"/>
      <c r="F647" s="86" t="s">
        <v>662</v>
      </c>
      <c r="G647" s="80">
        <f>J194</f>
        <v>2047040.3699999999</v>
      </c>
      <c r="H647" s="80">
        <f>L409</f>
        <v>2047040.3699999999</v>
      </c>
      <c r="I647" s="87" t="s">
        <v>477</v>
      </c>
      <c r="J647" s="80">
        <f t="shared" si="50"/>
        <v>0</v>
      </c>
      <c r="K647" s="67"/>
      <c r="L647" s="69"/>
      <c r="M647" s="8"/>
    </row>
    <row r="648" spans="1:13" s="3" customFormat="1" ht="12.2" customHeight="1" x14ac:dyDescent="0.15">
      <c r="A648" s="21"/>
      <c r="B648" s="22"/>
      <c r="C648" s="22"/>
      <c r="D648" s="22"/>
      <c r="E648" s="22"/>
      <c r="F648" s="86" t="s">
        <v>51</v>
      </c>
      <c r="G648" s="80">
        <f>K599</f>
        <v>1388647.9799999997</v>
      </c>
      <c r="H648" s="80">
        <f>L209+L227+L245</f>
        <v>1388647.98</v>
      </c>
      <c r="I648" s="87" t="s">
        <v>396</v>
      </c>
      <c r="J648" s="80">
        <f t="shared" si="50"/>
        <v>0</v>
      </c>
      <c r="K648" s="67"/>
      <c r="L648" s="69"/>
      <c r="M648" s="8"/>
    </row>
    <row r="649" spans="1:13" s="3" customFormat="1" ht="12.2" customHeight="1" x14ac:dyDescent="0.15">
      <c r="A649" s="21"/>
      <c r="B649" s="22"/>
      <c r="C649" s="22"/>
      <c r="D649" s="22"/>
      <c r="E649" s="22"/>
      <c r="F649" s="86" t="s">
        <v>52</v>
      </c>
      <c r="G649" s="80">
        <f>K606</f>
        <v>213134.11</v>
      </c>
      <c r="H649" s="80">
        <f>(J258+J339)-(J256+J337)</f>
        <v>213134.11</v>
      </c>
      <c r="I649" s="87" t="s">
        <v>699</v>
      </c>
      <c r="J649" s="80">
        <f t="shared" si="50"/>
        <v>0</v>
      </c>
      <c r="K649" s="67"/>
      <c r="L649" s="69"/>
      <c r="M649" s="8"/>
    </row>
    <row r="650" spans="1:13" s="3" customFormat="1" ht="12.2" customHeight="1" x14ac:dyDescent="0.15">
      <c r="A650" s="21"/>
      <c r="B650" s="22"/>
      <c r="C650" s="22"/>
      <c r="D650" s="22"/>
      <c r="E650" s="22"/>
      <c r="F650" s="86" t="s">
        <v>387</v>
      </c>
      <c r="G650" s="80">
        <f>L209</f>
        <v>746520.67</v>
      </c>
      <c r="H650" s="80">
        <f>H599</f>
        <v>746520.67</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642127.30999999994</v>
      </c>
      <c r="H652" s="80">
        <f>J599</f>
        <v>642127.30999999994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14214.15</v>
      </c>
      <c r="H653" s="80">
        <f>K264+K346</f>
        <v>14214.15</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2030785.67</v>
      </c>
      <c r="H656" s="80">
        <f>K267+K348</f>
        <v>2030785.67</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15736554.43</v>
      </c>
      <c r="G661" s="13">
        <f>(L230+L310+L360)</f>
        <v>0</v>
      </c>
      <c r="H661" s="13">
        <f>(L248+L329+L361)</f>
        <v>10262770.160000002</v>
      </c>
      <c r="I661" s="13">
        <f>SUM(F661:H661)</f>
        <v>25999324.590000004</v>
      </c>
      <c r="J661" s="13"/>
      <c r="K661" s="13"/>
      <c r="L661" s="13"/>
      <c r="M661" s="9"/>
    </row>
    <row r="662" spans="1:13" s="3" customFormat="1" ht="12.2" customHeight="1" x14ac:dyDescent="0.2">
      <c r="A662" s="1" t="s">
        <v>127</v>
      </c>
      <c r="F662" s="13">
        <f>(L359/IF(SUM(L359:L361)=0,1,SUM(L359:L361))*(SUM(G97:G110)))</f>
        <v>147168.85277527093</v>
      </c>
      <c r="G662" s="13">
        <f>(L360/IF(SUM(L359:L361)=0,1,SUM(L359:L361))*(SUM(G97:G110)))</f>
        <v>0</v>
      </c>
      <c r="H662" s="13">
        <f>(L361/IF(SUM(L359:L361)=0,1,SUM(L359:L361))*(SUM(G97:G110)))</f>
        <v>69770.257224729037</v>
      </c>
      <c r="I662" s="13">
        <f>SUM(F662:H662)</f>
        <v>216939.11</v>
      </c>
      <c r="J662"/>
      <c r="K662" s="13"/>
      <c r="L662" s="13"/>
      <c r="M662" s="8"/>
    </row>
    <row r="663" spans="1:13" s="3" customFormat="1" ht="12.2" customHeight="1" x14ac:dyDescent="0.2">
      <c r="A663" s="1" t="s">
        <v>128</v>
      </c>
      <c r="F663" s="13">
        <f>(L209+L288)-(J209+J288)</f>
        <v>740828.30999999994</v>
      </c>
      <c r="G663" s="13">
        <f>(L227+L307)-(J227+J307)</f>
        <v>0</v>
      </c>
      <c r="H663" s="13">
        <f>(L245+L326)-(J245+J326)</f>
        <v>643129.95999999985</v>
      </c>
      <c r="I663" s="13">
        <f>SUM(F663:H663)</f>
        <v>1383958.2699999998</v>
      </c>
      <c r="J663"/>
      <c r="K663" s="13"/>
      <c r="L663" s="13"/>
      <c r="M663" s="9"/>
    </row>
    <row r="664" spans="1:13" s="3" customFormat="1" ht="12.2" customHeight="1" x14ac:dyDescent="0.15">
      <c r="A664" s="142" t="s">
        <v>129</v>
      </c>
      <c r="B664" s="124"/>
      <c r="C664" s="124"/>
      <c r="D664" s="124"/>
      <c r="E664" s="124"/>
      <c r="F664" s="143">
        <f>SUM(F576:F588)+SUM(H603:H605)+SUM(L612)</f>
        <v>369663</v>
      </c>
      <c r="G664" s="143">
        <f>SUM(G576:G588)+SUM(I603:I605)+L613</f>
        <v>0</v>
      </c>
      <c r="H664" s="143">
        <f>SUM(H576:H588)+SUM(J603:J605)+L614</f>
        <v>816407.47999999986</v>
      </c>
      <c r="I664" s="13">
        <f>SUM(F664:H664)</f>
        <v>1186070.48</v>
      </c>
      <c r="J664" s="13"/>
      <c r="K664" s="13"/>
      <c r="L664" s="13"/>
      <c r="M664" s="9"/>
    </row>
    <row r="665" spans="1:13" s="3" customFormat="1" ht="12.2" customHeight="1" x14ac:dyDescent="0.15">
      <c r="A665" s="1" t="s">
        <v>130</v>
      </c>
      <c r="F665" s="13">
        <f>F661-SUM(F662:F664)</f>
        <v>14478894.267224729</v>
      </c>
      <c r="G665" s="13">
        <f>G661-SUM(G662:G664)</f>
        <v>0</v>
      </c>
      <c r="H665" s="13">
        <f>H661-SUM(H662:H664)</f>
        <v>8733462.4627752732</v>
      </c>
      <c r="I665" s="13">
        <f>I661-SUM(I662:I664)</f>
        <v>23212356.730000004</v>
      </c>
      <c r="J665" s="13"/>
      <c r="K665" s="13"/>
      <c r="L665" s="13"/>
      <c r="M665" s="8"/>
    </row>
    <row r="666" spans="1:13" s="3" customFormat="1" ht="12.2" customHeight="1" x14ac:dyDescent="0.2">
      <c r="A666" s="1" t="s">
        <v>131</v>
      </c>
      <c r="F666" s="183">
        <v>588.70000000000005</v>
      </c>
      <c r="G666" s="184"/>
      <c r="H666" s="184">
        <v>351.6</v>
      </c>
      <c r="I666" s="13">
        <f>SUM(F666:H666)</f>
        <v>940.30000000000007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24594.69</v>
      </c>
      <c r="G668" s="13" t="e">
        <f>ROUND(G665/G666,2)</f>
        <v>#DIV/0!</v>
      </c>
      <c r="H668" s="13">
        <f>ROUND(H665/H666,2)</f>
        <v>24839.200000000001</v>
      </c>
      <c r="I668" s="13">
        <f>ROUND(I665/I666,2)</f>
        <v>24686.12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-4.28</v>
      </c>
      <c r="I671" s="13">
        <f>SUM(F671:H671)</f>
        <v>-4.28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24594.69</v>
      </c>
      <c r="G673" s="13" t="e">
        <f>ROUND((G665+G670)/(G666+G671),2)</f>
        <v>#DIV/0!</v>
      </c>
      <c r="H673" s="13">
        <f>ROUND((H665+H670)/(H666+H671),2)</f>
        <v>25145.29</v>
      </c>
      <c r="I673" s="13">
        <f>ROUND((I665+I670)/(I666+I671),2)</f>
        <v>24799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I27" sqref="I27"/>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127872.94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99119.16</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17504.099999999999</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11249.68</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White Mountains Regional</v>
      </c>
      <c r="C5" s="318"/>
      <c r="D5" s="318"/>
      <c r="E5" s="318"/>
      <c r="F5" s="318"/>
    </row>
    <row r="8" spans="1:9" ht="18" x14ac:dyDescent="0.25">
      <c r="A8" s="240" t="s">
        <v>1560</v>
      </c>
      <c r="F8" s="247" t="s">
        <v>1578</v>
      </c>
    </row>
    <row r="9" spans="1:9" ht="15" x14ac:dyDescent="0.2">
      <c r="A9" s="238" t="s">
        <v>1561</v>
      </c>
      <c r="B9" s="241">
        <f>'DOE25'!G97</f>
        <v>216939.11</v>
      </c>
      <c r="F9" s="238" t="s">
        <v>1574</v>
      </c>
    </row>
    <row r="10" spans="1:9" ht="15" x14ac:dyDescent="0.2">
      <c r="A10" s="238" t="s">
        <v>1562</v>
      </c>
      <c r="B10" s="241">
        <f>'DOE25'!G112-'DOE25'!G97</f>
        <v>0</v>
      </c>
      <c r="F10" s="238" t="s">
        <v>1575</v>
      </c>
    </row>
    <row r="11" spans="1:9" ht="15" x14ac:dyDescent="0.2">
      <c r="A11" s="238" t="s">
        <v>1563</v>
      </c>
      <c r="B11" s="241">
        <f>'DOE25'!G140</f>
        <v>7595.15</v>
      </c>
      <c r="F11" s="238" t="s">
        <v>1576</v>
      </c>
    </row>
    <row r="12" spans="1:9" ht="15" x14ac:dyDescent="0.2">
      <c r="A12" s="238" t="s">
        <v>1564</v>
      </c>
      <c r="B12" s="241">
        <f>'DOE25'!G170</f>
        <v>428837.51999999996</v>
      </c>
      <c r="F12" s="238" t="s">
        <v>1577</v>
      </c>
    </row>
    <row r="13" spans="1:9" ht="15" x14ac:dyDescent="0.2">
      <c r="A13" s="238" t="s">
        <v>1565</v>
      </c>
      <c r="B13" s="241">
        <f>'DOE25'!G193-'DOE25'!G180</f>
        <v>0</v>
      </c>
      <c r="F13" s="238" t="s">
        <v>1587</v>
      </c>
    </row>
    <row r="14" spans="1:9" ht="18" x14ac:dyDescent="0.25">
      <c r="A14" s="240" t="s">
        <v>732</v>
      </c>
      <c r="B14" s="242">
        <f>SUM(B9:B13)</f>
        <v>653371.77999999991</v>
      </c>
    </row>
    <row r="16" spans="1:9" ht="18" x14ac:dyDescent="0.25">
      <c r="A16" s="240" t="s">
        <v>786</v>
      </c>
      <c r="F16" s="247" t="s">
        <v>1579</v>
      </c>
    </row>
    <row r="17" spans="1:6" ht="15" x14ac:dyDescent="0.2">
      <c r="A17" s="238" t="s">
        <v>1566</v>
      </c>
      <c r="B17" s="241">
        <f>'DOE25'!L363-'DOE25'!L362</f>
        <v>711798.32000000007</v>
      </c>
      <c r="F17" s="238" t="s">
        <v>1580</v>
      </c>
    </row>
    <row r="18" spans="1:6" ht="15" x14ac:dyDescent="0.2">
      <c r="A18" s="238" t="s">
        <v>1567</v>
      </c>
      <c r="B18" s="251">
        <v>0</v>
      </c>
      <c r="F18" s="247" t="s">
        <v>1604</v>
      </c>
    </row>
    <row r="19" spans="1:6" ht="18" x14ac:dyDescent="0.25">
      <c r="A19" s="240" t="s">
        <v>725</v>
      </c>
      <c r="B19" s="242">
        <f>SUM(B17:B18)</f>
        <v>711798.32000000007</v>
      </c>
    </row>
    <row r="21" spans="1:6" ht="18.75" thickBot="1" x14ac:dyDescent="0.3">
      <c r="A21" s="240" t="s">
        <v>1568</v>
      </c>
    </row>
    <row r="22" spans="1:6" ht="18.75" thickTop="1" x14ac:dyDescent="0.25">
      <c r="A22" s="240" t="s">
        <v>1569</v>
      </c>
      <c r="B22" s="246">
        <f>B14-B19</f>
        <v>-58426.540000000154</v>
      </c>
      <c r="F22" s="238" t="s">
        <v>1581</v>
      </c>
    </row>
    <row r="26" spans="1:6" ht="18" x14ac:dyDescent="0.25">
      <c r="A26" s="240" t="s">
        <v>186</v>
      </c>
    </row>
    <row r="27" spans="1:6" ht="15" x14ac:dyDescent="0.2">
      <c r="A27" s="238" t="s">
        <v>1570</v>
      </c>
      <c r="B27" s="241">
        <f>'DOE25'!G180</f>
        <v>14214.15</v>
      </c>
      <c r="F27" s="238" t="s">
        <v>1582</v>
      </c>
    </row>
    <row r="28" spans="1:6" ht="15" x14ac:dyDescent="0.2">
      <c r="A28" s="238" t="s">
        <v>1572</v>
      </c>
      <c r="B28" s="241">
        <f>'DOE25'!L362</f>
        <v>0</v>
      </c>
      <c r="F28" s="238" t="s">
        <v>1583</v>
      </c>
    </row>
    <row r="31" spans="1:6" ht="15" x14ac:dyDescent="0.2">
      <c r="A31" s="238" t="s">
        <v>1797</v>
      </c>
      <c r="B31" s="241">
        <f>'DOE25'!G466</f>
        <v>100012.18</v>
      </c>
      <c r="F31" s="238" t="s">
        <v>1584</v>
      </c>
    </row>
    <row r="33" spans="1:6" ht="15" x14ac:dyDescent="0.2">
      <c r="A33" s="238" t="s">
        <v>1798</v>
      </c>
      <c r="B33" s="241">
        <f>'DOE25'!G477</f>
        <v>55799.790000000154</v>
      </c>
      <c r="F33" s="238" t="s">
        <v>1585</v>
      </c>
    </row>
    <row r="36" spans="1:6" ht="15" x14ac:dyDescent="0.2">
      <c r="A36" s="238" t="s">
        <v>1571</v>
      </c>
      <c r="B36" s="252">
        <v>54887.72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14" sqref="G14"/>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White Mountains Regional</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4582584.75</v>
      </c>
      <c r="C9" s="167">
        <f>'DOE25'!G198+'DOE25'!G216+'DOE25'!G234+'DOE25'!G277+'DOE25'!G296+'DOE25'!G315</f>
        <v>2670870.42</v>
      </c>
    </row>
    <row r="10" spans="1:3" x14ac:dyDescent="0.2">
      <c r="A10" t="s">
        <v>775</v>
      </c>
      <c r="B10" s="177">
        <f>4103713.29+1100.46</f>
        <v>4104813.75</v>
      </c>
      <c r="C10" s="177">
        <f>2386694.87+836.8-4067.58+28445.58</f>
        <v>2411909.67</v>
      </c>
    </row>
    <row r="11" spans="1:3" x14ac:dyDescent="0.2">
      <c r="A11" t="s">
        <v>776</v>
      </c>
      <c r="B11" s="177">
        <v>229723.53</v>
      </c>
      <c r="C11" s="177">
        <f>239552.77-408.12</f>
        <v>239144.65</v>
      </c>
    </row>
    <row r="12" spans="1:3" x14ac:dyDescent="0.2">
      <c r="A12" t="s">
        <v>777</v>
      </c>
      <c r="B12" s="177">
        <f>247455.47+592</f>
        <v>248047.47</v>
      </c>
      <c r="C12" s="177">
        <f>19770.82+45.28</f>
        <v>19816.099999999999</v>
      </c>
    </row>
    <row r="13" spans="1:3" x14ac:dyDescent="0.2">
      <c r="A13" t="str">
        <f>IF(B9=B13,IF(C9=C13,"Check Total OK","Check Total Error"),"Check Total Error")</f>
        <v>Check Total OK</v>
      </c>
      <c r="B13" s="169">
        <f>SUM(B10:B12)</f>
        <v>4582584.75</v>
      </c>
      <c r="C13" s="169">
        <f>SUM(C10:C12)</f>
        <v>2670870.42</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1530055.92</v>
      </c>
      <c r="C18" s="167">
        <f>'DOE25'!G199+'DOE25'!G217+'DOE25'!G235+'DOE25'!G278+'DOE25'!G297+'DOE25'!G316</f>
        <v>904377.71</v>
      </c>
    </row>
    <row r="19" spans="1:3" x14ac:dyDescent="0.2">
      <c r="A19" t="s">
        <v>775</v>
      </c>
      <c r="B19" s="177">
        <v>780583.19</v>
      </c>
      <c r="C19" s="177">
        <f>399949.11+1046.55</f>
        <v>400995.66</v>
      </c>
    </row>
    <row r="20" spans="1:3" x14ac:dyDescent="0.2">
      <c r="A20" t="s">
        <v>776</v>
      </c>
      <c r="B20" s="177">
        <v>687792.61</v>
      </c>
      <c r="C20" s="177">
        <f>493601.4+1291.6</f>
        <v>494893</v>
      </c>
    </row>
    <row r="21" spans="1:3" x14ac:dyDescent="0.2">
      <c r="A21" t="s">
        <v>777</v>
      </c>
      <c r="B21" s="177">
        <v>61680.12</v>
      </c>
      <c r="C21" s="177">
        <v>8489.0499999999993</v>
      </c>
    </row>
    <row r="22" spans="1:3" x14ac:dyDescent="0.2">
      <c r="A22" t="str">
        <f>IF(B18=B22,IF(C18=C22,"Check Total OK","Check Total Error"),"Check Total Error")</f>
        <v>Check Total OK</v>
      </c>
      <c r="B22" s="169">
        <f>SUM(B19:B21)</f>
        <v>1530055.92</v>
      </c>
      <c r="C22" s="169">
        <f>SUM(C19:C21)</f>
        <v>904377.71</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500562.24</v>
      </c>
      <c r="C27" s="172">
        <f>'DOE25'!G200+'DOE25'!G218+'DOE25'!G236+'DOE25'!G279+'DOE25'!G298+'DOE25'!G317</f>
        <v>226264.79</v>
      </c>
    </row>
    <row r="28" spans="1:3" x14ac:dyDescent="0.2">
      <c r="A28" t="s">
        <v>775</v>
      </c>
      <c r="B28" s="177">
        <f>496663.95-101.71</f>
        <v>496562.24</v>
      </c>
      <c r="C28" s="177">
        <f>226886.07-927.27</f>
        <v>225958.80000000002</v>
      </c>
    </row>
    <row r="29" spans="1:3" x14ac:dyDescent="0.2">
      <c r="A29" t="s">
        <v>776</v>
      </c>
      <c r="B29" s="177">
        <v>0</v>
      </c>
      <c r="C29" s="177">
        <v>0</v>
      </c>
    </row>
    <row r="30" spans="1:3" x14ac:dyDescent="0.2">
      <c r="A30" t="s">
        <v>777</v>
      </c>
      <c r="B30" s="177">
        <v>4000</v>
      </c>
      <c r="C30" s="177">
        <v>305.99</v>
      </c>
    </row>
    <row r="31" spans="1:3" x14ac:dyDescent="0.2">
      <c r="A31" t="str">
        <f>IF(B27=B31,IF(C27=C31,"Check Total OK","Check Total Error"),"Check Total Error")</f>
        <v>Check Total OK</v>
      </c>
      <c r="B31" s="169">
        <f>SUM(B28:B30)</f>
        <v>500562.24</v>
      </c>
      <c r="C31" s="169">
        <f>SUM(C28:C30)</f>
        <v>226264.79</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278092.78000000003</v>
      </c>
      <c r="C36" s="173">
        <f>'DOE25'!G201+'DOE25'!G219+'DOE25'!G237+'DOE25'!G280+'DOE25'!G299+'DOE25'!G318</f>
        <v>79798.259999999995</v>
      </c>
    </row>
    <row r="37" spans="1:3" x14ac:dyDescent="0.2">
      <c r="A37" t="s">
        <v>775</v>
      </c>
      <c r="B37" s="177">
        <v>75494.5</v>
      </c>
      <c r="C37" s="177">
        <v>21522.77</v>
      </c>
    </row>
    <row r="38" spans="1:3" x14ac:dyDescent="0.2">
      <c r="A38" t="s">
        <v>776</v>
      </c>
      <c r="B38" s="177">
        <v>0</v>
      </c>
      <c r="C38" s="177">
        <v>0</v>
      </c>
    </row>
    <row r="39" spans="1:3" x14ac:dyDescent="0.2">
      <c r="A39" t="s">
        <v>777</v>
      </c>
      <c r="B39" s="177">
        <f>202589.88+8.4</f>
        <v>202598.28</v>
      </c>
      <c r="C39" s="177">
        <f>57432.51+842.98</f>
        <v>58275.490000000005</v>
      </c>
    </row>
    <row r="40" spans="1:3" x14ac:dyDescent="0.2">
      <c r="A40" t="str">
        <f>IF(B36=B40,IF(C36=C40,"Check Total OK","Check Total Error"),"Check Total Error")</f>
        <v>Check Total OK</v>
      </c>
      <c r="B40" s="169">
        <f>SUM(B37:B39)</f>
        <v>278092.78000000003</v>
      </c>
      <c r="C40" s="169">
        <f>SUM(C37:C39)</f>
        <v>79798.260000000009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M35" sqref="M3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White Mountains Regional</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10904982.43</v>
      </c>
      <c r="D5" s="19">
        <f>SUM('DOE25'!L198:L201)+SUM('DOE25'!L216:L219)+SUM('DOE25'!L234:L237)-F5-G5-H5</f>
        <v>10744607.93</v>
      </c>
      <c r="E5" s="180"/>
      <c r="F5" s="181"/>
      <c r="G5" s="19">
        <f>SUM('DOE25'!J198:J201)+SUM('DOE25'!J216:J219)+SUM('DOE25'!J234:J237)</f>
        <v>57039.06</v>
      </c>
      <c r="H5" s="19">
        <f>SUM('DOE25'!K198:K201)+SUM('DOE25'!K216:K219)+SUM('DOE25'!K234:K237)</f>
        <v>103335.44</v>
      </c>
      <c r="I5" s="192"/>
    </row>
    <row r="6" spans="1:9" x14ac:dyDescent="0.2">
      <c r="A6" s="31">
        <v>2100</v>
      </c>
      <c r="B6" t="s">
        <v>796</v>
      </c>
      <c r="C6" s="206">
        <f t="shared" si="0"/>
        <v>2101217.64</v>
      </c>
      <c r="D6" s="19">
        <f>'DOE25'!L203+'DOE25'!L221+'DOE25'!L239-F6-G6-H6</f>
        <v>1931879.77</v>
      </c>
      <c r="E6" s="180"/>
      <c r="F6" s="181">
        <v>168149.75</v>
      </c>
      <c r="G6" s="19">
        <f>'DOE25'!J203+'DOE25'!J221+'DOE25'!J239</f>
        <v>388.12</v>
      </c>
      <c r="H6" s="19">
        <f>'DOE25'!K203+'DOE25'!K221+'DOE25'!K239</f>
        <v>800</v>
      </c>
      <c r="I6" s="192"/>
    </row>
    <row r="7" spans="1:9" x14ac:dyDescent="0.2">
      <c r="A7" s="31">
        <v>2200</v>
      </c>
      <c r="B7" t="s">
        <v>820</v>
      </c>
      <c r="C7" s="206">
        <f t="shared" si="0"/>
        <v>823861.41</v>
      </c>
      <c r="D7" s="19">
        <f>'DOE25'!L204+'DOE25'!L222+'DOE25'!L240-F7-G7-H7</f>
        <v>820372.78</v>
      </c>
      <c r="E7" s="180"/>
      <c r="F7" s="181"/>
      <c r="G7" s="19">
        <f>'DOE25'!J204+'DOE25'!J222+'DOE25'!J240</f>
        <v>3488.63</v>
      </c>
      <c r="H7" s="19">
        <f>'DOE25'!K204+'DOE25'!K222+'DOE25'!K240</f>
        <v>0</v>
      </c>
      <c r="I7" s="192"/>
    </row>
    <row r="8" spans="1:9" x14ac:dyDescent="0.2">
      <c r="A8" s="31">
        <v>2300</v>
      </c>
      <c r="B8" t="s">
        <v>797</v>
      </c>
      <c r="C8" s="206">
        <f t="shared" si="0"/>
        <v>994807.53999999992</v>
      </c>
      <c r="D8" s="180"/>
      <c r="E8" s="19">
        <f>'DOE25'!L205+'DOE25'!L223+'DOE25'!L241-F8-G8-H8-D9-D11</f>
        <v>951679.52999999991</v>
      </c>
      <c r="F8" s="181"/>
      <c r="G8" s="19">
        <f>'DOE25'!J205+'DOE25'!J223+'DOE25'!J241</f>
        <v>1461.02</v>
      </c>
      <c r="H8" s="19">
        <f>'DOE25'!K205+'DOE25'!K223+'DOE25'!K241</f>
        <v>41666.990000000005</v>
      </c>
      <c r="I8" s="192"/>
    </row>
    <row r="9" spans="1:9" ht="14.25" x14ac:dyDescent="0.2">
      <c r="A9" s="31">
        <v>2310</v>
      </c>
      <c r="B9" s="71" t="s">
        <v>887</v>
      </c>
      <c r="C9" s="206">
        <f t="shared" si="0"/>
        <v>106071.84</v>
      </c>
      <c r="D9" s="181">
        <v>106071.84</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1558474.56</v>
      </c>
      <c r="D12" s="19">
        <f>'DOE25'!L206+'DOE25'!L224+'DOE25'!L242-F12-G12-H12</f>
        <v>1503568.87</v>
      </c>
      <c r="E12" s="180"/>
      <c r="F12" s="181"/>
      <c r="G12" s="19">
        <f>'DOE25'!J206+'DOE25'!J224+'DOE25'!J242</f>
        <v>11532.39</v>
      </c>
      <c r="H12" s="19">
        <f>'DOE25'!K206+'DOE25'!K224+'DOE25'!K242</f>
        <v>43373.3</v>
      </c>
      <c r="I12" s="192"/>
    </row>
    <row r="13" spans="1:9" x14ac:dyDescent="0.2">
      <c r="A13" s="31">
        <v>2500</v>
      </c>
      <c r="B13" t="s">
        <v>798</v>
      </c>
      <c r="C13" s="206">
        <f t="shared" si="0"/>
        <v>364235.07</v>
      </c>
      <c r="D13" s="180"/>
      <c r="E13" s="19">
        <f>'DOE25'!L207+'DOE25'!L225+'DOE25'!L243-F13-G13-H13</f>
        <v>362405.09</v>
      </c>
      <c r="F13" s="181"/>
      <c r="G13" s="19">
        <f>'DOE25'!J207+'DOE25'!J225+'DOE25'!J243</f>
        <v>0</v>
      </c>
      <c r="H13" s="19">
        <f>'DOE25'!K207+'DOE25'!K225+'DOE25'!K243</f>
        <v>1829.98</v>
      </c>
      <c r="I13" s="192"/>
    </row>
    <row r="14" spans="1:9" x14ac:dyDescent="0.2">
      <c r="A14" s="31">
        <v>2600</v>
      </c>
      <c r="B14" t="s">
        <v>818</v>
      </c>
      <c r="C14" s="206">
        <f t="shared" si="0"/>
        <v>3562349.96</v>
      </c>
      <c r="D14" s="19">
        <f>'DOE25'!L208+'DOE25'!L226+'DOE25'!L244-F14-G14-H14</f>
        <v>2311315.5600000005</v>
      </c>
      <c r="E14" s="180"/>
      <c r="F14" s="181">
        <v>1236469.26</v>
      </c>
      <c r="G14" s="19">
        <f>'DOE25'!J208+'DOE25'!J226+'DOE25'!J244</f>
        <v>10663.55</v>
      </c>
      <c r="H14" s="19">
        <f>'DOE25'!K208+'DOE25'!K226+'DOE25'!K244</f>
        <v>3901.59</v>
      </c>
      <c r="I14" s="192"/>
    </row>
    <row r="15" spans="1:9" x14ac:dyDescent="0.2">
      <c r="A15" s="31">
        <v>2700</v>
      </c>
      <c r="B15" t="s">
        <v>799</v>
      </c>
      <c r="C15" s="206">
        <f t="shared" si="0"/>
        <v>1388647.98</v>
      </c>
      <c r="D15" s="19">
        <f>'DOE25'!L209+'DOE25'!L227+'DOE25'!L245-F15-G15-H15</f>
        <v>363344.64000000001</v>
      </c>
      <c r="E15" s="180"/>
      <c r="F15" s="181">
        <v>992806.49</v>
      </c>
      <c r="G15" s="19">
        <f>'DOE25'!J209+'DOE25'!J227+'DOE25'!J245</f>
        <v>32496.850000000002</v>
      </c>
      <c r="H15" s="19">
        <f>'DOE25'!K209+'DOE25'!K227+'DOE25'!K245</f>
        <v>0</v>
      </c>
      <c r="I15" s="192"/>
    </row>
    <row r="16" spans="1:9" x14ac:dyDescent="0.2">
      <c r="A16" s="31">
        <v>2800</v>
      </c>
      <c r="B16" t="s">
        <v>800</v>
      </c>
      <c r="C16" s="206">
        <f t="shared" si="0"/>
        <v>426235.14999999991</v>
      </c>
      <c r="D16" s="180"/>
      <c r="E16" s="19">
        <f>'DOE25'!L210+'DOE25'!L228+'DOE25'!L246-F16-G16-H16</f>
        <v>368980.5799999999</v>
      </c>
      <c r="F16" s="181"/>
      <c r="G16" s="19">
        <f>'DOE25'!J210+'DOE25'!J228+'DOE25'!J246</f>
        <v>0</v>
      </c>
      <c r="H16" s="19">
        <f>'DOE25'!K210+'DOE25'!K228+'DOE25'!K246</f>
        <v>57254.57</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1434426.66</v>
      </c>
      <c r="D22" s="180"/>
      <c r="E22" s="180"/>
      <c r="F22" s="180"/>
      <c r="G22" s="19">
        <f>'DOE25'!L256+'DOE25'!L337</f>
        <v>1434426.66</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411356.04000000004</v>
      </c>
      <c r="D29" s="212">
        <f>'DOE25'!L359+'DOE25'!L360+'DOE25'!L361-'DOE25'!I368-F29-G29-H29-F39</f>
        <v>400869.54000000004</v>
      </c>
      <c r="E29" s="180"/>
      <c r="F29" s="180"/>
      <c r="G29" s="19">
        <f>'DOE25'!J359+'DOE25'!J360+'DOE25'!J361</f>
        <v>6082</v>
      </c>
      <c r="H29" s="19">
        <f>'DOE25'!K359+'DOE25'!K360+'DOE25'!K361</f>
        <v>4404.5</v>
      </c>
      <c r="I29" s="192"/>
    </row>
    <row r="30" spans="1:9" x14ac:dyDescent="0.2">
      <c r="A30" s="31"/>
      <c r="C30" s="207"/>
      <c r="D30" s="19"/>
      <c r="F30" s="201"/>
      <c r="G30" s="19"/>
      <c r="H30" s="19"/>
      <c r="I30" s="192"/>
    </row>
    <row r="31" spans="1:9" x14ac:dyDescent="0.2">
      <c r="A31" s="31" t="s">
        <v>817</v>
      </c>
      <c r="B31" t="s">
        <v>816</v>
      </c>
      <c r="C31" s="206">
        <f>SUM(D31:I31)</f>
        <v>3059550.7199999993</v>
      </c>
      <c r="D31" s="19">
        <f>'DOE25'!L291+'DOE25'!L310+'DOE25'!L329+'DOE25'!L334+'DOE25'!L335+'DOE25'!L336-F31-G31-H31</f>
        <v>2747763.6699999995</v>
      </c>
      <c r="E31" s="180"/>
      <c r="F31" s="181">
        <v>206770.71</v>
      </c>
      <c r="G31" s="19">
        <f>'DOE25'!J291+'DOE25'!J310+'DOE25'!J329+'DOE25'!J334+'DOE25'!J335+'DOE25'!J336</f>
        <v>96064.489999999991</v>
      </c>
      <c r="H31" s="19">
        <f>'DOE25'!K291+'DOE25'!K310+'DOE25'!K329+'DOE25'!K334+'DOE25'!K335+'DOE25'!K336</f>
        <v>8951.85</v>
      </c>
      <c r="I31" s="192"/>
    </row>
    <row r="32" spans="1:9" ht="12" thickBot="1" x14ac:dyDescent="0.25">
      <c r="C32" s="207"/>
      <c r="G32" s="188"/>
      <c r="H32" s="188"/>
      <c r="I32" s="194"/>
    </row>
    <row r="33" spans="1:9" ht="12" thickTop="1" x14ac:dyDescent="0.2">
      <c r="B33" t="s">
        <v>809</v>
      </c>
      <c r="D33" s="182">
        <f t="shared" ref="D33:I33" si="1">SUM(D5:D31)</f>
        <v>20929794.599999998</v>
      </c>
      <c r="E33" s="182">
        <f t="shared" si="1"/>
        <v>1683065.1999999997</v>
      </c>
      <c r="F33" s="182">
        <f t="shared" si="1"/>
        <v>2604196.21</v>
      </c>
      <c r="G33" s="182">
        <f t="shared" si="1"/>
        <v>1653642.77</v>
      </c>
      <c r="H33" s="182">
        <f t="shared" si="1"/>
        <v>265518.21999999997</v>
      </c>
      <c r="I33" s="182">
        <f t="shared" si="1"/>
        <v>0</v>
      </c>
    </row>
    <row r="34" spans="1:9" ht="12" thickBot="1" x14ac:dyDescent="0.25"/>
    <row r="35" spans="1:9" ht="12" thickBot="1" x14ac:dyDescent="0.25">
      <c r="B35" s="188" t="s">
        <v>830</v>
      </c>
      <c r="D35" s="189">
        <f>E33</f>
        <v>1683065.1999999997</v>
      </c>
      <c r="E35" s="185"/>
      <c r="F35" s="295" t="s">
        <v>1608</v>
      </c>
      <c r="G35" s="296"/>
      <c r="H35" s="296"/>
      <c r="I35" s="297"/>
    </row>
    <row r="36" spans="1:9" ht="12" thickTop="1" x14ac:dyDescent="0.2">
      <c r="B36" t="s">
        <v>810</v>
      </c>
      <c r="D36" s="19">
        <f>D33</f>
        <v>20929794.599999998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H18" sqref="H1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White Mountains Regional</v>
      </c>
      <c r="B2">
        <f>'DOE25'!B2</f>
        <v>568</v>
      </c>
      <c r="J2" s="224" t="s">
        <v>1808</v>
      </c>
      <c r="K2" s="309">
        <f>SUM('DOE25'!L198:L201)+SUM('DOE25'!L216:L219)+SUM('DOE25'!L234:L237)+SUM('DOE25'!L277:L280)+SUM('DOE25'!L296:L299)+SUM('DOE25'!L315:L318)</f>
        <v>12978183.390000001</v>
      </c>
      <c r="L2" s="309">
        <f>'DOE25'!L203+'DOE25'!L221+'DOE25'!L239+'DOE25'!L282+'DOE25'!L301+'DOE25'!L320</f>
        <v>2568987.35</v>
      </c>
      <c r="M2" s="309">
        <f>'DOE25'!L204+'DOE25'!L222+'DOE25'!L240+'DOE25'!L283+'DOE25'!L302+'DOE25'!L321</f>
        <v>1209360.23</v>
      </c>
      <c r="N2" s="309">
        <f>'DOE25'!L206+'DOE25'!L224+'DOE25'!L242+'DOE25'!L285+'DOE25'!L304+'DOE25'!L323</f>
        <v>1558474.56</v>
      </c>
      <c r="O2" s="309">
        <f>'Salaries-Benefits'!B10+'Salaries-Benefits'!B12+'Salaries-Benefits'!B19+'Salaries-Benefits'!B21+'Salaries-Benefits'!B28+'Salaries-Benefits'!B30+'Salaries-Benefits'!B37+'Salaries-Benefits'!B39</f>
        <v>5973779.5500000007</v>
      </c>
      <c r="P2" s="309">
        <f>'Salaries-Benefits'!B11+'Salaries-Benefits'!B20+'Salaries-Benefits'!B29+'Salaries-Benefits'!B38</f>
        <v>917516.14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-12978183.390000001</v>
      </c>
      <c r="L3" s="311">
        <f t="shared" ref="L3:P3" si="0">L21+L33+L43-L2</f>
        <v>-2568987.35</v>
      </c>
      <c r="M3" s="311">
        <f t="shared" si="0"/>
        <v>-1209360.23</v>
      </c>
      <c r="N3" s="311">
        <f t="shared" si="0"/>
        <v>-1558474.56</v>
      </c>
      <c r="O3" s="311">
        <f t="shared" si="0"/>
        <v>-5973779.5500000007</v>
      </c>
      <c r="P3" s="311">
        <f t="shared" si="0"/>
        <v>-917516.14</v>
      </c>
      <c r="Q3" s="310"/>
      <c r="R3" s="306"/>
      <c r="S3" s="215"/>
      <c r="T3" s="215"/>
      <c r="U3" s="216"/>
    </row>
    <row r="4" spans="1:21" ht="55.5" customHeight="1" thickBot="1" x14ac:dyDescent="0.25">
      <c r="A4" s="224" t="s">
        <v>1522</v>
      </c>
      <c r="B4" s="224" t="s">
        <v>1523</v>
      </c>
      <c r="C4" s="224" t="s">
        <v>896</v>
      </c>
      <c r="D4" s="224" t="s">
        <v>786</v>
      </c>
      <c r="E4" s="224" t="s">
        <v>786</v>
      </c>
      <c r="F4" s="228">
        <f>SUM(F5:F20)</f>
        <v>15253679.109999999</v>
      </c>
      <c r="G4" s="229">
        <f>'DOE25'!L212+'DOE25'!L291</f>
        <v>15253679.109999999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188746.47</v>
      </c>
      <c r="E5" s="220"/>
      <c r="F5" s="232">
        <f>D5+E5</f>
        <v>188746.47</v>
      </c>
      <c r="G5" s="223"/>
      <c r="H5" s="223"/>
      <c r="J5" s="223"/>
      <c r="K5" s="223"/>
      <c r="L5" s="223"/>
      <c r="M5" s="223"/>
      <c r="N5" s="223"/>
      <c r="O5" s="223"/>
      <c r="P5" s="223"/>
      <c r="Q5" s="223"/>
    </row>
    <row r="6" spans="1:21" x14ac:dyDescent="0.2">
      <c r="A6" t="str" cm="1">
        <f t="array" ref="A6">IFERROR(INDEX('School Tables'!$A$4:$G$325,'School Tables'!$J4,3),"")</f>
        <v>Lancaster Elementary School</v>
      </c>
      <c r="B6" s="230">
        <f>IFERROR(VLOOKUP(A6,'School Tables'!$C$3:$D$365,2,FALSE),"")</f>
        <v>21475</v>
      </c>
      <c r="C6" s="223" t="str">
        <f>IFERROR(INDEX('School Tables'!$B$3:$B$365,MATCH('School Level Expenditures'!B6,'School Tables'!$D$3:$D$365,0)),"")</f>
        <v>White Mountains Regional</v>
      </c>
      <c r="D6" s="220">
        <f>6869177.23-188746.47+9481.77</f>
        <v>6689912.5300000003</v>
      </c>
      <c r="E6" s="220">
        <v>1088802.57</v>
      </c>
      <c r="F6" s="232">
        <f t="shared" ref="F6:F20" si="1">D6+E6</f>
        <v>7778715.1000000006</v>
      </c>
      <c r="G6" s="223"/>
      <c r="H6" s="223"/>
      <c r="J6" t="str">
        <f>A6</f>
        <v>Lancaster Elementary School</v>
      </c>
      <c r="K6" s="20"/>
      <c r="L6" s="20"/>
      <c r="M6" s="308"/>
      <c r="N6" s="20"/>
      <c r="O6" s="20"/>
      <c r="P6" s="20"/>
      <c r="Q6" s="20"/>
    </row>
    <row r="7" spans="1:21" x14ac:dyDescent="0.2">
      <c r="A7" t="str" cm="1">
        <f t="array" ref="A7">IFERROR(INDEX('School Tables'!$A$4:$G$325,'School Tables'!$J5,3),"")</f>
        <v>Whitefield Elementary School</v>
      </c>
      <c r="B7" s="230">
        <f>IFERROR(VLOOKUP(A7,'School Tables'!$C$3:$D$365,2,FALSE),"")</f>
        <v>26930</v>
      </c>
      <c r="C7" s="223" t="str">
        <f>IFERROR(INDEX('School Tables'!$B$3:$B$365,MATCH('School Level Expenditures'!B7,'School Tables'!$D$3:$D$365,0)),"")</f>
        <v>White Mountains Regional</v>
      </c>
      <c r="D7" s="220">
        <f>6281140.3+9481.77</f>
        <v>6290622.0699999994</v>
      </c>
      <c r="E7" s="220">
        <v>995595.47</v>
      </c>
      <c r="F7" s="232">
        <f t="shared" si="1"/>
        <v>7286217.5399999991</v>
      </c>
      <c r="G7" s="223"/>
      <c r="H7" s="223"/>
      <c r="J7" t="str">
        <f t="shared" ref="J7:J20" si="2">A7</f>
        <v>Whitefield Elementary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13169281.07</v>
      </c>
      <c r="E21" s="262">
        <f>SUM(E5:E20)</f>
        <v>2084398.04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10033847.16</v>
      </c>
      <c r="G36" s="229">
        <f>'DOE25'!L248+'DOE25'!L329</f>
        <v>10033847.160000002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621619.96</v>
      </c>
      <c r="E37" s="220"/>
      <c r="F37" s="232">
        <f t="shared" ref="F37:F42" si="7">D37+E37</f>
        <v>621619.96</v>
      </c>
      <c r="G37" s="223"/>
      <c r="H37" s="223"/>
      <c r="J37" s="223"/>
      <c r="K37" s="223"/>
      <c r="L37" s="224"/>
      <c r="M37" s="223"/>
      <c r="N37" s="223"/>
      <c r="O37" s="223"/>
      <c r="P37" s="223"/>
      <c r="Q37" s="223"/>
    </row>
    <row r="38" spans="1:18" x14ac:dyDescent="0.2">
      <c r="A38" t="str" cm="1">
        <f t="array" ref="A38">IFERROR(INDEX('School Tables'!$W$4:$AC$100,'School Tables'!$AF4,3),"")</f>
        <v>White Mountains Regional High School</v>
      </c>
      <c r="B38" s="230">
        <f>IFERROR(VLOOKUP(A38,'School Tables'!$Y$4:$Z$100,2,FALSE),"")</f>
        <v>21480</v>
      </c>
      <c r="C38" s="223" t="str">
        <f>IFERROR(INDEX('School Tables'!$X$4:$X$100,MATCH('School Level Expenditures'!A38,'School Tables'!$Y$4:$Y$100,0)),"")</f>
        <v>White Mountains Regional</v>
      </c>
      <c r="D38" s="220">
        <f>9052120.47-621619.96+9482.04</f>
        <v>8439982.5500000007</v>
      </c>
      <c r="E38" s="220">
        <v>972244.65</v>
      </c>
      <c r="F38" s="232">
        <f t="shared" si="7"/>
        <v>9412227.2000000011</v>
      </c>
      <c r="G38" s="223"/>
      <c r="H38" s="223"/>
      <c r="J38" t="str">
        <f t="shared" ref="J38:J42" si="8">A38</f>
        <v>White Mountains Regional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9061602.5100000016</v>
      </c>
      <c r="E43" s="263">
        <f>SUM(E37:E42)</f>
        <v>972244.65</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I136" sqref="I13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White Mountains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2059631.29</v>
      </c>
      <c r="D8" s="73">
        <f>'DOE25'!G9</f>
        <v>200</v>
      </c>
      <c r="E8" s="73">
        <f>'DOE25'!H9</f>
        <v>0</v>
      </c>
      <c r="F8" s="73">
        <f>'DOE25'!I9</f>
        <v>0</v>
      </c>
      <c r="G8" s="73">
        <f>'DOE25'!J9</f>
        <v>1427461.52</v>
      </c>
      <c r="H8" s="13">
        <f>SUM(C8:G8)</f>
        <v>3487292.81</v>
      </c>
      <c r="I8" s="90"/>
    </row>
    <row r="9" spans="1:9" x14ac:dyDescent="0.2">
      <c r="A9" s="1" t="s">
        <v>140</v>
      </c>
      <c r="B9" s="6">
        <v>110</v>
      </c>
      <c r="C9" s="73">
        <f>'DOE25'!F10</f>
        <v>175.91</v>
      </c>
      <c r="D9" s="73">
        <f>'DOE25'!G10</f>
        <v>0</v>
      </c>
      <c r="E9" s="73">
        <f>'DOE25'!H10</f>
        <v>0</v>
      </c>
      <c r="F9" s="73">
        <f>'DOE25'!I10</f>
        <v>0</v>
      </c>
      <c r="G9" s="73">
        <f>'DOE25'!J10</f>
        <v>0</v>
      </c>
      <c r="H9" s="13">
        <f t="shared" ref="H9:H18" si="0">SUM(C9:G9)</f>
        <v>175.91</v>
      </c>
      <c r="I9" s="90"/>
    </row>
    <row r="10" spans="1:9" x14ac:dyDescent="0.2">
      <c r="A10" s="1" t="s">
        <v>141</v>
      </c>
      <c r="B10" s="6">
        <v>120</v>
      </c>
      <c r="C10" s="73">
        <f>'DOE25'!F11</f>
        <v>5398</v>
      </c>
      <c r="D10" s="23" t="s">
        <v>288</v>
      </c>
      <c r="E10" s="23" t="s">
        <v>288</v>
      </c>
      <c r="F10" s="23" t="s">
        <v>288</v>
      </c>
      <c r="G10" s="23" t="s">
        <v>288</v>
      </c>
      <c r="H10" s="13">
        <f t="shared" si="0"/>
        <v>5398</v>
      </c>
      <c r="I10" s="90"/>
    </row>
    <row r="11" spans="1:9" x14ac:dyDescent="0.2">
      <c r="A11" s="1" t="s">
        <v>142</v>
      </c>
      <c r="B11" s="6">
        <v>130</v>
      </c>
      <c r="C11" s="73">
        <f>'DOE25'!F12</f>
        <v>1005807.57</v>
      </c>
      <c r="D11" s="73">
        <f>'DOE25'!G12</f>
        <v>5059.5</v>
      </c>
      <c r="E11" s="73">
        <f>'DOE25'!H12</f>
        <v>0</v>
      </c>
      <c r="F11" s="73">
        <f>'DOE25'!I12</f>
        <v>0</v>
      </c>
      <c r="G11" s="73">
        <f>'DOE25'!J12</f>
        <v>0</v>
      </c>
      <c r="H11" s="13">
        <f t="shared" si="0"/>
        <v>1010867.07</v>
      </c>
      <c r="I11" s="90"/>
    </row>
    <row r="12" spans="1:9" x14ac:dyDescent="0.2">
      <c r="A12" s="1" t="s">
        <v>143</v>
      </c>
      <c r="B12" s="6">
        <v>140</v>
      </c>
      <c r="C12" s="73">
        <f>'DOE25'!F13</f>
        <v>194742.73</v>
      </c>
      <c r="D12" s="73">
        <f>'DOE25'!G13</f>
        <v>67528.2</v>
      </c>
      <c r="E12" s="73">
        <f>'DOE25'!H13</f>
        <v>1899346.59</v>
      </c>
      <c r="F12" s="73">
        <f>'DOE25'!I13</f>
        <v>0</v>
      </c>
      <c r="G12" s="73">
        <f>'DOE25'!J13</f>
        <v>7918.29</v>
      </c>
      <c r="H12" s="13">
        <f t="shared" si="0"/>
        <v>2169535.81</v>
      </c>
      <c r="I12" s="90"/>
    </row>
    <row r="13" spans="1:9" x14ac:dyDescent="0.2">
      <c r="A13" s="1" t="s">
        <v>144</v>
      </c>
      <c r="B13" s="6">
        <v>150</v>
      </c>
      <c r="C13" s="73">
        <f>'DOE25'!F14</f>
        <v>42877.919999999998</v>
      </c>
      <c r="D13" s="73">
        <f>'DOE25'!G14</f>
        <v>160.80000000000001</v>
      </c>
      <c r="E13" s="73">
        <f>'DOE25'!H14</f>
        <v>0</v>
      </c>
      <c r="F13" s="73">
        <f>'DOE25'!I14</f>
        <v>0</v>
      </c>
      <c r="G13" s="73">
        <f>'DOE25'!J14</f>
        <v>0</v>
      </c>
      <c r="H13" s="13">
        <f t="shared" si="0"/>
        <v>43038.720000000001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13123.35</v>
      </c>
      <c r="D16" s="73">
        <f>'DOE25'!G17</f>
        <v>0</v>
      </c>
      <c r="E16" s="73">
        <f>'DOE25'!H17</f>
        <v>0</v>
      </c>
      <c r="F16" s="73">
        <f>'DOE25'!I17</f>
        <v>0</v>
      </c>
      <c r="G16" s="73">
        <f>'DOE25'!J17</f>
        <v>0</v>
      </c>
      <c r="H16" s="13">
        <f t="shared" si="0"/>
        <v>13123.35</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3321756.77</v>
      </c>
      <c r="D18" s="38">
        <f>SUM(D8:D17)</f>
        <v>72948.5</v>
      </c>
      <c r="E18" s="38">
        <f>SUM(E8:E17)</f>
        <v>1899346.59</v>
      </c>
      <c r="F18" s="38">
        <f>SUM(F8:F17)</f>
        <v>0</v>
      </c>
      <c r="G18" s="38">
        <f>SUM(G8:G17)</f>
        <v>1435379.81</v>
      </c>
      <c r="H18" s="38">
        <f t="shared" si="0"/>
        <v>6729431.6699999999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1010866.12</v>
      </c>
      <c r="F21" s="73">
        <f>'DOE25'!I22</f>
        <v>0</v>
      </c>
      <c r="G21" s="73">
        <f>'DOE25'!J22</f>
        <v>0</v>
      </c>
      <c r="H21" s="13">
        <f t="shared" ref="H21:H31" si="1">SUM(C21:G21)</f>
        <v>1010866.12</v>
      </c>
      <c r="I21" s="90"/>
    </row>
    <row r="22" spans="1:9" x14ac:dyDescent="0.2">
      <c r="A22" s="1" t="s">
        <v>151</v>
      </c>
      <c r="B22" s="6">
        <v>410</v>
      </c>
      <c r="C22" s="73">
        <f>'DOE25'!F23</f>
        <v>7918.29</v>
      </c>
      <c r="D22" s="73">
        <f>'DOE25'!G23</f>
        <v>0</v>
      </c>
      <c r="E22" s="73">
        <f>'DOE25'!H23</f>
        <v>0</v>
      </c>
      <c r="F22" s="73">
        <f>'DOE25'!I23</f>
        <v>0</v>
      </c>
      <c r="G22" s="73">
        <f>'DOE25'!J23</f>
        <v>72619.91</v>
      </c>
      <c r="H22" s="13">
        <f t="shared" si="1"/>
        <v>80538.2</v>
      </c>
      <c r="I22" s="90"/>
    </row>
    <row r="23" spans="1:9" x14ac:dyDescent="0.2">
      <c r="A23" s="1" t="s">
        <v>152</v>
      </c>
      <c r="B23" s="6">
        <v>420</v>
      </c>
      <c r="C23" s="73">
        <f>'DOE25'!F24</f>
        <v>199265.08</v>
      </c>
      <c r="D23" s="73">
        <f>'DOE25'!G24</f>
        <v>2788.48</v>
      </c>
      <c r="E23" s="73">
        <f>'DOE25'!H24</f>
        <v>352442.5</v>
      </c>
      <c r="F23" s="73">
        <f>'DOE25'!I24</f>
        <v>0</v>
      </c>
      <c r="G23" s="73">
        <f>'DOE25'!J24</f>
        <v>0</v>
      </c>
      <c r="H23" s="13">
        <f t="shared" si="1"/>
        <v>554496.06000000006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1099385.01</v>
      </c>
      <c r="D27" s="73">
        <f>'DOE25'!G28</f>
        <v>9111.8700000000008</v>
      </c>
      <c r="E27" s="73">
        <f>'DOE25'!H28</f>
        <v>93112.62</v>
      </c>
      <c r="F27" s="73">
        <f>'DOE25'!I28</f>
        <v>0</v>
      </c>
      <c r="G27" s="23" t="s">
        <v>288</v>
      </c>
      <c r="H27" s="13">
        <f t="shared" si="1"/>
        <v>1201609.5</v>
      </c>
      <c r="I27" s="90"/>
    </row>
    <row r="28" spans="1:9" x14ac:dyDescent="0.2">
      <c r="A28" s="1" t="s">
        <v>157</v>
      </c>
      <c r="B28" s="6">
        <v>470</v>
      </c>
      <c r="C28" s="73">
        <f>'DOE25'!F29</f>
        <v>600154.87</v>
      </c>
      <c r="D28" s="73">
        <f>'DOE25'!G29</f>
        <v>5248.36</v>
      </c>
      <c r="E28" s="73">
        <f>'DOE25'!H29</f>
        <v>41479.629999999997</v>
      </c>
      <c r="F28" s="73">
        <f>'DOE25'!I29</f>
        <v>0</v>
      </c>
      <c r="G28" s="23" t="s">
        <v>288</v>
      </c>
      <c r="H28" s="13">
        <f t="shared" si="1"/>
        <v>646882.86</v>
      </c>
      <c r="I28" s="90"/>
    </row>
    <row r="29" spans="1:9" x14ac:dyDescent="0.2">
      <c r="A29" s="1" t="s">
        <v>158</v>
      </c>
      <c r="B29" s="6">
        <v>480</v>
      </c>
      <c r="C29" s="73">
        <f>'DOE25'!F30</f>
        <v>206332</v>
      </c>
      <c r="D29" s="73">
        <f>'DOE25'!G30</f>
        <v>0</v>
      </c>
      <c r="E29" s="73">
        <f>'DOE25'!H30</f>
        <v>362981.11</v>
      </c>
      <c r="F29" s="73">
        <f>'DOE25'!I30</f>
        <v>0</v>
      </c>
      <c r="G29" s="23" t="s">
        <v>288</v>
      </c>
      <c r="H29" s="13">
        <f t="shared" si="1"/>
        <v>569313.11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2113055.25</v>
      </c>
      <c r="D31" s="38">
        <f>SUM(D21:D30)</f>
        <v>17148.71</v>
      </c>
      <c r="E31" s="38">
        <f>SUM(E21:E30)</f>
        <v>1860881.98</v>
      </c>
      <c r="F31" s="38">
        <f>SUM(F21:F30)</f>
        <v>0</v>
      </c>
      <c r="G31" s="38">
        <f>SUM(G21:G30)</f>
        <v>72619.91</v>
      </c>
      <c r="H31" s="38">
        <f t="shared" si="1"/>
        <v>4063705.85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13123.35</v>
      </c>
      <c r="D35" s="73">
        <f>'DOE25'!G36</f>
        <v>0</v>
      </c>
      <c r="E35" s="73">
        <f>'DOE25'!H36</f>
        <v>0</v>
      </c>
      <c r="F35" s="73">
        <f>'DOE25'!I36</f>
        <v>0</v>
      </c>
      <c r="G35" s="23" t="s">
        <v>288</v>
      </c>
      <c r="H35" s="13">
        <f t="shared" si="2"/>
        <v>13123.35</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55799.79</v>
      </c>
      <c r="E39" s="23" t="s">
        <v>288</v>
      </c>
      <c r="F39" s="23" t="s">
        <v>288</v>
      </c>
      <c r="G39" s="23" t="s">
        <v>288</v>
      </c>
      <c r="H39" s="13">
        <f t="shared" si="2"/>
        <v>55799.79</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720000</v>
      </c>
      <c r="D43" s="73">
        <f>'DOE25'!G44</f>
        <v>0</v>
      </c>
      <c r="E43" s="73">
        <f>'DOE25'!H44</f>
        <v>0</v>
      </c>
      <c r="F43" s="73">
        <f>'DOE25'!I44</f>
        <v>0</v>
      </c>
      <c r="G43" s="23" t="s">
        <v>288</v>
      </c>
      <c r="H43" s="13">
        <f t="shared" si="2"/>
        <v>720000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7918.29</v>
      </c>
      <c r="D47" s="73">
        <f>'DOE25'!G48</f>
        <v>0</v>
      </c>
      <c r="E47" s="73">
        <f>'DOE25'!H48</f>
        <v>38464.61</v>
      </c>
      <c r="F47" s="73">
        <f>'DOE25'!I48</f>
        <v>0</v>
      </c>
      <c r="G47" s="73">
        <f>'DOE25'!J48</f>
        <v>1362759.9</v>
      </c>
      <c r="H47" s="13">
        <f t="shared" si="2"/>
        <v>1409142.7999999998</v>
      </c>
      <c r="I47" s="90"/>
    </row>
    <row r="48" spans="1:9" x14ac:dyDescent="0.2">
      <c r="A48" s="1" t="s">
        <v>881</v>
      </c>
      <c r="B48" s="6">
        <v>753</v>
      </c>
      <c r="C48" s="73">
        <f>'DOE25'!F49</f>
        <v>3060.66</v>
      </c>
      <c r="D48" s="73">
        <f>'DOE25'!G49</f>
        <v>0</v>
      </c>
      <c r="E48" s="73">
        <f>'DOE25'!H49</f>
        <v>0</v>
      </c>
      <c r="F48" s="73">
        <f>'DOE25'!I49</f>
        <v>0</v>
      </c>
      <c r="G48" s="73">
        <f>'DOE25'!J49</f>
        <v>0</v>
      </c>
      <c r="H48" s="13">
        <f t="shared" si="2"/>
        <v>3060.66</v>
      </c>
      <c r="I48" s="90"/>
    </row>
    <row r="49" spans="1:9" ht="12" thickBot="1" x14ac:dyDescent="0.25">
      <c r="A49" s="28" t="s">
        <v>882</v>
      </c>
      <c r="B49" s="56">
        <v>770</v>
      </c>
      <c r="C49" s="73">
        <f>'DOE25'!F50</f>
        <v>464599.22</v>
      </c>
      <c r="D49" s="23" t="s">
        <v>288</v>
      </c>
      <c r="E49" s="23" t="s">
        <v>288</v>
      </c>
      <c r="F49" s="23" t="s">
        <v>288</v>
      </c>
      <c r="G49" s="23" t="s">
        <v>288</v>
      </c>
      <c r="H49" s="13">
        <f t="shared" si="2"/>
        <v>464599.22</v>
      </c>
      <c r="I49" s="90"/>
    </row>
    <row r="50" spans="1:9" ht="12.75" thickTop="1" thickBot="1" x14ac:dyDescent="0.25">
      <c r="A50" s="35" t="s">
        <v>883</v>
      </c>
      <c r="B50" s="44"/>
      <c r="C50" s="38">
        <f>SUM(C34:C49)</f>
        <v>1208701.52</v>
      </c>
      <c r="D50" s="38">
        <f>SUM(D34:D49)</f>
        <v>55799.79</v>
      </c>
      <c r="E50" s="38">
        <f>SUM(E34:E49)</f>
        <v>38464.61</v>
      </c>
      <c r="F50" s="38">
        <f>SUM(F34:F49)</f>
        <v>0</v>
      </c>
      <c r="G50" s="38">
        <f>SUM(G34:G49)</f>
        <v>1362759.9</v>
      </c>
      <c r="H50" s="38">
        <f t="shared" si="2"/>
        <v>2665725.8200000003</v>
      </c>
      <c r="I50" s="90"/>
    </row>
    <row r="51" spans="1:9" ht="12" thickTop="1" x14ac:dyDescent="0.2">
      <c r="A51" s="35" t="s">
        <v>884</v>
      </c>
      <c r="B51" s="2"/>
      <c r="C51" s="38">
        <f>C50+C31</f>
        <v>3321756.77</v>
      </c>
      <c r="D51" s="38">
        <f>D50+D31</f>
        <v>72948.5</v>
      </c>
      <c r="E51" s="38">
        <f>E50+E31</f>
        <v>1899346.59</v>
      </c>
      <c r="F51" s="38">
        <f>F50+F31</f>
        <v>0</v>
      </c>
      <c r="G51" s="38">
        <f>G50+G31</f>
        <v>1435379.8099999998</v>
      </c>
      <c r="H51" s="38">
        <f t="shared" si="2"/>
        <v>6729431.6699999999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10248750</v>
      </c>
      <c r="D56" s="73">
        <f>'DOE25'!G60</f>
        <v>0</v>
      </c>
      <c r="E56" s="73">
        <f>'DOE25'!H60</f>
        <v>0</v>
      </c>
      <c r="F56" s="73">
        <f>'DOE25'!I60</f>
        <v>0</v>
      </c>
      <c r="G56" s="73">
        <f>'DOE25'!J60</f>
        <v>0</v>
      </c>
      <c r="H56" s="13">
        <f t="shared" ref="H56:H63" si="3">SUM(C56:G56)</f>
        <v>10248750</v>
      </c>
      <c r="I56"/>
    </row>
    <row r="57" spans="1:9" x14ac:dyDescent="0.2">
      <c r="A57" s="1" t="s">
        <v>164</v>
      </c>
      <c r="B57" s="6" t="s">
        <v>165</v>
      </c>
      <c r="C57" s="73">
        <f>'DOE25'!F79</f>
        <v>1331784.3700000001</v>
      </c>
      <c r="D57" s="23" t="s">
        <v>288</v>
      </c>
      <c r="E57" s="73">
        <f>'DOE25'!H79</f>
        <v>0</v>
      </c>
      <c r="F57" s="23" t="s">
        <v>288</v>
      </c>
      <c r="G57" s="23" t="s">
        <v>288</v>
      </c>
      <c r="H57" s="13">
        <f t="shared" si="3"/>
        <v>1331784.3700000001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4764.74</v>
      </c>
      <c r="D59" s="73">
        <f>'DOE25'!G96</f>
        <v>0</v>
      </c>
      <c r="E59" s="73">
        <f>'DOE25'!H96</f>
        <v>0</v>
      </c>
      <c r="F59" s="73">
        <f>'DOE25'!I96</f>
        <v>0</v>
      </c>
      <c r="G59" s="73">
        <f>'DOE25'!J96</f>
        <v>16254.7</v>
      </c>
      <c r="H59" s="13">
        <f t="shared" si="3"/>
        <v>21019.440000000002</v>
      </c>
      <c r="I59"/>
    </row>
    <row r="60" spans="1:9" x14ac:dyDescent="0.2">
      <c r="A60" s="1" t="s">
        <v>170</v>
      </c>
      <c r="B60" s="22" t="s">
        <v>171</v>
      </c>
      <c r="C60" s="23" t="s">
        <v>288</v>
      </c>
      <c r="D60" s="73">
        <f>'DOE25'!G97</f>
        <v>216939.11</v>
      </c>
      <c r="E60" s="23" t="s">
        <v>288</v>
      </c>
      <c r="F60" s="23" t="s">
        <v>288</v>
      </c>
      <c r="G60" s="23" t="s">
        <v>288</v>
      </c>
      <c r="H60" s="13">
        <f t="shared" si="3"/>
        <v>216939.11</v>
      </c>
      <c r="I60"/>
    </row>
    <row r="61" spans="1:9" ht="12" thickBot="1" x14ac:dyDescent="0.25">
      <c r="A61" s="1" t="s">
        <v>172</v>
      </c>
      <c r="B61" s="22" t="s">
        <v>173</v>
      </c>
      <c r="C61" s="73">
        <f>SUM('DOE25'!F98:F110)</f>
        <v>57986.409999999996</v>
      </c>
      <c r="D61" s="73">
        <f>SUM('DOE25'!G98:G110)</f>
        <v>0</v>
      </c>
      <c r="E61" s="73">
        <f>SUM('DOE25'!H98:H110)</f>
        <v>244035.25</v>
      </c>
      <c r="F61" s="73">
        <f>SUM('DOE25'!I98:I110)</f>
        <v>0</v>
      </c>
      <c r="G61" s="73">
        <f>SUM('DOE25'!J98:J110)</f>
        <v>0</v>
      </c>
      <c r="H61" s="13">
        <f t="shared" si="3"/>
        <v>302021.65999999997</v>
      </c>
      <c r="I61"/>
    </row>
    <row r="62" spans="1:9" ht="12.75" thickTop="1" thickBot="1" x14ac:dyDescent="0.25">
      <c r="A62" s="28" t="s">
        <v>174</v>
      </c>
      <c r="B62" s="6"/>
      <c r="C62" s="93">
        <f>SUM(C57:C61)</f>
        <v>1394535.52</v>
      </c>
      <c r="D62" s="93">
        <f>SUM(D57:D61)</f>
        <v>216939.11</v>
      </c>
      <c r="E62" s="93">
        <f>SUM(E57:E61)</f>
        <v>244035.25</v>
      </c>
      <c r="F62" s="93">
        <f>SUM(F57:F61)</f>
        <v>0</v>
      </c>
      <c r="G62" s="93">
        <f>SUM(G57:G61)</f>
        <v>16254.7</v>
      </c>
      <c r="H62" s="13">
        <f t="shared" si="3"/>
        <v>1871764.5799999998</v>
      </c>
      <c r="I62"/>
    </row>
    <row r="63" spans="1:9" ht="12" thickTop="1" x14ac:dyDescent="0.2">
      <c r="A63" s="28" t="s">
        <v>175</v>
      </c>
      <c r="B63" s="6"/>
      <c r="C63" s="21">
        <f>C56+C62</f>
        <v>11643285.52</v>
      </c>
      <c r="D63" s="21">
        <f>D56+D62</f>
        <v>216939.11</v>
      </c>
      <c r="E63" s="21">
        <f>E56+E62</f>
        <v>244035.25</v>
      </c>
      <c r="F63" s="21">
        <f>F56+F62</f>
        <v>0</v>
      </c>
      <c r="G63" s="21">
        <f>G56+G62</f>
        <v>16254.7</v>
      </c>
      <c r="H63" s="13">
        <f t="shared" si="3"/>
        <v>12120514.579999998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7643113.21</v>
      </c>
      <c r="D66" s="23" t="s">
        <v>288</v>
      </c>
      <c r="E66" s="23" t="s">
        <v>288</v>
      </c>
      <c r="F66" s="23" t="s">
        <v>288</v>
      </c>
      <c r="G66" s="23" t="s">
        <v>288</v>
      </c>
      <c r="H66" s="13">
        <f t="shared" ref="H66:H81" si="4">SUM(C66:G66)</f>
        <v>7643113.21</v>
      </c>
      <c r="I66"/>
    </row>
    <row r="67" spans="1:9" x14ac:dyDescent="0.2">
      <c r="A67" s="1" t="s">
        <v>770</v>
      </c>
      <c r="B67" s="6">
        <v>3112</v>
      </c>
      <c r="C67" s="73">
        <f>'DOE25'!F118</f>
        <v>1474199</v>
      </c>
      <c r="D67" s="23"/>
      <c r="E67" s="23"/>
      <c r="F67" s="23"/>
      <c r="G67" s="23"/>
      <c r="H67" s="13">
        <f t="shared" si="4"/>
        <v>1474199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121305.81</v>
      </c>
      <c r="D69" s="73">
        <f>'DOE25'!G120</f>
        <v>0</v>
      </c>
      <c r="E69" s="73">
        <f>'DOE25'!H120</f>
        <v>0</v>
      </c>
      <c r="F69" s="73">
        <f>'DOE25'!I120</f>
        <v>0</v>
      </c>
      <c r="G69" s="73">
        <f>'DOE25'!J120</f>
        <v>0</v>
      </c>
      <c r="H69" s="13">
        <f t="shared" si="4"/>
        <v>121305.81</v>
      </c>
      <c r="I69"/>
    </row>
    <row r="70" spans="1:9" ht="12" thickTop="1" x14ac:dyDescent="0.2">
      <c r="A70" s="28" t="s">
        <v>252</v>
      </c>
      <c r="B70" s="2"/>
      <c r="C70" s="97">
        <f>SUM(C66:C69)</f>
        <v>9238618.0200000014</v>
      </c>
      <c r="D70" s="97">
        <f>D69</f>
        <v>0</v>
      </c>
      <c r="E70" s="97">
        <f>E69</f>
        <v>0</v>
      </c>
      <c r="F70" s="97">
        <f>F69</f>
        <v>0</v>
      </c>
      <c r="G70" s="97">
        <f>G69</f>
        <v>0</v>
      </c>
      <c r="H70" s="13">
        <f t="shared" si="4"/>
        <v>9238618.0200000014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286146.81</v>
      </c>
      <c r="D75" s="23" t="s">
        <v>288</v>
      </c>
      <c r="E75" s="23" t="s">
        <v>288</v>
      </c>
      <c r="F75" s="23" t="s">
        <v>288</v>
      </c>
      <c r="G75" s="23" t="s">
        <v>288</v>
      </c>
      <c r="H75" s="13">
        <f t="shared" si="4"/>
        <v>286146.81</v>
      </c>
      <c r="I75"/>
    </row>
    <row r="76" spans="1:9" x14ac:dyDescent="0.2">
      <c r="A76" s="1" t="s">
        <v>257</v>
      </c>
      <c r="B76" s="6" t="s">
        <v>179</v>
      </c>
      <c r="C76" s="73">
        <f>SUM('DOE25'!F127:F130)</f>
        <v>74548.75</v>
      </c>
      <c r="D76" s="23" t="s">
        <v>288</v>
      </c>
      <c r="E76" s="73">
        <f>SUM('DOE25'!H127:H130)</f>
        <v>0</v>
      </c>
      <c r="F76" s="73">
        <f>SUM('DOE25'!I127:I130)</f>
        <v>0</v>
      </c>
      <c r="G76" s="23" t="s">
        <v>288</v>
      </c>
      <c r="H76" s="13">
        <f t="shared" si="4"/>
        <v>74548.75</v>
      </c>
      <c r="I76"/>
    </row>
    <row r="77" spans="1:9" ht="12" thickBot="1" x14ac:dyDescent="0.25">
      <c r="A77" s="1" t="s">
        <v>258</v>
      </c>
      <c r="B77" s="6" t="s">
        <v>180</v>
      </c>
      <c r="C77" s="73">
        <f>SUM('DOE25'!F131:F135)</f>
        <v>0</v>
      </c>
      <c r="D77" s="73">
        <f>SUM('DOE25'!G131:G135)</f>
        <v>7595.15</v>
      </c>
      <c r="E77" s="73">
        <f>SUM('DOE25'!H131:H135)</f>
        <v>0</v>
      </c>
      <c r="F77" s="73">
        <f>SUM('DOE25'!I131:I135)</f>
        <v>0</v>
      </c>
      <c r="G77" s="73">
        <f>SUM('DOE25'!J131:J135)</f>
        <v>0</v>
      </c>
      <c r="H77" s="13">
        <f t="shared" si="4"/>
        <v>7595.15</v>
      </c>
      <c r="I77"/>
    </row>
    <row r="78" spans="1:9" ht="12.75" thickTop="1" thickBot="1" x14ac:dyDescent="0.25">
      <c r="A78" s="28" t="s">
        <v>259</v>
      </c>
      <c r="B78" s="6"/>
      <c r="C78" s="93">
        <f>SUM(C72:C77)</f>
        <v>360695.56</v>
      </c>
      <c r="D78" s="93">
        <f>SUM(D72:D77)</f>
        <v>7595.15</v>
      </c>
      <c r="E78" s="93">
        <f>SUM(E72:E77)</f>
        <v>0</v>
      </c>
      <c r="F78" s="93">
        <f>SUM(F72:F77)</f>
        <v>0</v>
      </c>
      <c r="G78" s="93">
        <f>SUM(G72:G77)</f>
        <v>0</v>
      </c>
      <c r="H78" s="13">
        <f t="shared" si="4"/>
        <v>368290.71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9599313.5800000019</v>
      </c>
      <c r="D81" s="93">
        <f>SUM(D79:D80)+D78+D70</f>
        <v>7595.15</v>
      </c>
      <c r="E81" s="93">
        <f>SUM(E79:E80)+E78+E70</f>
        <v>0</v>
      </c>
      <c r="F81" s="93">
        <f>SUM(F79:F80)+F78+F70</f>
        <v>0</v>
      </c>
      <c r="G81" s="93">
        <f>SUM(G79:G80)+G78+G70</f>
        <v>0</v>
      </c>
      <c r="H81" s="93">
        <f t="shared" si="4"/>
        <v>9606908.7300000023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75033.100000000006</v>
      </c>
      <c r="D87" s="23" t="s">
        <v>288</v>
      </c>
      <c r="E87" s="73">
        <f>SUM('DOE25'!H149:H152)</f>
        <v>0</v>
      </c>
      <c r="F87" s="73">
        <f>SUM('DOE25'!I149:I152)</f>
        <v>0</v>
      </c>
      <c r="G87" s="23" t="s">
        <v>288</v>
      </c>
      <c r="H87" s="13">
        <f t="shared" si="5"/>
        <v>75033.100000000006</v>
      </c>
    </row>
    <row r="88" spans="1:9" x14ac:dyDescent="0.2">
      <c r="A88" s="217" t="s">
        <v>747</v>
      </c>
      <c r="B88" s="231" t="s">
        <v>184</v>
      </c>
      <c r="C88" s="253">
        <f>SUM('DOE25'!F153:F162)</f>
        <v>104804.72</v>
      </c>
      <c r="D88" s="253">
        <f>SUM('DOE25'!G153:G162)</f>
        <v>428837.51999999996</v>
      </c>
      <c r="E88" s="253">
        <f>SUM('DOE25'!H153:H162)</f>
        <v>4292145.1400000006</v>
      </c>
      <c r="F88" s="253">
        <f>SUM('DOE25'!I153:I162)</f>
        <v>0</v>
      </c>
      <c r="G88" s="23" t="s">
        <v>288</v>
      </c>
      <c r="H88" s="13">
        <f t="shared" si="5"/>
        <v>4825787.3800000008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22453.79</v>
      </c>
      <c r="D90" s="23" t="s">
        <v>288</v>
      </c>
      <c r="E90" s="23" t="s">
        <v>288</v>
      </c>
      <c r="F90" s="23" t="s">
        <v>288</v>
      </c>
      <c r="G90" s="23" t="s">
        <v>288</v>
      </c>
      <c r="H90" s="13">
        <f t="shared" si="5"/>
        <v>22453.79</v>
      </c>
    </row>
    <row r="91" spans="1:9" ht="12.75" thickTop="1" thickBot="1" x14ac:dyDescent="0.25">
      <c r="A91" s="32" t="s">
        <v>750</v>
      </c>
      <c r="C91" s="94">
        <f>SUM(C85:C90)</f>
        <v>202291.61000000002</v>
      </c>
      <c r="D91" s="94">
        <f>SUM(D85:D90)</f>
        <v>428837.51999999996</v>
      </c>
      <c r="E91" s="94">
        <f>SUM(E85:E90)</f>
        <v>4292145.1400000006</v>
      </c>
      <c r="F91" s="94">
        <f>SUM(F85:F90)</f>
        <v>0</v>
      </c>
      <c r="G91" s="23" t="s">
        <v>288</v>
      </c>
      <c r="H91" s="13">
        <f t="shared" si="5"/>
        <v>4923274.2700000005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14214.15</v>
      </c>
      <c r="E96" s="73">
        <f>'DOE25'!H180</f>
        <v>0</v>
      </c>
      <c r="F96" s="73">
        <f>'DOE25'!I180</f>
        <v>0</v>
      </c>
      <c r="G96" s="73">
        <f>'DOE25'!J180</f>
        <v>2030785.67</v>
      </c>
      <c r="H96" s="13">
        <f t="shared" si="5"/>
        <v>2044999.8199999998</v>
      </c>
    </row>
    <row r="97" spans="1:8" x14ac:dyDescent="0.2">
      <c r="A97" t="s">
        <v>754</v>
      </c>
      <c r="B97" s="31" t="s">
        <v>188</v>
      </c>
      <c r="C97" s="73">
        <f>SUM('DOE25'!F181:F182)</f>
        <v>57326.51</v>
      </c>
      <c r="D97" s="73">
        <f>SUM('DOE25'!G181:G182)</f>
        <v>0</v>
      </c>
      <c r="E97" s="73">
        <f>SUM('DOE25'!H181:H182)</f>
        <v>0</v>
      </c>
      <c r="F97" s="73">
        <f>SUM('DOE25'!I181:I182)</f>
        <v>0</v>
      </c>
      <c r="G97" s="73">
        <f>SUM('DOE25'!J181:J182)</f>
        <v>0</v>
      </c>
      <c r="H97" s="13">
        <f t="shared" si="5"/>
        <v>57326.51</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1314797.3600000001</v>
      </c>
      <c r="D99" s="73">
        <f>'DOE25'!G186</f>
        <v>0</v>
      </c>
      <c r="E99" s="73">
        <f>'DOE25'!H186</f>
        <v>0</v>
      </c>
      <c r="F99" s="73">
        <f>'DOE25'!I186</f>
        <v>0</v>
      </c>
      <c r="G99" s="23" t="s">
        <v>288</v>
      </c>
      <c r="H99" s="13">
        <f t="shared" si="5"/>
        <v>1314797.3600000001</v>
      </c>
    </row>
    <row r="100" spans="1:8" x14ac:dyDescent="0.2">
      <c r="A100" t="s">
        <v>757</v>
      </c>
      <c r="B100" s="31" t="s">
        <v>190</v>
      </c>
      <c r="C100" s="73">
        <f>SUM('DOE25'!F187:F188)</f>
        <v>1604703.67</v>
      </c>
      <c r="D100" s="73">
        <f>SUM('DOE25'!G187:G188)</f>
        <v>0</v>
      </c>
      <c r="E100" s="73">
        <f>SUM('DOE25'!H187:H188)</f>
        <v>0</v>
      </c>
      <c r="F100" s="73">
        <f>SUM('DOE25'!I187:I188)</f>
        <v>0</v>
      </c>
      <c r="G100" s="23" t="s">
        <v>288</v>
      </c>
      <c r="H100" s="13">
        <f t="shared" si="5"/>
        <v>1604703.67</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2976827.54</v>
      </c>
      <c r="D103" s="68">
        <f>SUM(D93:D102)</f>
        <v>14214.15</v>
      </c>
      <c r="E103" s="68">
        <f>SUM(E93:E102)</f>
        <v>0</v>
      </c>
      <c r="F103" s="68">
        <f>SUM(F93:F102)</f>
        <v>0</v>
      </c>
      <c r="G103" s="68">
        <f>SUM(G93:G102)</f>
        <v>2030785.67</v>
      </c>
      <c r="H103" s="68">
        <f t="shared" si="5"/>
        <v>5021827.3599999994</v>
      </c>
    </row>
    <row r="104" spans="1:8" ht="12.75" thickTop="1" thickBot="1" x14ac:dyDescent="0.25">
      <c r="A104" s="32" t="s">
        <v>761</v>
      </c>
      <c r="C104" s="68">
        <f>C63+C81+C91+C103</f>
        <v>24421718.25</v>
      </c>
      <c r="D104" s="68">
        <f>D63+D81+D91+D103</f>
        <v>667585.92999999993</v>
      </c>
      <c r="E104" s="68">
        <f>E63+E81+E91+E103</f>
        <v>4536180.3900000006</v>
      </c>
      <c r="F104" s="68">
        <f>F63+F81+F91+F103</f>
        <v>0</v>
      </c>
      <c r="G104" s="68">
        <f>G63+G81+G103</f>
        <v>2047040.3699999999</v>
      </c>
      <c r="H104" s="68">
        <f t="shared" si="5"/>
        <v>31672524.940000001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6488668.0100000007</v>
      </c>
      <c r="D109" s="23" t="s">
        <v>288</v>
      </c>
      <c r="E109" s="73">
        <f>('DOE25'!L277)+('DOE25'!L296)+('DOE25'!L315)</f>
        <v>1659831.2600000002</v>
      </c>
      <c r="F109" s="23" t="s">
        <v>288</v>
      </c>
      <c r="G109" s="23" t="s">
        <v>288</v>
      </c>
      <c r="H109" s="13">
        <f t="shared" ref="H109:H115" si="6">SUM(C109:G109)</f>
        <v>8148499.2700000014</v>
      </c>
    </row>
    <row r="110" spans="1:8" x14ac:dyDescent="0.2">
      <c r="A110" t="s">
        <v>198</v>
      </c>
      <c r="B110" s="31" t="s">
        <v>199</v>
      </c>
      <c r="C110" s="73">
        <f>('DOE25'!L199)+('DOE25'!L217)+('DOE25'!L235)</f>
        <v>3283093.31</v>
      </c>
      <c r="D110" s="23" t="s">
        <v>288</v>
      </c>
      <c r="E110" s="73">
        <f>('DOE25'!L278)+('DOE25'!L297)+('DOE25'!L316)</f>
        <v>127385.48000000001</v>
      </c>
      <c r="F110" s="23" t="s">
        <v>288</v>
      </c>
      <c r="G110" s="23" t="s">
        <v>288</v>
      </c>
      <c r="H110" s="13">
        <f t="shared" si="6"/>
        <v>3410478.79</v>
      </c>
    </row>
    <row r="111" spans="1:8" x14ac:dyDescent="0.2">
      <c r="A111" t="s">
        <v>200</v>
      </c>
      <c r="B111" s="31" t="s">
        <v>165</v>
      </c>
      <c r="C111" s="73">
        <f>('DOE25'!L200)+('DOE25'!L218)+('DOE25'!L236)</f>
        <v>778952.58000000007</v>
      </c>
      <c r="D111" s="23" t="s">
        <v>288</v>
      </c>
      <c r="E111" s="73">
        <f>('DOE25'!L279)+('DOE25'!L298)+('DOE25'!L317)</f>
        <v>111679.95999999999</v>
      </c>
      <c r="F111" s="23" t="s">
        <v>288</v>
      </c>
      <c r="G111" s="23" t="s">
        <v>288</v>
      </c>
      <c r="H111" s="13">
        <f t="shared" si="6"/>
        <v>890632.54</v>
      </c>
    </row>
    <row r="112" spans="1:8" x14ac:dyDescent="0.2">
      <c r="A112" t="s">
        <v>201</v>
      </c>
      <c r="B112" s="31" t="s">
        <v>167</v>
      </c>
      <c r="C112" s="73">
        <f>('DOE25'!L201)+('DOE25'!L219)+('DOE25'!L237)</f>
        <v>354268.53</v>
      </c>
      <c r="D112" s="23" t="s">
        <v>288</v>
      </c>
      <c r="E112" s="73">
        <f>+('DOE25'!L280)+('DOE25'!L299)+('DOE25'!L318)</f>
        <v>174304.26</v>
      </c>
      <c r="F112" s="23" t="s">
        <v>288</v>
      </c>
      <c r="G112" s="23" t="s">
        <v>288</v>
      </c>
      <c r="H112" s="13">
        <f t="shared" si="6"/>
        <v>528572.79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2908.03</v>
      </c>
      <c r="F114" s="23" t="s">
        <v>288</v>
      </c>
      <c r="G114" s="23" t="s">
        <v>288</v>
      </c>
      <c r="H114" s="13">
        <f t="shared" si="6"/>
        <v>2908.03</v>
      </c>
    </row>
    <row r="115" spans="1:8" ht="12.75" thickTop="1" thickBot="1" x14ac:dyDescent="0.25">
      <c r="A115" s="32" t="s">
        <v>205</v>
      </c>
      <c r="C115" s="68">
        <f>SUM(C109:C114)</f>
        <v>10904982.43</v>
      </c>
      <c r="D115" s="68">
        <f>SUM(D109:D114)</f>
        <v>0</v>
      </c>
      <c r="E115" s="68">
        <f>SUM(E109:E114)</f>
        <v>2076108.9900000002</v>
      </c>
      <c r="F115" s="68">
        <f>SUM(F109:F114)</f>
        <v>0</v>
      </c>
      <c r="G115" s="68">
        <f>SUM(G109:G114)</f>
        <v>0</v>
      </c>
      <c r="H115" s="68">
        <f t="shared" si="6"/>
        <v>12981091.42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2101217.64</v>
      </c>
      <c r="D118" s="23" t="s">
        <v>288</v>
      </c>
      <c r="E118" s="73">
        <f>+('DOE25'!L282)+('DOE25'!L301)+('DOE25'!L320)</f>
        <v>467769.70999999996</v>
      </c>
      <c r="F118" s="23" t="s">
        <v>288</v>
      </c>
      <c r="G118" s="23" t="s">
        <v>288</v>
      </c>
      <c r="H118" s="13">
        <f t="shared" ref="H118:H145" si="7">SUM(C118:G118)</f>
        <v>2568987.35</v>
      </c>
    </row>
    <row r="119" spans="1:8" x14ac:dyDescent="0.2">
      <c r="A119" t="s">
        <v>208</v>
      </c>
      <c r="B119" s="31" t="s">
        <v>209</v>
      </c>
      <c r="C119" s="73">
        <f>('DOE25'!L204)+('DOE25'!L222)+('DOE25'!L240)</f>
        <v>823861.41</v>
      </c>
      <c r="D119" s="23" t="s">
        <v>288</v>
      </c>
      <c r="E119" s="73">
        <f>+('DOE25'!L283)+('DOE25'!L302)+('DOE25'!L321)</f>
        <v>385498.82</v>
      </c>
      <c r="F119" s="23" t="s">
        <v>288</v>
      </c>
      <c r="G119" s="23" t="s">
        <v>288</v>
      </c>
      <c r="H119" s="13">
        <f t="shared" si="7"/>
        <v>1209360.23</v>
      </c>
    </row>
    <row r="120" spans="1:8" x14ac:dyDescent="0.2">
      <c r="A120" t="s">
        <v>210</v>
      </c>
      <c r="B120" s="31" t="s">
        <v>211</v>
      </c>
      <c r="C120" s="73">
        <f>('DOE25'!L205)+('DOE25'!L223)+('DOE25'!L241)</f>
        <v>1100879.3799999999</v>
      </c>
      <c r="D120" s="23" t="s">
        <v>288</v>
      </c>
      <c r="E120" s="73">
        <f>+('DOE25'!L284)+('DOE25'!L303)+('DOE25'!L322)</f>
        <v>4100.6500000000005</v>
      </c>
      <c r="F120" s="23" t="s">
        <v>288</v>
      </c>
      <c r="G120" s="23" t="s">
        <v>288</v>
      </c>
      <c r="H120" s="13">
        <f t="shared" si="7"/>
        <v>1104980.0299999998</v>
      </c>
    </row>
    <row r="121" spans="1:8" x14ac:dyDescent="0.2">
      <c r="A121" t="s">
        <v>212</v>
      </c>
      <c r="B121" s="31" t="s">
        <v>213</v>
      </c>
      <c r="C121" s="73">
        <f>('DOE25'!L206)+('DOE25'!L224)+('DOE25'!L242)</f>
        <v>1558474.56</v>
      </c>
      <c r="D121" s="23" t="s">
        <v>288</v>
      </c>
      <c r="E121" s="73">
        <f>+('DOE25'!L285)+('DOE25'!L304)+('DOE25'!L323)</f>
        <v>0</v>
      </c>
      <c r="F121" s="23" t="s">
        <v>288</v>
      </c>
      <c r="G121" s="23" t="s">
        <v>288</v>
      </c>
      <c r="H121" s="13">
        <f t="shared" si="7"/>
        <v>1558474.56</v>
      </c>
    </row>
    <row r="122" spans="1:8" x14ac:dyDescent="0.2">
      <c r="A122" t="s">
        <v>214</v>
      </c>
      <c r="B122" s="31" t="s">
        <v>215</v>
      </c>
      <c r="C122" s="73">
        <f>('DOE25'!L207)+('DOE25'!L225)+('DOE25'!L243)</f>
        <v>364235.07</v>
      </c>
      <c r="D122" s="23" t="s">
        <v>288</v>
      </c>
      <c r="E122" s="73">
        <f>+('DOE25'!L286)+('DOE25'!L305)+('DOE25'!L324)</f>
        <v>12724.12</v>
      </c>
      <c r="F122" s="23" t="s">
        <v>288</v>
      </c>
      <c r="G122" s="23" t="s">
        <v>288</v>
      </c>
      <c r="H122" s="13">
        <f t="shared" si="7"/>
        <v>376959.19</v>
      </c>
    </row>
    <row r="123" spans="1:8" x14ac:dyDescent="0.2">
      <c r="A123" t="s">
        <v>216</v>
      </c>
      <c r="B123" s="31" t="s">
        <v>217</v>
      </c>
      <c r="C123" s="73">
        <f>('DOE25'!L208)+('DOE25'!L226)+('DOE25'!L244)</f>
        <v>3562349.96</v>
      </c>
      <c r="D123" s="23" t="s">
        <v>288</v>
      </c>
      <c r="E123" s="73">
        <f>+('DOE25'!L287)+('DOE25'!L306)+('DOE25'!L325)</f>
        <v>64766.29</v>
      </c>
      <c r="F123" s="23" t="s">
        <v>288</v>
      </c>
      <c r="G123" s="23" t="s">
        <v>288</v>
      </c>
      <c r="H123" s="13">
        <f t="shared" si="7"/>
        <v>3627116.25</v>
      </c>
    </row>
    <row r="124" spans="1:8" x14ac:dyDescent="0.2">
      <c r="A124" t="s">
        <v>218</v>
      </c>
      <c r="B124" s="31" t="s">
        <v>219</v>
      </c>
      <c r="C124" s="73">
        <f>('DOE25'!L209)+('DOE25'!L227)+('DOE25'!L245+'DOE25'!L255)</f>
        <v>1392137.88</v>
      </c>
      <c r="D124" s="23" t="s">
        <v>288</v>
      </c>
      <c r="E124" s="73">
        <f>+('DOE25'!L288)+('DOE25'!L307)+('DOE25'!L326)</f>
        <v>27807.14</v>
      </c>
      <c r="F124" s="23" t="s">
        <v>288</v>
      </c>
      <c r="G124" s="23" t="s">
        <v>288</v>
      </c>
      <c r="H124" s="13">
        <f t="shared" si="7"/>
        <v>1419945.0199999998</v>
      </c>
    </row>
    <row r="125" spans="1:8" x14ac:dyDescent="0.2">
      <c r="A125" t="s">
        <v>220</v>
      </c>
      <c r="B125" s="31" t="s">
        <v>221</v>
      </c>
      <c r="C125" s="73">
        <f>('DOE25'!L210)+('DOE25'!L228)+('DOE25'!L246)</f>
        <v>426235.14999999991</v>
      </c>
      <c r="D125" s="23" t="s">
        <v>288</v>
      </c>
      <c r="E125" s="73">
        <f>+('DOE25'!L289)+('DOE25'!L308)+('DOE25'!L327)</f>
        <v>20775</v>
      </c>
      <c r="F125" s="23" t="s">
        <v>288</v>
      </c>
      <c r="G125" s="23" t="s">
        <v>288</v>
      </c>
      <c r="H125" s="13">
        <f t="shared" si="7"/>
        <v>447010.14999999991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711798.32000000007</v>
      </c>
      <c r="E127" s="23" t="s">
        <v>288</v>
      </c>
      <c r="F127" s="23" t="s">
        <v>288</v>
      </c>
      <c r="G127" s="23" t="s">
        <v>288</v>
      </c>
      <c r="H127" s="13">
        <f t="shared" si="7"/>
        <v>711798.32000000007</v>
      </c>
    </row>
    <row r="128" spans="1:8" ht="12.75" thickTop="1" thickBot="1" x14ac:dyDescent="0.25">
      <c r="A128" s="32" t="s">
        <v>226</v>
      </c>
      <c r="C128" s="68">
        <f>SUM(C118:C127)</f>
        <v>11329391.049999999</v>
      </c>
      <c r="D128" s="68">
        <f>SUM(D118:D127)</f>
        <v>711798.32000000007</v>
      </c>
      <c r="E128" s="68">
        <f>SUM(E118:E127)</f>
        <v>983441.7300000001</v>
      </c>
      <c r="F128" s="68">
        <f>SUM(F118:F127)</f>
        <v>0</v>
      </c>
      <c r="G128" s="68">
        <f>SUM(G118:G127)</f>
        <v>0</v>
      </c>
      <c r="H128" s="68">
        <f t="shared" si="7"/>
        <v>13024631.1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24703</v>
      </c>
      <c r="D130" s="23" t="s">
        <v>288</v>
      </c>
      <c r="E130" s="92">
        <f>'DOE25'!L337</f>
        <v>1409723.66</v>
      </c>
      <c r="F130" s="92">
        <f>SUM('DOE25'!L375:'DOE25'!L381)</f>
        <v>0</v>
      </c>
      <c r="G130" s="23" t="s">
        <v>288</v>
      </c>
      <c r="H130" s="13">
        <f t="shared" si="7"/>
        <v>1434426.66</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57326.51</v>
      </c>
      <c r="F134" s="73">
        <f>'DOE25'!K382</f>
        <v>0</v>
      </c>
      <c r="G134" s="73">
        <f>'DOE25'!K435</f>
        <v>2919501.03</v>
      </c>
      <c r="H134" s="13">
        <f t="shared" si="7"/>
        <v>2976827.5399999996</v>
      </c>
    </row>
    <row r="135" spans="1:8" x14ac:dyDescent="0.2">
      <c r="A135" t="s">
        <v>233</v>
      </c>
      <c r="B135" s="31" t="s">
        <v>234</v>
      </c>
      <c r="C135" s="73">
        <f>'DOE25'!L264</f>
        <v>14214.15</v>
      </c>
      <c r="D135" s="23" t="s">
        <v>288</v>
      </c>
      <c r="E135" s="92">
        <f>'DOE25'!L346</f>
        <v>0</v>
      </c>
      <c r="F135" s="23" t="s">
        <v>288</v>
      </c>
      <c r="G135" s="23" t="s">
        <v>288</v>
      </c>
      <c r="H135" s="13">
        <f t="shared" si="7"/>
        <v>14214.15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2047040.3699999999</v>
      </c>
      <c r="D138" s="23" t="s">
        <v>288</v>
      </c>
      <c r="E138" s="23" t="s">
        <v>288</v>
      </c>
      <c r="F138" s="23" t="s">
        <v>288</v>
      </c>
      <c r="G138" s="23" t="s">
        <v>288</v>
      </c>
      <c r="H138" s="13">
        <f t="shared" si="7"/>
        <v>2047040.3699999999</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-16254.699999999953</v>
      </c>
      <c r="D141" s="23" t="s">
        <v>288</v>
      </c>
      <c r="E141" s="23" t="s">
        <v>288</v>
      </c>
      <c r="F141" s="23" t="s">
        <v>288</v>
      </c>
      <c r="G141" s="23" t="s">
        <v>288</v>
      </c>
      <c r="H141" s="13">
        <f t="shared" si="7"/>
        <v>-16254.699999999953</v>
      </c>
    </row>
    <row r="142" spans="1:8" x14ac:dyDescent="0.2">
      <c r="A142" t="s">
        <v>241</v>
      </c>
      <c r="B142" s="31">
        <v>5310</v>
      </c>
      <c r="C142" s="92">
        <f>'DOE25'!L269</f>
        <v>42223.58</v>
      </c>
      <c r="D142" s="23" t="s">
        <v>288</v>
      </c>
      <c r="E142" s="92">
        <f>'DOE25'!L350</f>
        <v>0</v>
      </c>
      <c r="F142" s="23" t="s">
        <v>288</v>
      </c>
      <c r="G142" s="23" t="s">
        <v>288</v>
      </c>
      <c r="H142" s="13">
        <f t="shared" si="7"/>
        <v>42223.58</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2111926.4</v>
      </c>
      <c r="D144" s="98">
        <f>SUM(D130:D143)</f>
        <v>0</v>
      </c>
      <c r="E144" s="98">
        <f>SUM(E130:E143)</f>
        <v>1467050.17</v>
      </c>
      <c r="F144" s="98">
        <f>SUM(F130:F143)</f>
        <v>0</v>
      </c>
      <c r="G144" s="98">
        <f>SUM(G130:G143)</f>
        <v>2919501.03</v>
      </c>
      <c r="H144" s="98">
        <f t="shared" si="7"/>
        <v>6498477.5999999996</v>
      </c>
    </row>
    <row r="145" spans="1:9" ht="12.75" thickTop="1" thickBot="1" x14ac:dyDescent="0.25">
      <c r="A145" s="32" t="s">
        <v>244</v>
      </c>
      <c r="C145" s="68">
        <f>(C115+C128+C144)</f>
        <v>24346299.879999995</v>
      </c>
      <c r="D145" s="68">
        <f>(D115+D128+D144)</f>
        <v>711798.32000000007</v>
      </c>
      <c r="E145" s="68">
        <f>(E115+E128+E144)</f>
        <v>4526600.8900000006</v>
      </c>
      <c r="F145" s="68">
        <f>(F115+F128+F144)</f>
        <v>0</v>
      </c>
      <c r="G145" s="68">
        <f>(G115+G128+G144)</f>
        <v>2919501.03</v>
      </c>
      <c r="H145" s="68">
        <f t="shared" si="7"/>
        <v>32504200.119999997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4" manualBreakCount="4">
    <brk id="52" max="16383" man="1"/>
    <brk id="81"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G37" sqref="G3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White Mountains Regional</v>
      </c>
    </row>
    <row r="3" spans="1:4" x14ac:dyDescent="0.2">
      <c r="B3" s="137" t="s">
        <v>1799</v>
      </c>
    </row>
    <row r="4" spans="1:4" x14ac:dyDescent="0.2">
      <c r="B4" t="s">
        <v>61</v>
      </c>
      <c r="C4" s="129">
        <f>IF('DOE25'!F666+'DOE25'!F671=0,0,ROUND('DOE25'!F673,0))</f>
        <v>24595</v>
      </c>
    </row>
    <row r="5" spans="1:4" x14ac:dyDescent="0.2">
      <c r="B5" t="s">
        <v>700</v>
      </c>
      <c r="C5" s="129">
        <f>IF('DOE25'!G666+'DOE25'!G671=0,0,ROUND('DOE25'!G673,0))</f>
        <v>0</v>
      </c>
    </row>
    <row r="6" spans="1:4" x14ac:dyDescent="0.2">
      <c r="B6" t="s">
        <v>62</v>
      </c>
      <c r="C6" s="129">
        <f>IF('DOE25'!H666+'DOE25'!H671=0,0,ROUND('DOE25'!H673,0))</f>
        <v>25145</v>
      </c>
    </row>
    <row r="7" spans="1:4" x14ac:dyDescent="0.2">
      <c r="B7" t="s">
        <v>701</v>
      </c>
      <c r="C7" s="129">
        <f>IF('DOE25'!I666+'DOE25'!I671=0,0,ROUND('DOE25'!I673,0))</f>
        <v>24799</v>
      </c>
    </row>
    <row r="9" spans="1:4" x14ac:dyDescent="0.2">
      <c r="A9" s="136" t="s">
        <v>94</v>
      </c>
      <c r="B9" s="137" t="s">
        <v>1800</v>
      </c>
      <c r="C9" s="131" t="s">
        <v>720</v>
      </c>
      <c r="D9" s="131" t="s">
        <v>721</v>
      </c>
    </row>
    <row r="10" spans="1:4" x14ac:dyDescent="0.2">
      <c r="A10">
        <v>1100</v>
      </c>
      <c r="B10" t="s">
        <v>702</v>
      </c>
      <c r="C10" s="129">
        <f>ROUND('DOE25'!L198+'DOE25'!L216+'DOE25'!L234+'DOE25'!L277+'DOE25'!L296+'DOE25'!L315,0)</f>
        <v>8148499</v>
      </c>
      <c r="D10" s="132">
        <f>ROUND((C10/$C$28)*100,1)</f>
        <v>31.5</v>
      </c>
    </row>
    <row r="11" spans="1:4" x14ac:dyDescent="0.2">
      <c r="A11">
        <v>1200</v>
      </c>
      <c r="B11" t="s">
        <v>703</v>
      </c>
      <c r="C11" s="129">
        <f>ROUND('DOE25'!L199+'DOE25'!L217+'DOE25'!L235+'DOE25'!L278+'DOE25'!L297+'DOE25'!L316,0)</f>
        <v>3410479</v>
      </c>
      <c r="D11" s="132">
        <f>ROUND((C11/$C$28)*100,1)</f>
        <v>13.2</v>
      </c>
    </row>
    <row r="12" spans="1:4" x14ac:dyDescent="0.2">
      <c r="A12">
        <v>1300</v>
      </c>
      <c r="B12" t="s">
        <v>704</v>
      </c>
      <c r="C12" s="129">
        <f>ROUND('DOE25'!L200+'DOE25'!L218+'DOE25'!L236+'DOE25'!L279+'DOE25'!L298+'DOE25'!L317,0)</f>
        <v>890633</v>
      </c>
      <c r="D12" s="132">
        <f>ROUND((C12/$C$28)*100,1)</f>
        <v>3.4</v>
      </c>
    </row>
    <row r="13" spans="1:4" x14ac:dyDescent="0.2">
      <c r="A13">
        <v>1400</v>
      </c>
      <c r="B13" t="s">
        <v>705</v>
      </c>
      <c r="C13" s="129">
        <f>ROUND('DOE25'!L201+'DOE25'!L219+'DOE25'!L237+'DOE25'!L280+'DOE25'!L299+'DOE25'!L318,0)</f>
        <v>528573</v>
      </c>
      <c r="D13" s="132">
        <f>ROUND((C13/$C$28)*100,1)</f>
        <v>2</v>
      </c>
    </row>
    <row r="14" spans="1:4" x14ac:dyDescent="0.2">
      <c r="D14" s="132"/>
    </row>
    <row r="15" spans="1:4" x14ac:dyDescent="0.2">
      <c r="A15">
        <v>2100</v>
      </c>
      <c r="B15" t="s">
        <v>706</v>
      </c>
      <c r="C15" s="129">
        <f>ROUND('DOE25'!L203+'DOE25'!L221+'DOE25'!L239+'DOE25'!L282+'DOE25'!L301+'DOE25'!L320,0)</f>
        <v>2568987</v>
      </c>
      <c r="D15" s="132">
        <f t="shared" ref="D15:D27" si="0">ROUND((C15/$C$28)*100,1)</f>
        <v>9.9</v>
      </c>
    </row>
    <row r="16" spans="1:4" x14ac:dyDescent="0.2">
      <c r="A16">
        <v>2200</v>
      </c>
      <c r="B16" t="s">
        <v>707</v>
      </c>
      <c r="C16" s="129">
        <f>ROUND('DOE25'!L204+'DOE25'!L222+'DOE25'!L240+'DOE25'!L283+'DOE25'!L302+'DOE25'!L321,0)</f>
        <v>1209360</v>
      </c>
      <c r="D16" s="132">
        <f t="shared" si="0"/>
        <v>4.7</v>
      </c>
    </row>
    <row r="17" spans="1:4" x14ac:dyDescent="0.2">
      <c r="A17" s="133" t="s">
        <v>723</v>
      </c>
      <c r="B17" t="s">
        <v>738</v>
      </c>
      <c r="C17" s="129">
        <f>ROUND('DOE25'!L205+'DOE25'!L210+'DOE25'!L223+'DOE25'!L228+'DOE25'!L241+'DOE25'!L246+'DOE25'!L284+'DOE25'!L289+'DOE25'!L303+'DOE25'!L308+'DOE25'!L322+'DOE25'!L327,0)</f>
        <v>1551990</v>
      </c>
      <c r="D17" s="132">
        <f t="shared" si="0"/>
        <v>6</v>
      </c>
    </row>
    <row r="18" spans="1:4" x14ac:dyDescent="0.2">
      <c r="A18">
        <v>2400</v>
      </c>
      <c r="B18" t="s">
        <v>711</v>
      </c>
      <c r="C18" s="129">
        <f>ROUND('DOE25'!L206+'DOE25'!L224+'DOE25'!L242+'DOE25'!L285+'DOE25'!L304+'DOE25'!L323,0)</f>
        <v>1558475</v>
      </c>
      <c r="D18" s="132">
        <f t="shared" si="0"/>
        <v>6</v>
      </c>
    </row>
    <row r="19" spans="1:4" x14ac:dyDescent="0.2">
      <c r="A19">
        <v>2500</v>
      </c>
      <c r="B19" t="s">
        <v>708</v>
      </c>
      <c r="C19" s="129">
        <f>ROUND('DOE25'!L207+'DOE25'!L225+'DOE25'!L243+'DOE25'!L286+'DOE25'!L305+'DOE25'!L324,0)</f>
        <v>376959</v>
      </c>
      <c r="D19" s="132">
        <f t="shared" si="0"/>
        <v>1.5</v>
      </c>
    </row>
    <row r="20" spans="1:4" x14ac:dyDescent="0.2">
      <c r="A20">
        <v>2600</v>
      </c>
      <c r="B20" t="s">
        <v>709</v>
      </c>
      <c r="C20" s="129">
        <f>ROUND('DOE25'!L208+'DOE25'!L226+'DOE25'!L244+'DOE25'!L287+'DOE25'!L306+'DOE25'!L325,0)</f>
        <v>3627116</v>
      </c>
      <c r="D20" s="132">
        <f t="shared" si="0"/>
        <v>14</v>
      </c>
    </row>
    <row r="21" spans="1:4" x14ac:dyDescent="0.2">
      <c r="A21">
        <v>2700</v>
      </c>
      <c r="B21" t="s">
        <v>710</v>
      </c>
      <c r="C21" s="129">
        <f>ROUND('DOE25'!L209+'DOE25'!L227+'DOE25'!L245+'DOE25'!L288+'DOE25'!L307+'DOE25'!L326,0)</f>
        <v>1416455</v>
      </c>
      <c r="D21" s="132">
        <f t="shared" si="0"/>
        <v>5.5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6398</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42223.58</v>
      </c>
      <c r="D26" s="132">
        <f t="shared" si="0"/>
        <v>0.2</v>
      </c>
    </row>
    <row r="27" spans="1:4" x14ac:dyDescent="0.2">
      <c r="A27">
        <v>3100</v>
      </c>
      <c r="B27" t="s">
        <v>11</v>
      </c>
      <c r="C27" s="129">
        <f>ROUND('DOE25'!L363-'DOE25'!L362,0)-SUM('DOE25'!G97:G110)</f>
        <v>494858.89</v>
      </c>
      <c r="D27" s="132">
        <f t="shared" si="0"/>
        <v>1.9</v>
      </c>
    </row>
    <row r="28" spans="1:4" x14ac:dyDescent="0.2">
      <c r="B28" s="136" t="s">
        <v>719</v>
      </c>
      <c r="C28" s="130">
        <f>SUM(C10:C27)</f>
        <v>25831006.469999999</v>
      </c>
      <c r="D28" s="134">
        <f>ROUND(SUM(D10:D27),0)</f>
        <v>100</v>
      </c>
    </row>
    <row r="29" spans="1:4" x14ac:dyDescent="0.2">
      <c r="A29">
        <v>4000</v>
      </c>
      <c r="B29" t="s">
        <v>724</v>
      </c>
      <c r="C29" s="129">
        <f>ROUND('DOE25'!L256+'DOE25'!L337+'DOE25'!L375+'DOE25'!L376+'DOE25'!L377+'DOE25'!L378+'DOE25'!L379+'DOE25'!L380+'DOE25'!L381,0)</f>
        <v>1434427</v>
      </c>
    </row>
    <row r="30" spans="1:4" x14ac:dyDescent="0.2">
      <c r="B30" s="136" t="s">
        <v>725</v>
      </c>
      <c r="C30" s="130">
        <f>SUM(C28:C29)</f>
        <v>27265433.469999999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10248750</v>
      </c>
      <c r="D35" s="132">
        <f t="shared" ref="D35:D40" si="1">ROUND((C35/$C$41)*100,1)</f>
        <v>38.799999999999997</v>
      </c>
    </row>
    <row r="36" spans="1:4" x14ac:dyDescent="0.2">
      <c r="B36" s="71" t="s">
        <v>739</v>
      </c>
      <c r="C36" s="129">
        <f>SUM('DOE25'!F112:J112)-SUM('DOE25'!G97:G110)+('DOE25'!F175+'DOE25'!F176+'DOE25'!I175+'DOE25'!I176)-C35</f>
        <v>1654825.4700000007</v>
      </c>
      <c r="D36" s="132">
        <f t="shared" si="1"/>
        <v>6.3</v>
      </c>
    </row>
    <row r="37" spans="1:4" x14ac:dyDescent="0.2">
      <c r="A37" s="133" t="s">
        <v>834</v>
      </c>
      <c r="B37" s="71" t="s">
        <v>728</v>
      </c>
      <c r="C37" s="129">
        <f>ROUND('DOE25'!F117+'DOE25'!F118,0)</f>
        <v>9117312</v>
      </c>
      <c r="D37" s="132">
        <f t="shared" si="1"/>
        <v>34.5</v>
      </c>
    </row>
    <row r="38" spans="1:4" x14ac:dyDescent="0.2">
      <c r="A38" s="133" t="s">
        <v>734</v>
      </c>
      <c r="B38" s="71" t="s">
        <v>729</v>
      </c>
      <c r="C38" s="129">
        <f>ROUND(SUM('DOE25'!F140:J140)-SUM('DOE25'!F117:F119),0)</f>
        <v>489597</v>
      </c>
      <c r="D38" s="132">
        <f t="shared" si="1"/>
        <v>1.9</v>
      </c>
    </row>
    <row r="39" spans="1:4" x14ac:dyDescent="0.2">
      <c r="A39">
        <v>4000</v>
      </c>
      <c r="B39" s="71" t="s">
        <v>730</v>
      </c>
      <c r="C39" s="129">
        <f>ROUND('DOE25'!F170+'DOE25'!G170+'DOE25'!H170+'DOE25'!I170,0)</f>
        <v>4923274</v>
      </c>
      <c r="D39" s="132">
        <f t="shared" si="1"/>
        <v>18.600000000000001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26433758.469999999</v>
      </c>
      <c r="D41" s="134">
        <f>SUM(D35:D40)</f>
        <v>100.1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P22" sqref="P22"/>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White Mountains Regional</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v>4</v>
      </c>
      <c r="B4" s="150">
        <v>10</v>
      </c>
      <c r="C4" s="328" t="s">
        <v>1812</v>
      </c>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155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92</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313</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f>IF('School Level Expenditures'!$B$2='School Tables'!W95,'School Tables'!AD95,"")</f>
        <v>92</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f>IF('School Level Expenditures'!$B$2=A158,'School Tables'!H158,"")</f>
        <v>155</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f>IF('School Level Expenditures'!$B$2=A316,'School Tables'!H316,"")</f>
        <v>313</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2023-10-10T19:27:10Z</cp:lastPrinted>
  <dcterms:created xsi:type="dcterms:W3CDTF">1997-12-04T19:04:30Z</dcterms:created>
  <dcterms:modified xsi:type="dcterms:W3CDTF">2023-12-29T15:09:45Z</dcterms:modified>
</cp:coreProperties>
</file>