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D69A81A-15FB-43EB-9C31-D5FE4A371E1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0" i="12" l="1"/>
  <c r="B40" i="12"/>
  <c r="C31" i="12"/>
  <c r="B31" i="12"/>
  <c r="G503" i="1" l="1"/>
  <c r="J469" i="1"/>
  <c r="G441" i="1"/>
  <c r="H397" i="1"/>
  <c r="H246" i="1"/>
  <c r="K243" i="1"/>
  <c r="K242" i="1"/>
  <c r="K241" i="1"/>
  <c r="J240" i="1"/>
  <c r="K239" i="1"/>
  <c r="J239" i="1"/>
  <c r="H239" i="1"/>
  <c r="F235" i="1"/>
  <c r="K237" i="1"/>
  <c r="I235" i="1"/>
  <c r="H235" i="1"/>
  <c r="H228" i="1"/>
  <c r="K225" i="1"/>
  <c r="K224" i="1"/>
  <c r="K223" i="1"/>
  <c r="J221" i="1"/>
  <c r="H221" i="1"/>
  <c r="I217" i="1"/>
  <c r="F217" i="1"/>
  <c r="H210" i="1"/>
  <c r="K207" i="1"/>
  <c r="K205" i="1"/>
  <c r="J203" i="1"/>
  <c r="H203" i="1"/>
  <c r="I199" i="1"/>
  <c r="H199" i="1"/>
  <c r="F198" i="1"/>
  <c r="F49" i="1"/>
  <c r="F12" i="1"/>
  <c r="P2" i="14"/>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E124" i="2" s="1"/>
  <c r="L327" i="1"/>
  <c r="L334" i="1"/>
  <c r="L335" i="1"/>
  <c r="L336" i="1"/>
  <c r="L261" i="1"/>
  <c r="L262" i="1"/>
  <c r="C132" i="2" s="1"/>
  <c r="L342" i="1"/>
  <c r="C32" i="10" s="1"/>
  <c r="L343" i="1"/>
  <c r="L256" i="1"/>
  <c r="C130" i="2" s="1"/>
  <c r="L337" i="1"/>
  <c r="E130" i="2" s="1"/>
  <c r="C11" i="13"/>
  <c r="C10" i="13"/>
  <c r="C9" i="13"/>
  <c r="L362" i="1"/>
  <c r="B4" i="12"/>
  <c r="B36" i="12"/>
  <c r="C36" i="12"/>
  <c r="B27" i="12"/>
  <c r="C27"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1" i="1"/>
  <c r="H632" i="1"/>
  <c r="H634" i="1"/>
  <c r="H636" i="1"/>
  <c r="H637" i="1"/>
  <c r="H638" i="1"/>
  <c r="H639" i="1"/>
  <c r="G644" i="1"/>
  <c r="G645" i="1"/>
  <c r="H653" i="1"/>
  <c r="G654" i="1"/>
  <c r="H654" i="1"/>
  <c r="H655" i="1"/>
  <c r="H656" i="1"/>
  <c r="I170" i="1"/>
  <c r="H72" i="2" l="1"/>
  <c r="C119" i="2"/>
  <c r="H101" i="2"/>
  <c r="H99" i="2"/>
  <c r="H79" i="2"/>
  <c r="H76" i="2"/>
  <c r="H58" i="2"/>
  <c r="G663" i="1"/>
  <c r="I409" i="1"/>
  <c r="H26" i="2"/>
  <c r="H140" i="1"/>
  <c r="G62" i="2"/>
  <c r="D18" i="13"/>
  <c r="C18" i="13" s="1"/>
  <c r="H96" i="2"/>
  <c r="H48" i="2"/>
  <c r="G409" i="1"/>
  <c r="H646" i="1" s="1"/>
  <c r="J646" i="1" s="1"/>
  <c r="D144" i="2"/>
  <c r="H100" i="2"/>
  <c r="H135" i="2"/>
  <c r="H80" i="2"/>
  <c r="H89" i="2"/>
  <c r="H34" i="2"/>
  <c r="H38" i="2"/>
  <c r="H43" i="2"/>
  <c r="H102" i="2"/>
  <c r="H98" i="2"/>
  <c r="H94" i="2"/>
  <c r="H61" i="2"/>
  <c r="H27" i="2"/>
  <c r="H24" i="2"/>
  <c r="H8" i="2"/>
  <c r="H97" i="2"/>
  <c r="H9" i="2"/>
  <c r="H87" i="2"/>
  <c r="H13" i="2"/>
  <c r="H132" i="2"/>
  <c r="H44" i="2"/>
  <c r="H69" i="2"/>
  <c r="H30" i="2"/>
  <c r="H28" i="2"/>
  <c r="H25" i="2"/>
  <c r="H17" i="2"/>
  <c r="H15" i="2"/>
  <c r="H143" i="2"/>
  <c r="H93" i="2"/>
  <c r="H23" i="2"/>
  <c r="J652" i="1"/>
  <c r="G477" i="1"/>
  <c r="H477" i="1"/>
  <c r="H625" i="1" s="1"/>
  <c r="E121" i="2"/>
  <c r="E112" i="2"/>
  <c r="E111" i="2"/>
  <c r="M2" i="14"/>
  <c r="M3" i="14" s="1"/>
  <c r="C125" i="2"/>
  <c r="H125" i="2" s="1"/>
  <c r="A40" i="12"/>
  <c r="C13" i="10"/>
  <c r="E13" i="13"/>
  <c r="C13" i="13" s="1"/>
  <c r="D15" i="13"/>
  <c r="C15" i="13" s="1"/>
  <c r="C121" i="2"/>
  <c r="C120" i="2"/>
  <c r="H120" i="2" s="1"/>
  <c r="G651" i="1"/>
  <c r="N2" i="14"/>
  <c r="N3" i="14" s="1"/>
  <c r="C110" i="2"/>
  <c r="C12" i="10"/>
  <c r="D6" i="13"/>
  <c r="C6" i="13" s="1"/>
  <c r="L2" i="14"/>
  <c r="L3" i="14" s="1"/>
  <c r="C112" i="2"/>
  <c r="K2" i="14"/>
  <c r="K3" i="14" s="1"/>
  <c r="G646" i="1"/>
  <c r="H77" i="2"/>
  <c r="H59" i="2"/>
  <c r="H47" i="2"/>
  <c r="H35" i="2"/>
  <c r="H36" i="2"/>
  <c r="H29" i="2"/>
  <c r="H22" i="2"/>
  <c r="H11" i="2"/>
  <c r="H12"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I663" i="1"/>
  <c r="H121" i="2"/>
  <c r="H85" i="2"/>
  <c r="H134" i="2"/>
  <c r="H21" i="2"/>
  <c r="H42" i="2"/>
  <c r="H16" i="2"/>
  <c r="I662" i="1"/>
  <c r="D128" i="2"/>
  <c r="D145" i="2" s="1"/>
  <c r="H127" i="2"/>
  <c r="H123" i="2"/>
  <c r="G24" i="14"/>
  <c r="H24" i="14" s="1"/>
  <c r="I24" i="14" s="1"/>
  <c r="H118" i="2"/>
  <c r="H112" i="2"/>
  <c r="H111" i="2"/>
  <c r="E128" i="2"/>
  <c r="H122" i="2"/>
  <c r="H110" i="2"/>
  <c r="H103" i="2"/>
  <c r="H91" i="2"/>
  <c r="C81" i="2"/>
  <c r="H81" i="2" s="1"/>
  <c r="H78" i="2"/>
  <c r="H62" i="2"/>
  <c r="H57" i="2"/>
  <c r="F194" i="1"/>
  <c r="H50" i="2"/>
  <c r="D51" i="2"/>
  <c r="E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33" i="1" l="1"/>
  <c r="F473" i="1"/>
  <c r="H51" i="2"/>
  <c r="G628" i="1"/>
  <c r="F469" i="1"/>
  <c r="H128" i="2"/>
  <c r="C144" i="2"/>
  <c r="H144" i="2" s="1"/>
  <c r="H141" i="2"/>
  <c r="C104" i="2"/>
  <c r="H104" i="2" s="1"/>
  <c r="H63"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H633" i="1"/>
  <c r="J633" i="1"/>
  <c r="H628" i="1"/>
  <c r="F471" i="1"/>
  <c r="F477" i="1" s="1"/>
  <c r="H623" i="1" s="1"/>
  <c r="J628" i="1"/>
  <c r="H145" i="2"/>
  <c r="I670" i="1"/>
  <c r="I673" i="1" s="1"/>
  <c r="C7" i="10" s="1"/>
  <c r="F673" i="1"/>
  <c r="C4" i="10" s="1"/>
  <c r="I668" i="1"/>
  <c r="D28" i="10"/>
  <c r="D37" i="10"/>
  <c r="D36" i="10"/>
  <c r="D35" i="10"/>
  <c r="D40" i="10"/>
  <c r="D39" i="10"/>
  <c r="J623"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<sst xmlns="http://schemas.openxmlformats.org/spreadsheetml/2006/main" count="6561" uniqueCount="1816">
  <si>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</si>
  <si>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</si>
  <si>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</si>
  <si>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</si>
  <si>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</si>
  <si>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</si>
  <si>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</si>
  <si>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</si>
  <si>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</si>
  <si>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</si>
  <si>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</si>
  <si>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</si>
  <si>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</si>
  <si>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</si>
  <si>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</si>
  <si>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</si>
  <si>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</si>
  <si>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</si>
  <si>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</si>
  <si>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</si>
  <si>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</si>
  <si>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</si>
  <si>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</si>
  <si>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</si>
  <si>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</si>
  <si>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</si>
  <si>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</si>
  <si>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</si>
  <si>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</si>
  <si>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</si>
  <si>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</si>
  <si>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</si>
  <si>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</si>
  <si>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</si>
  <si>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</si>
  <si>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</si>
  <si>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</si>
  <si>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</si>
  <si>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</si>
  <si>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</si>
  <si>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</si>
  <si>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</si>
  <si>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</si>
  <si>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</si>
  <si>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</si>
  <si>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</si>
  <si>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</si>
  <si>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</si>
  <si>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</si>
  <si>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</si>
  <si>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</si>
  <si>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</si>
  <si>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</si>
  <si>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</si>
  <si>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</si>
  <si>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</si>
  <si>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</si>
  <si>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</si>
  <si>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</si>
  <si>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</si>
  <si>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</si>
  <si>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</si>
  <si>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</si>
  <si>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</si>
  <si>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</si>
  <si>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</si>
  <si>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</si>
  <si>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</si>
  <si>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</si>
  <si>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</si>
  <si>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</si>
  <si>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</si>
  <si>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</si>
  <si>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</si>
  <si>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</si>
  <si>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</si>
  <si>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</si>
  <si>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</si>
  <si>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</si>
  <si>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</si>
  <si>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</si>
  <si>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</si>
  <si>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</si>
  <si>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</si>
  <si>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</si>
  <si>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</si>
  <si>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</si>
  <si>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</si>
  <si>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</si>
  <si>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</si>
  <si>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</si>
  <si>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</si>
  <si>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</si>
  <si>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</si>
  <si>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</si>
  <si>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</si>
  <si>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</si>
  <si>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</si>
  <si>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</si>
  <si>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</si>
  <si>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</si>
  <si>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</si>
  <si>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</si>
  <si>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</si>
  <si>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</si>
  <si>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</si>
  <si>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</si>
  <si>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</si>
  <si>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</si>
  <si>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</si>
  <si>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</si>
  <si>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</si>
  <si>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</si>
  <si>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</si>
  <si>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</si>
  <si>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</si>
  <si>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</si>
  <si>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</si>
  <si>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</si>
  <si>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</si>
  <si>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</si>
  <si>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</si>
  <si>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</si>
  <si>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</si>
  <si>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</si>
  <si>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</si>
  <si>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</si>
  <si>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</si>
  <si>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</si>
  <si>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</si>
  <si>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</si>
  <si>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</si>
  <si>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</si>
  <si>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</si>
  <si>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</si>
  <si>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</si>
  <si>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</si>
  <si>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</si>
  <si>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</si>
  <si>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</si>
  <si>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</si>
  <si>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</si>
  <si>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</si>
  <si>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</si>
  <si>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</si>
  <si>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</si>
  <si>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</si>
  <si>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</si>
  <si>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</si>
  <si>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</si>
  <si>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</si>
  <si>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</si>
  <si>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</si>
  <si>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</si>
  <si>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</si>
  <si>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</si>
  <si>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</si>
  <si>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</si>
  <si>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</si>
  <si>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</si>
  <si>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</si>
  <si>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</si>
  <si>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</si>
  <si>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</si>
  <si>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</si>
  <si>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</si>
  <si>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</si>
  <si>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</si>
  <si>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</si>
  <si>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</si>
  <si>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</si>
  <si>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</si>
  <si>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</si>
  <si>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</si>
  <si>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</si>
  <si>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</si>
  <si>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</si>
  <si>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</si>
  <si>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</si>
  <si>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</si>
  <si>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</si>
  <si>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</si>
  <si>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</si>
  <si>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</si>
  <si>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</si>
  <si>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</si>
  <si>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</si>
  <si>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</si>
  <si>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</si>
  <si>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</si>
  <si>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</si>
  <si>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</si>
  <si>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</si>
  <si>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</si>
  <si>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</si>
  <si>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</si>
  <si>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</si>
  <si>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</si>
  <si>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</si>
  <si>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</si>
  <si>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</si>
  <si>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</si>
  <si>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</si>
  <si>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</si>
  <si>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</si>
  <si>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</si>
  <si>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</si>
  <si>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</si>
  <si>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</si>
  <si>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</si>
  <si>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</si>
  <si>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</si>
  <si>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</si>
  <si>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</si>
  <si>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</si>
  <si>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</si>
  <si>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</si>
  <si>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</si>
  <si>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</si>
  <si>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</si>
  <si>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</si>
  <si>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</si>
  <si>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</si>
  <si>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</si>
  <si>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</si>
  <si>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</si>
  <si>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</si>
  <si>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</si>
  <si>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</si>
  <si>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</si>
  <si>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</si>
  <si>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</si>
  <si>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</si>
  <si>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</si>
  <si>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</si>
  <si>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</si>
  <si>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</si>
  <si>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</si>
  <si>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</si>
  <si>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</si>
  <si>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</si>
  <si>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</si>
  <si>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</si>
  <si>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</si>
  <si>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</si>
  <si>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</si>
  <si>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</si>
  <si>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</si>
  <si>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</si>
  <si>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</si>
  <si>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</si>
  <si>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</si>
  <si>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</si>
  <si>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</si>
  <si>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</si>
  <si>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</si>
  <si>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</si>
  <si>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</si>
  <si>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</si>
  <si>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</si>
  <si>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</si>
  <si>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</si>
  <si>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</si>
  <si>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</si>
  <si>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</si>
  <si>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</si>
  <si>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</si>
  <si>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</si>
  <si>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</si>
  <si>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</si>
  <si>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</si>
  <si>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</si>
  <si>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</si>
  <si>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</si>
  <si>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</si>
  <si>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</si>
  <si>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</si>
  <si>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</si>
  <si>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</si>
  <si>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</si>
  <si>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</si>
  <si>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</si>
  <si>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</si>
  <si>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</si>
  <si>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</si>
  <si>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</si>
  <si>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</si>
  <si>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</si>
  <si>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</si>
  <si>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</si>
  <si>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</si>
  <si>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</si>
  <si>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</si>
  <si>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</si>
  <si>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</si>
  <si>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</si>
  <si>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</si>
  <si>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</si>
  <si>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</si>
  <si>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</si>
  <si>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</si>
  <si>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</si>
  <si>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</si>
  <si>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</si>
  <si>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</si>
  <si>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</si>
  <si>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</si>
  <si>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</si>
  <si>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</si>
  <si>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</si>
  <si>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</si>
  <si>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</si>
  <si>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</si>
  <si>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</si>
  <si>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</si>
  <si>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</si>
  <si>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</si>
  <si>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</si>
  <si>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</si>
  <si>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</si>
  <si>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</si>
  <si>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</si>
  <si>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</si>
  <si>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</si>
  <si>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</si>
  <si>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</si>
  <si>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</si>
  <si>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</si>
  <si>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</si>
  <si>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</si>
  <si>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</si>
  <si>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</si>
  <si>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</si>
  <si>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</si>
  <si>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</si>
  <si>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</si>
  <si>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</si>
  <si>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</si>
  <si>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</si>
  <si>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</si>
  <si>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</si>
  <si>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</si>
  <si>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</si>
  <si>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</si>
  <si>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</si>
  <si>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</si>
  <si>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</si>
  <si>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</si>
  <si>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</si>
  <si>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</si>
  <si>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</si>
  <si>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</si>
  <si>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</si>
  <si>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</si>
  <si>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</si>
  <si>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</si>
  <si>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</si>
  <si>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</si>
  <si>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</si>
  <si>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</si>
  <si>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</si>
  <si>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</si>
  <si>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</si>
  <si>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</si>
  <si>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</si>
  <si>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</si>
  <si>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</si>
  <si>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</si>
  <si>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</si>
  <si>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</si>
  <si>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</si>
  <si>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</si>
  <si>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</si>
  <si>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</si>
  <si>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</si>
  <si>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</si>
  <si>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</si>
  <si>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</si>
  <si>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</si>
  <si>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</si>
  <si>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</si>
  <si>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</si>
  <si>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</si>
  <si>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</si>
  <si>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</si>
  <si>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</si>
  <si>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</si>
  <si>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</si>
  <si>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</si>
  <si>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</si>
  <si>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</si>
  <si>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</si>
  <si>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</si>
  <si>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</si>
  <si>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</si>
  <si>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</si>
  <si>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</si>
  <si>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</si>
  <si>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</si>
  <si>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</si>
  <si>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</si>
  <si>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</si>
  <si>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</si>
  <si>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</si>
  <si>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</si>
  <si>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</si>
  <si>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</si>
  <si>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</si>
  <si>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</si>
  <si>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</si>
  <si>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</si>
  <si>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</si>
  <si>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</si>
  <si>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</si>
  <si>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</si>
  <si>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</si>
  <si>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</si>
  <si>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</si>
  <si>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</si>
  <si>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</si>
  <si>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</si>
  <si>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</si>
  <si>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</si>
  <si>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</si>
  <si>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</si>
  <si>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</si>
  <si>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</si>
  <si>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</si>
  <si>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</si>
  <si>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</si>
  <si>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</si>
  <si>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</si>
  <si>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</si>
  <si>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</si>
  <si>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</si>
  <si>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</si>
  <si>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</si>
  <si>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</si>
  <si>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</si>
  <si>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</si>
  <si>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</si>
  <si>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</si>
  <si>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</si>
  <si>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</si>
  <si>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</si>
  <si>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</si>
  <si>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</si>
  <si>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</si>
  <si>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</si>
  <si>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</si>
  <si>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</si>
  <si>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</si>
  <si>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</si>
  <si>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</si>
  <si>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</si>
  <si>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</si>
  <si>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</si>
  <si>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</si>
  <si>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</si>
  <si>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</si>
  <si>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</si>
  <si>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</si>
  <si>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</si>
  <si>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</si>
  <si>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</si>
  <si>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</si>
  <si>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</si>
  <si>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</si>
  <si>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</si>
  <si>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</si>
  <si>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</si>
  <si>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</si>
  <si>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</si>
  <si>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</si>
  <si>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</si>
  <si>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</si>
  <si>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</si>
  <si>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</si>
  <si>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</si>
  <si>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</si>
  <si>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</si>
  <si>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</si>
  <si>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</si>
  <si>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</si>
  <si>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</si>
  <si>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</si>
  <si>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</si>
  <si>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</si>
  <si>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</si>
  <si>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</si>
  <si>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</si>
  <si>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</si>
  <si>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</si>
  <si>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</si>
  <si>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</si>
  <si>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</si>
  <si>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</si>
  <si>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</si>
  <si>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</si>
  <si>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</si>
  <si>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</si>
  <si>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</si>
  <si>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</si>
  <si>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</si>
  <si>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</si>
  <si>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</si>
  <si>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</si>
  <si>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</si>
  <si>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</si>
  <si>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</si>
  <si>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</si>
  <si>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</si>
  <si>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</si>
  <si>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</si>
  <si>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</si>
  <si>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</si>
  <si>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</si>
  <si>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</si>
  <si>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</si>
  <si>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</si>
  <si>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</si>
  <si>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</si>
  <si>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</si>
  <si>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</si>
  <si>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</si>
  <si>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</si>
  <si>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</si>
  <si>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</si>
  <si>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</si>
  <si>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</si>
  <si>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</si>
  <si>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</si>
  <si>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</si>
  <si>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</si>
  <si>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</si>
  <si>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</si>
  <si>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</si>
  <si>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</si>
  <si>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</si>
  <si>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</si>
  <si>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</si>
  <si>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</si>
  <si>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</si>
  <si>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</si>
  <si>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</si>
  <si>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</si>
  <si>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</si>
  <si>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</si>
  <si>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</si>
  <si>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</si>
  <si>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</si>
  <si>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</si>
  <si>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</si>
  <si>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</si>
  <si>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</si>
  <si>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</si>
  <si>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</si>
  <si>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</si>
  <si>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</si>
  <si>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</si>
  <si>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</si>
  <si>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</si>
  <si>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</si>
  <si>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</si>
  <si>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</si>
  <si>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</si>
  <si>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</si>
  <si>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</si>
  <si>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</si>
  <si>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</si>
  <si>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</si>
  <si>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</si>
  <si>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</si>
  <si>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</si>
  <si>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</si>
  <si>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</si>
  <si>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</si>
  <si>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</si>
  <si>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</si>
  <si>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</si>
  <si>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</si>
  <si>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</si>
  <si>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</si>
  <si>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</si>
  <si>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</si>
  <si>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</si>
  <si>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</si>
  <si>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</si>
  <si>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</si>
  <si>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</si>
  <si>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</si>
  <si>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</si>
  <si>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</si>
  <si>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</si>
  <si>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</si>
  <si>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</si>
  <si>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</si>
  <si>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</si>
  <si>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</si>
  <si>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</si>
  <si>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</si>
  <si>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</si>
  <si>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</si>
  <si>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</si>
  <si>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</si>
  <si>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</si>
  <si>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</si>
  <si>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</si>
  <si>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</si>
  <si>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</si>
  <si>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</si>
  <si>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</si>
  <si>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</si>
  <si>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</si>
  <si>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</si>
  <si>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</si>
  <si>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</si>
  <si>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</si>
  <si>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</si>
  <si>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</si>
  <si>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</si>
  <si>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</si>
  <si>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</si>
  <si>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</si>
  <si>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</si>
  <si>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</si>
  <si>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</si>
  <si>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</si>
  <si>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</si>
  <si>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</si>
  <si>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</si>
  <si>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</si>
  <si>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</si>
  <si>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</si>
  <si>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</si>
  <si>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</si>
  <si>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</si>
  <si>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</si>
  <si>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</si>
  <si>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</si>
  <si>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</si>
  <si>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</si>
  <si>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</si>
  <si>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</si>
  <si>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</si>
  <si>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</si>
  <si>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</si>
  <si>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</si>
  <si>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</si>
  <si>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</si>
  <si>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</si>
  <si>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</si>
  <si>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</si>
  <si>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</si>
  <si>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</si>
  <si>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</si>
  <si>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</si>
  <si>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</si>
  <si>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</si>
  <si>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</si>
  <si>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</si>
  <si>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</si>
  <si>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</si>
  <si>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</si>
  <si>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</si>
  <si>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</si>
  <si>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</si>
  <si>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</si>
  <si>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</si>
  <si>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</si>
  <si>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</si>
  <si>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</si>
  <si>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</si>
  <si>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</si>
  <si>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</si>
  <si>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</si>
  <si>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</si>
  <si>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</si>
  <si>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</si>
  <si>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</si>
  <si>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</si>
  <si>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</si>
  <si>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</si>
  <si>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</si>
  <si>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</si>
  <si>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</si>
  <si>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</si>
  <si>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</si>
  <si>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</si>
  <si>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</si>
  <si>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</si>
  <si>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</si>
  <si>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</si>
  <si>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</si>
  <si>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</si>
  <si>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</si>
  <si>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</si>
  <si>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</si>
  <si>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</si>
  <si>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</si>
  <si>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</si>
  <si>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</si>
  <si>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</si>
  <si>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</si>
  <si>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</si>
  <si>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</si>
  <si>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</si>
  <si>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</si>
  <si>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</si>
  <si>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</si>
  <si>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</si>
  <si>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</si>
  <si>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</si>
  <si>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</si>
  <si>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</si>
  <si>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</si>
  <si>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</si>
  <si>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</si>
  <si>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</si>
  <si>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</si>
  <si>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</si>
  <si>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</si>
  <si>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</si>
  <si>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</si>
  <si>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</si>
  <si>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</si>
  <si>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</si>
  <si>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</si>
  <si>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</si>
  <si>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</si>
  <si>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</si>
  <si>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</si>
  <si>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</si>
  <si>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</si>
  <si>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</si>
  <si>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</si>
  <si>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</si>
  <si>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</si>
  <si>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</si>
  <si>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</si>
  <si>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</si>
  <si>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</si>
  <si>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</si>
  <si>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</si>
  <si>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</si>
  <si>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</si>
  <si>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</si>
  <si>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</si>
  <si>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</si>
  <si>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</si>
  <si>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</si>
  <si>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</si>
  <si>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</si>
  <si>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</si>
  <si>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</si>
  <si>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</si>
  <si>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</si>
  <si>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</si>
  <si>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</si>
  <si>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</si>
  <si>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</si>
  <si>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</si>
  <si>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</si>
  <si>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</si>
  <si>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</si>
  <si>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</si>
  <si>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</si>
  <si>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</si>
  <si>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</si>
  <si>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</si>
  <si>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</si>
  <si>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</si>
  <si>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</si>
  <si>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</si>
  <si>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</si>
  <si>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</si>
  <si>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</si>
  <si>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</si>
  <si>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</si>
  <si>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</si>
  <si>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</si>
  <si>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</si>
  <si>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</si>
  <si>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</si>
  <si>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</si>
  <si>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</si>
  <si>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</si>
  <si>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</si>
  <si>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</si>
  <si>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</si>
  <si>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</si>
  <si>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</si>
  <si>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</si>
  <si>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</si>
  <si>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</si>
  <si>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</si>
  <si>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</si>
  <si>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</si>
  <si>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</si>
  <si>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</si>
  <si>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</si>
  <si>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</si>
  <si>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</si>
  <si>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</si>
  <si>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</si>
  <si>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</si>
  <si>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</si>
  <si>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</si>
  <si>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</si>
  <si>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</si>
  <si>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</si>
  <si>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</si>
  <si>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</si>
  <si>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</si>
  <si>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</si>
  <si>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</si>
  <si>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</si>
  <si>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</si>
  <si>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</si>
  <si>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</si>
  <si>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</si>
  <si>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</si>
  <si>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</si>
  <si>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</si>
  <si>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</si>
  <si>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</si>
  <si>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</si>
  <si>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</si>
  <si>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</si>
  <si>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</si>
  <si>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</si>
  <si>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</si>
  <si>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</si>
  <si>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</si>
  <si>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</si>
  <si>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</si>
  <si>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</si>
  <si>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</si>
  <si>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</si>
  <si>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</si>
  <si>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</si>
  <si>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</si>
  <si>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</si>
  <si>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</si>
  <si>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</si>
  <si>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</si>
  <si>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</si>
  <si>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</si>
  <si>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</si>
  <si>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</si>
  <si>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</si>
  <si>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</si>
  <si>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</si>
  <si>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</si>
  <si>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</si>
  <si>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</si>
  <si>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</si>
  <si>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</si>
  <si>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</si>
  <si>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</si>
  <si>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</si>
  <si>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</si>
  <si>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</si>
  <si>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</si>
  <si>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</si>
  <si>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</si>
  <si>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</si>
  <si>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</si>
  <si>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</si>
  <si>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</si>
  <si>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</si>
  <si>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</si>
  <si>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</si>
  <si>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</si>
  <si>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</si>
  <si>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</si>
  <si>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</si>
  <si>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</si>
  <si>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</si>
  <si>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</si>
  <si>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</si>
  <si>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</si>
  <si>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</si>
  <si>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</si>
  <si>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</si>
  <si>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</si>
  <si>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</si>
  <si>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</si>
  <si>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</si>
  <si>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</si>
  <si>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</si>
  <si>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</si>
  <si>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</si>
  <si>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</si>
  <si>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</si>
  <si>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</si>
  <si>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</si>
  <si>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</si>
  <si>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</si>
  <si>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</si>
  <si>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</si>
  <si>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</si>
  <si>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</si>
  <si>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</si>
  <si>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</si>
  <si>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</si>
  <si>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</si>
  <si>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</si>
  <si>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</si>
  <si>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</si>
  <si>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</si>
  <si>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</si>
  <si>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</si>
  <si>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</si>
  <si>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</si>
  <si>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</si>
  <si>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</si>
  <si>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</si>
  <si>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</si>
  <si>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</si>
  <si>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</si>
  <si>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</si>
  <si>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</si>
  <si>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</si>
  <si>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</si>
  <si>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</si>
  <si>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</si>
  <si>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</si>
  <si>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</si>
  <si>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</si>
  <si>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</si>
  <si>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</si>
  <si>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</si>
  <si>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</si>
  <si>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</si>
  <si>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</si>
  <si>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</si>
  <si>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</si>
  <si>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</si>
  <si>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</si>
  <si>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</si>
  <si>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</si>
  <si>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</si>
  <si>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</si>
  <si>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</si>
  <si>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</si>
  <si>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</si>
  <si>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</si>
  <si>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</si>
  <si>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</si>
  <si>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</si>
  <si>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</si>
  <si>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</si>
  <si>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</si>
  <si>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</si>
  <si>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</si>
  <si>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</si>
  <si>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</si>
  <si>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</si>
  <si>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</si>
  <si>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</si>
  <si>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</si>
  <si>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</si>
  <si>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</si>
  <si>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</si>
  <si>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</si>
  <si>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</si>
  <si>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</si>
  <si>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</si>
  <si>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</si>
  <si>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</si>
  <si>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</si>
  <si>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</si>
  <si>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</si>
  <si>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</si>
  <si>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</si>
  <si>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</si>
  <si>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</si>
  <si>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</si>
  <si>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</si>
  <si>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</si>
  <si>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</si>
  <si>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</si>
  <si>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</si>
  <si>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</si>
  <si>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</si>
  <si>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</si>
  <si>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</si>
  <si>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</si>
  <si>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</si>
  <si>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</si>
  <si>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</si>
  <si>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</si>
  <si>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</si>
  <si>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</si>
  <si>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</si>
  <si>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</si>
  <si>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</si>
  <si>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</si>
  <si>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</si>
  <si>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</si>
  <si>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</si>
  <si>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</si>
  <si>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</si>
  <si>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</si>
  <si>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</si>
  <si>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</si>
  <si>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</si>
  <si>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</si>
  <si>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</si>
  <si>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</si>
  <si>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</si>
  <si>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</si>
  <si>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</si>
  <si>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</si>
  <si>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</si>
  <si>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</si>
  <si>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</si>
  <si>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</si>
  <si>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</si>
  <si>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</si>
  <si>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</si>
  <si>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</si>
  <si>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</si>
  <si>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</si>
  <si>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</si>
  <si>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</si>
  <si>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</si>
  <si>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</si>
  <si>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</si>
  <si>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</si>
  <si>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</si>
  <si>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</si>
  <si>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</si>
  <si>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</si>
  <si>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</si>
  <si>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</si>
  <si>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</si>
  <si>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</si>
  <si>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</si>
  <si>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</si>
  <si>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</si>
  <si>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</si>
  <si>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</si>
  <si>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</si>
  <si>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</si>
  <si>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</si>
  <si>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</si>
  <si>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</si>
  <si>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</si>
  <si>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</si>
  <si>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</si>
  <si>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</si>
  <si>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</si>
  <si>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</si>
  <si>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</si>
  <si>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</si>
  <si>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</si>
  <si>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</si>
  <si>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</si>
  <si>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</si>
  <si>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</si>
  <si>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</si>
  <si>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</si>
  <si>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</si>
  <si>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</si>
  <si>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</si>
  <si>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</si>
  <si>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</si>
  <si>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</si>
  <si>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</si>
  <si>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</si>
  <si>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</si>
  <si>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</si>
  <si>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</si>
  <si>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</si>
  <si>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</si>
  <si>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</si>
  <si>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</si>
  <si>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</si>
  <si>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</si>
  <si>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</si>
  <si>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</si>
  <si>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</si>
  <si>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</si>
  <si>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</si>
  <si>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</si>
  <si>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</si>
  <si>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</si>
  <si>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</si>
  <si>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</si>
  <si>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</si>
  <si>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</si>
  <si>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</si>
  <si>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</si>
  <si>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</si>
  <si>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</si>
  <si>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</si>
  <si>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</si>
  <si>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</si>
  <si>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</si>
  <si>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</si>
  <si>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</si>
  <si>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</si>
  <si>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</si>
  <si>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</si>
  <si>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</si>
  <si>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</si>
  <si>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</si>
  <si>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</si>
  <si>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</si>
  <si>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</si>
  <si>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</si>
  <si>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</si>
  <si>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</si>
  <si>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</si>
  <si>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</si>
  <si>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</si>
  <si>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</si>
  <si>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</si>
  <si>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</si>
  <si>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</si>
  <si>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</si>
  <si>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</si>
  <si>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</si>
  <si>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</si>
  <si>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</si>
  <si>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</si>
  <si>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</si>
  <si>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</si>
  <si>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</si>
  <si>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</si>
  <si>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</si>
  <si>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</si>
  <si>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</si>
  <si>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</si>
  <si>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</si>
  <si>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</si>
  <si>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</si>
  <si>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</si>
  <si>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</si>
  <si>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</si>
  <si>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</si>
  <si>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</si>
  <si>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</si>
  <si>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</si>
  <si>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</si>
  <si>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</si>
  <si>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</si>
  <si>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</si>
  <si>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</si>
  <si>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</si>
  <si>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</si>
  <si>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</si>
  <si>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</si>
  <si>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</si>
  <si>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</si>
  <si>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</si>
  <si>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</si>
  <si>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</si>
  <si>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</si>
  <si>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</si>
  <si>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</si>
  <si>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</si>
  <si>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</si>
  <si>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</si>
  <si>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</si>
  <si>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</si>
  <si>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</si>
  <si>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</si>
  <si>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</si>
  <si>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</si>
  <si>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</si>
  <si>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</si>
  <si>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</si>
  <si>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</si>
  <si>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</si>
  <si>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</si>
  <si>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</si>
  <si>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</si>
  <si>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</si>
  <si>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</si>
  <si>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</si>
  <si>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</si>
  <si>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</si>
  <si>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</si>
  <si>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</si>
  <si>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</si>
  <si>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</si>
  <si>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</si>
  <si>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</si>
  <si>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</si>
  <si>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</si>
  <si>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</si>
  <si>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</si>
  <si>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</si>
  <si>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</si>
  <si>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</si>
  <si>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</si>
  <si>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</si>
  <si>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</si>
  <si>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</si>
  <si>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</si>
  <si>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</si>
  <si>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</si>
  <si>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</si>
  <si>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</si>
  <si>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</si>
  <si>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</si>
  <si>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</si>
  <si>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</si>
  <si>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</si>
  <si>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</si>
  <si>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</si>
  <si>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</si>
  <si>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</si>
  <si>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</si>
  <si>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</si>
  <si>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</si>
  <si>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</si>
  <si>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</si>
  <si>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</si>
  <si>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</si>
  <si>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</si>
  <si>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</si>
  <si>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</si>
  <si>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</si>
  <si>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</si>
  <si>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</si>
  <si>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</si>
  <si>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</si>
  <si>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</si>
  <si>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</si>
  <si>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</si>
  <si>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</si>
  <si>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</si>
  <si>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</si>
  <si>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</si>
  <si>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</si>
  <si>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</si>
  <si>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</si>
  <si>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</si>
  <si>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</si>
  <si>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</si>
  <si>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</si>
  <si>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</si>
  <si>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</si>
  <si>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</si>
  <si>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</si>
  <si>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</si>
  <si>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</si>
  <si>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</si>
  <si>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</si>
  <si>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</si>
  <si>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</si>
  <si>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</si>
  <si>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</si>
  <si>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</si>
  <si>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</si>
  <si>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</si>
  <si>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</si>
  <si>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</si>
  <si>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</si>
  <si>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</si>
  <si>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</si>
  <si>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</si>
  <si>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</si>
  <si>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</si>
  <si>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</si>
  <si>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</si>
  <si>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</si>
  <si>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</si>
  <si>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</si>
  <si>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</si>
  <si>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</si>
  <si>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</si>
  <si>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</si>
  <si>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</si>
  <si>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</si>
  <si>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</si>
  <si>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</si>
  <si>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</si>
  <si>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</si>
  <si>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</si>
  <si>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</si>
  <si>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</si>
  <si>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</si>
  <si>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</si>
  <si>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</si>
  <si>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</si>
  <si>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</si>
  <si>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</si>
  <si>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</si>
  <si>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</si>
  <si>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</si>
  <si>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</si>
  <si>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</si>
  <si>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</si>
  <si>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</si>
  <si>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</si>
  <si>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</si>
  <si>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</si>
  <si>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</si>
  <si>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</si>
  <si>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</si>
  <si>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</si>
  <si>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</si>
  <si>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</si>
  <si>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</si>
  <si>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</si>
  <si>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</si>
  <si>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</si>
  <si>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</si>
  <si>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</si>
  <si>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</si>
  <si>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</si>
  <si>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</si>
  <si>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</si>
  <si>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</si>
  <si>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</si>
  <si>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</si>
  <si>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</si>
  <si>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</si>
  <si>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</si>
  <si>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</si>
  <si>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</si>
  <si>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</si>
  <si>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</si>
  <si>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</si>
  <si>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</si>
  <si>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</si>
  <si>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</si>
  <si>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</si>
  <si>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</si>
  <si>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</si>
  <si>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</si>
  <si>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</si>
  <si>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</si>
  <si>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</si>
  <si>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</si>
  <si>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</si>
  <si>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</si>
  <si>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</si>
  <si>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</si>
  <si>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</si>
  <si>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</si>
  <si>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</si>
  <si>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</si>
  <si>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</si>
  <si>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</si>
  <si>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</si>
  <si>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</si>
  <si>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</si>
  <si>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</si>
  <si>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</si>
  <si>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</si>
  <si>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</si>
  <si>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</si>
  <si>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</si>
  <si>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</si>
  <si>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</si>
  <si>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</si>
  <si>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</si>
  <si>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</si>
  <si>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</si>
  <si>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</si>
  <si>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</si>
  <si>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</si>
  <si>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</si>
  <si>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</si>
  <si>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</si>
  <si>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</si>
  <si>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</si>
  <si>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</si>
  <si>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</si>
  <si>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</si>
  <si>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</si>
  <si>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</si>
  <si>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</si>
  <si>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</si>
  <si>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</si>
  <si>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</si>
  <si>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</si>
  <si>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</si>
  <si>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</si>
  <si>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</si>
  <si>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</si>
  <si>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</si>
  <si>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</si>
  <si>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</si>
  <si>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</si>
  <si>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</si>
  <si>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</si>
  <si>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</si>
  <si>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</si>
  <si>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</si>
  <si>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</si>
  <si>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</si>
  <si>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</si>
  <si>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</si>
  <si>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</si>
  <si>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</si>
  <si>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</si>
  <si>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</si>
  <si>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</si>
  <si>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</si>
  <si>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</si>
  <si>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</si>
  <si>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</si>
  <si>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</si>
  <si>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</si>
  <si>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</si>
  <si>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</si>
  <si>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</si>
  <si>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</si>
  <si>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</si>
  <si>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</si>
  <si>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</si>
  <si>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</si>
  <si>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</si>
  <si>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</si>
  <si>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</si>
  <si>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</si>
  <si>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</si>
  <si>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</si>
  <si>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</si>
  <si>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</si>
  <si>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</si>
  <si>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</si>
  <si>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</si>
  <si>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</si>
  <si>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</si>
  <si>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</si>
  <si>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</si>
  <si>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</si>
  <si>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</si>
  <si>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</si>
  <si>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</si>
  <si>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</si>
  <si>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</si>
  <si>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</si>
  <si>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</si>
  <si>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</si>
  <si>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</si>
  <si>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</si>
  <si>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</si>
  <si>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</si>
  <si>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</si>
  <si>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</si>
  <si>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</si>
  <si>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</si>
  <si>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</si>
  <si>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</si>
  <si>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</si>
  <si>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</si>
  <si>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</si>
  <si>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</si>
  <si>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</si>
  <si>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</si>
  <si>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</si>
  <si>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</si>
  <si>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</si>
  <si>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</si>
  <si>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</si>
  <si>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</si>
  <si>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</si>
  <si>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</si>
  <si>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</si>
  <si>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</si>
  <si>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</si>
  <si>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</si>
  <si>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</si>
  <si>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</si>
  <si>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</si>
  <si>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</si>
  <si>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</si>
  <si>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</si>
  <si>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</si>
  <si>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</si>
  <si>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</si>
  <si>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</si>
  <si>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</si>
  <si>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</si>
  <si>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</si>
  <si>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</si>
  <si>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</si>
  <si>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</si>
  <si>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</si>
  <si>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</si>
  <si>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</si>
  <si>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</si>
  <si>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</si>
  <si>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</si>
  <si>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</si>
  <si>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</si>
  <si>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</si>
  <si>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</si>
  <si>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</si>
  <si>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</si>
  <si>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</si>
  <si>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</si>
  <si>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</si>
  <si>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</si>
  <si>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</si>
  <si>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</si>
  <si>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</si>
  <si>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</si>
  <si>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</si>
  <si>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</si>
  <si>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</si>
  <si>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</si>
  <si>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</si>
  <si>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</si>
  <si>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</si>
  <si>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</si>
  <si>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</si>
  <si>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</si>
  <si>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</si>
  <si>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</si>
  <si>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</si>
  <si>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</si>
  <si>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</si>
  <si>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</si>
  <si>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</si>
  <si>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</si>
  <si>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</si>
  <si>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</si>
  <si>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</si>
  <si>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</si>
  <si>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</si>
  <si>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</si>
  <si>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</si>
  <si>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</si>
  <si>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</si>
  <si>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</si>
  <si>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</si>
  <si>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</si>
  <si>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</si>
  <si>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</si>
  <si>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</si>
  <si>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</si>
  <si>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</si>
  <si>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</si>
  <si>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</si>
  <si>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</si>
  <si>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</si>
  <si>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</si>
  <si>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</si>
  <si>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</si>
  <si>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</si>
  <si>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</si>
  <si>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</si>
  <si>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</si>
  <si>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</si>
  <si>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</si>
  <si>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</si>
  <si>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</si>
  <si>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</si>
  <si>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</si>
  <si>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</si>
  <si>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</si>
  <si>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</si>
  <si>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</si>
  <si>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</si>
  <si>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</si>
  <si>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</si>
  <si>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</si>
  <si>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</si>
  <si>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</si>
  <si>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</si>
  <si>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</si>
  <si>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</si>
  <si>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</si>
  <si>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</si>
  <si>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</si>
  <si>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</si>
  <si>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</si>
  <si>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</si>
  <si>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</si>
  <si>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</si>
  <si>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</si>
  <si>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</si>
  <si>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</si>
  <si>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</si>
  <si>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</si>
  <si>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</si>
  <si>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</si>
  <si>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</si>
  <si>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</si>
  <si>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</si>
  <si>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</si>
  <si>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</si>
  <si>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</si>
  <si>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</si>
  <si>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</si>
  <si>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</si>
  <si>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</si>
  <si>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</si>
  <si>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</si>
  <si>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</si>
  <si>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</si>
  <si>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</si>
  <si>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</si>
  <si>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</si>
  <si>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</si>
  <si>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</si>
  <si>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</si>
  <si>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</si>
  <si>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</si>
  <si>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</si>
  <si>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</si>
  <si>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</si>
  <si>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</si>
  <si>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</si>
  <si>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</si>
  <si>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</si>
  <si>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</si>
  <si>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</si>
  <si>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</si>
  <si>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</si>
  <si>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</si>
  <si>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</si>
  <si>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</si>
  <si>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</si>
  <si>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</si>
  <si>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</si>
  <si>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</si>
  <si>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</si>
  <si>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</si>
  <si>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</si>
  <si>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</si>
  <si>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</si>
  <si>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</si>
  <si>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</si>
  <si>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</si>
  <si>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</si>
  <si>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</si>
  <si>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</si>
  <si>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</si>
  <si>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</si>
  <si>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</si>
  <si>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</si>
  <si>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</si>
  <si>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</si>
  <si>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</si>
  <si>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</si>
  <si>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</si>
  <si>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</si>
  <si>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</si>
  <si>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</si>
  <si>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</si>
  <si>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</si>
  <si>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</si>
  <si>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</si>
  <si>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</si>
  <si>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</si>
  <si>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</si>
  <si>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</si>
  <si>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</si>
  <si>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</si>
  <si>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</si>
  <si>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</si>
  <si>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</si>
  <si>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</si>
  <si>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</si>
  <si>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</si>
  <si>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</si>
  <si>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</si>
  <si>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</si>
  <si>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</si>
  <si>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</si>
  <si>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</si>
  <si>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</si>
  <si>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</si>
  <si>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</si>
  <si>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</si>
  <si>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</si>
  <si>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</si>
  <si>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</si>
  <si>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</si>
  <si>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</si>
  <si>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</si>
  <si>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</si>
  <si>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</si>
  <si>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</si>
  <si>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</si>
  <si>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</si>
  <si>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</si>
  <si>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</si>
  <si>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</si>
  <si>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</si>
  <si>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</si>
  <si>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</si>
  <si>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</si>
  <si>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</si>
  <si>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</si>
  <si>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</si>
  <si>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</si>
  <si>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</si>
  <si>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</si>
  <si>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</si>
  <si>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</si>
  <si>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</si>
  <si>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</si>
  <si>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</si>
  <si>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</si>
  <si>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</si>
  <si>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</si>
  <si>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</si>
  <si>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</si>
  <si>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</si>
  <si>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</si>
  <si>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</si>
  <si>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</si>
  <si>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</si>
  <si>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</si>
  <si>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</si>
  <si>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</si>
  <si>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</si>
  <si>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</si>
  <si>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</si>
  <si>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</si>
  <si>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</si>
  <si>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</si>
  <si>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</si>
  <si>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</si>
  <si>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</si>
  <si>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</si>
  <si>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</si>
  <si>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</si>
  <si>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</si>
  <si>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</si>
  <si>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</si>
  <si>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</si>
  <si>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</si>
  <si>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</si>
  <si>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</si>
  <si>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</si>
  <si>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</si>
  <si>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</si>
  <si>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</si>
  <si>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</si>
  <si>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</si>
  <si>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</si>
  <si>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</si>
  <si>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</si>
  <si>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</si>
  <si>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</si>
  <si>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</si>
  <si>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</si>
  <si>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</si>
  <si>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</si>
  <si>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</si>
  <si>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</si>
  <si>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</si>
  <si>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</si>
  <si>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</si>
  <si>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</si>
  <si>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</si>
  <si>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</si>
  <si>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</si>
  <si>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</si>
  <si>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</si>
  <si>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</si>
  <si>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</si>
  <si>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</si>
  <si>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</si>
  <si>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</si>
  <si>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</si>
  <si>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</si>
  <si>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</si>
  <si>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</si>
  <si>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</si>
  <si>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</si>
  <si>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</si>
  <si>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</si>
  <si>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</si>
  <si>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</si>
  <si>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</si>
  <si>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</si>
  <si>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</si>
  <si>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</si>
  <si>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</si>
  <si>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</si>
  <si>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</si>
  <si>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</si>
  <si>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</si>
  <si>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</si>
  <si>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</si>
  <si>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</si>
  <si>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</si>
  <si>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</si>
  <si>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</si>
  <si>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</si>
  <si>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</si>
  <si>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</si>
  <si>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</si>
  <si>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</si>
  <si>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</si>
  <si>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</si>
  <si>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</si>
  <si>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</si>
  <si>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</si>
  <si>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</si>
  <si>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</si>
  <si>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</si>
  <si>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</si>
  <si>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</si>
  <si>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</si>
  <si>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</si>
  <si>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</si>
  <si>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</si>
  <si>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01/15</t>
  </si>
  <si>
    <t>07/2025</t>
  </si>
  <si>
    <t>08/2017</t>
  </si>
  <si>
    <t>08/2037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</si>
</sst>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1470</v>
      </c>
      <c r="B2">
        <f>INDEX('School Tables'!$AH$3:$AH$209,MATCH('DOE25'!A2,'School Tables'!$AJ$3:$AJ$209,0))</f>
        <v>575</v>
      </c>
      <c r="C2">
        <f>INDEX('School Tables'!$AI$3:$AI$209,MATCH('DOE25'!A2,'School Tables'!$AJ$3:$AJ$209,0))</f>
        <v>575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1984511.33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1407911.27</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843238-0.13</f>
        <v>843237.87</v>
      </c>
      <c r="G12" s="18">
        <v>598023.32999999996</v>
      </c>
      <c r="H12" s="18">
        <v>391795.83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157065.5</v>
      </c>
      <c r="G13" s="18">
        <v>37454.18</v>
      </c>
      <c r="H13" s="18">
        <v>137829.07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12807.77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16422.25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19313.02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3016935.49</v>
      </c>
      <c r="G19" s="38">
        <f>SUM(G9:G18)</f>
        <v>651899.76</v>
      </c>
      <c r="H19" s="38">
        <f>SUM(H9:H18)</f>
        <v>529624.9</v>
      </c>
      <c r="I19" s="38">
        <f>SUM(I9:I18)</f>
        <v>0</v>
      </c>
      <c r="J19" s="38">
        <f>SUM(J9:J18)</f>
        <v>1407911.27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137829.07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615737.75</v>
      </c>
      <c r="G24" s="18">
        <v>1366</v>
      </c>
      <c r="H24" s="18">
        <v>2564.69</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34465.15</v>
      </c>
      <c r="G30" s="18">
        <v>60494.33</v>
      </c>
      <c r="H30" s="18">
        <v>85875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3563.61</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653766.51</v>
      </c>
      <c r="G32" s="38">
        <f>SUM(G22:G31)</f>
        <v>61860.33</v>
      </c>
      <c r="H32" s="38">
        <f>SUM(H22:H31)</f>
        <v>226268.76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16422.25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19313.02</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573617.18000000005</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675000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850142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303356.14</v>
      </c>
      <c r="I48" s="18"/>
      <c r="J48" s="13">
        <f>SUM(I460)</f>
        <v>1407911.27</v>
      </c>
      <c r="K48" s="23" t="s">
        <v>288</v>
      </c>
      <c r="L48" s="23" t="s">
        <v>288</v>
      </c>
      <c r="M48" s="8"/>
      <c r="N48" s="165"/>
    </row>
    <row r="49" spans="1:14" s="3" customFormat="1" ht="12.2" customHeight="1" x14ac:dyDescent="0.15">
      <c r="A49" s="1" t="s">
        <v>858</v>
      </c>
      <c r="B49" s="2" t="s">
        <v>289</v>
      </c>
      <c r="C49" s="6">
        <v>34</v>
      </c>
      <c r="D49" s="2"/>
      <c r="E49" s="6">
        <v>753</v>
      </c>
      <c r="F49" s="18">
        <f>818713.96</f>
        <v>818713.96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2363168.98</v>
      </c>
      <c r="G51" s="38">
        <f>SUM(G35:G50)</f>
        <v>590039.43000000005</v>
      </c>
      <c r="H51" s="38">
        <f>SUM(H35:H50)</f>
        <v>303356.14</v>
      </c>
      <c r="I51" s="38">
        <f>SUM(I35:I50)</f>
        <v>0</v>
      </c>
      <c r="J51" s="38">
        <f>SUM(J35:J50)</f>
        <v>1407911.27</v>
      </c>
      <c r="K51" s="42" t="s">
        <v>288</v>
      </c>
      <c r="L51" s="42" t="s">
        <v>288</v>
      </c>
      <c r="N51" s="131"/>
    </row>
    <row r="52" spans="1:14" s="3" customFormat="1" ht="12.2" customHeight="1" thickTop="1" x14ac:dyDescent="0.15">
      <c r="A52" s="35" t="s">
        <v>455</v>
      </c>
      <c r="B52" s="36" t="s">
        <v>289</v>
      </c>
      <c r="C52" s="6">
        <v>37</v>
      </c>
      <c r="D52" s="36" t="s">
        <v>653</v>
      </c>
      <c r="E52" s="36"/>
      <c r="F52" s="38">
        <f>F51+F32</f>
        <v>3016935.49</v>
      </c>
      <c r="G52" s="38">
        <f>G51+G32</f>
        <v>651899.76</v>
      </c>
      <c r="H52" s="38">
        <f>H51+H32</f>
        <v>529624.9</v>
      </c>
      <c r="I52" s="38">
        <f>I51+I32</f>
        <v>0</v>
      </c>
      <c r="J52" s="38">
        <f>J51+J32</f>
        <v>1407911.27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44631565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44631565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107970</v>
      </c>
      <c r="G63" s="23" t="s">
        <v>288</v>
      </c>
      <c r="H63" s="18">
        <v>123550.74</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107970</v>
      </c>
      <c r="G79" s="42" t="s">
        <v>288</v>
      </c>
      <c r="H79" s="38">
        <f>SUM(H63:H78)</f>
        <v>123550.74</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67977.66</v>
      </c>
      <c r="G96" s="18"/>
      <c r="H96" s="18"/>
      <c r="I96" s="18"/>
      <c r="J96" s="18">
        <v>25531.759999999998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764185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60149.2</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28587.13</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34291.4</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202998.75</v>
      </c>
      <c r="G110" s="18">
        <v>2181.0500000000002</v>
      </c>
      <c r="H110" s="18">
        <v>73569.55</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299563.54000000004</v>
      </c>
      <c r="G111" s="38">
        <f>SUM(G96:G110)</f>
        <v>766366.05</v>
      </c>
      <c r="H111" s="38">
        <f>SUM(H96:H110)</f>
        <v>168010.15000000002</v>
      </c>
      <c r="I111" s="38">
        <f>SUM(I96:I110)</f>
        <v>0</v>
      </c>
      <c r="J111" s="38">
        <f>SUM(J96:J110)</f>
        <v>25531.759999999998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45039098.539999999</v>
      </c>
      <c r="G112" s="38">
        <f>G60+G111</f>
        <v>766366.05</v>
      </c>
      <c r="H112" s="38">
        <f>H60+H79+H94+H111</f>
        <v>291560.89</v>
      </c>
      <c r="I112" s="38">
        <f>I60+I111</f>
        <v>0</v>
      </c>
      <c r="J112" s="38">
        <f>J60+J111</f>
        <v>25531.759999999998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8598967.1199999992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3963511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331725.64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12894203.76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602994.56999999995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340162.08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21082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12865.73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964238.64999999991</v>
      </c>
      <c r="G136" s="38">
        <f>SUM(G123:G135)</f>
        <v>12865.73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13858442.41</v>
      </c>
      <c r="G140" s="38">
        <f>G121+SUM(G136:G137)</f>
        <v>12865.73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v>150455</v>
      </c>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150455</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41131.54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70215.679999999993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198745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785377.41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32643.63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70002.62</v>
      </c>
      <c r="H161" s="18">
        <v>1500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68721.570000000007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32643.63</v>
      </c>
      <c r="G163" s="38">
        <f>SUM(G150:G162)</f>
        <v>268747.62</v>
      </c>
      <c r="H163" s="38">
        <f>SUM(H150:H162)</f>
        <v>966946.2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32643.63</v>
      </c>
      <c r="G170" s="38">
        <f>G147+G163+SUM(G164:G169)</f>
        <v>419202.62</v>
      </c>
      <c r="H170" s="38">
        <f>H147+H163+SUM(H164:H169)</f>
        <v>966946.2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218660.82</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218660.82</v>
      </c>
      <c r="G184" s="38">
        <f>SUM(G180:G183)</f>
        <v>0</v>
      </c>
      <c r="H184" s="38">
        <f>SUM(H180:H183)</f>
        <v>0</v>
      </c>
      <c r="I184" s="38">
        <f>SUM(I180:I183)</f>
        <v>0</v>
      </c>
      <c r="J184" s="38">
        <f>SUM(J180:J183)</f>
        <v>550000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705408.55</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705408.55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924069.37000000011</v>
      </c>
      <c r="G193" s="38">
        <f>G184+SUM(G189:G192)</f>
        <v>0</v>
      </c>
      <c r="H193" s="38">
        <f>+H184+SUM(H189:H192)</f>
        <v>0</v>
      </c>
      <c r="I193" s="38">
        <f>I178+I184+SUM(I189:I192)</f>
        <v>0</v>
      </c>
      <c r="J193" s="38">
        <f>J184</f>
        <v>550000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59854253.950000003</v>
      </c>
      <c r="G194" s="38">
        <f>G112+G140+G170+G193</f>
        <v>1198434.3999999999</v>
      </c>
      <c r="H194" s="38">
        <f>H112+H140+H170+H193</f>
        <v>1258507.0899999999</v>
      </c>
      <c r="I194" s="38">
        <f>I112+I140+I170+I193</f>
        <v>0</v>
      </c>
      <c r="J194" s="38">
        <f>J112+J140+J193</f>
        <v>575531.76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6173000.02-0.01</f>
        <v>6173000.0099999998</v>
      </c>
      <c r="G198" s="18">
        <v>3366497.41</v>
      </c>
      <c r="H198" s="18">
        <v>3545.05</v>
      </c>
      <c r="I198" s="18">
        <v>311640.01</v>
      </c>
      <c r="J198" s="18">
        <v>42618.96</v>
      </c>
      <c r="K198" s="18">
        <v>2721.5</v>
      </c>
      <c r="L198" s="13">
        <f>SUM(F198:K198)</f>
        <v>9900022.9400000013</v>
      </c>
      <c r="M198" s="8"/>
      <c r="N198" s="165"/>
    </row>
    <row r="199" spans="1:14" s="3" customFormat="1" ht="12.2" customHeight="1" x14ac:dyDescent="0.15">
      <c r="A199" s="1" t="s">
        <v>439</v>
      </c>
      <c r="B199" s="2" t="s">
        <v>341</v>
      </c>
      <c r="C199" s="2" t="s">
        <v>291</v>
      </c>
      <c r="D199" s="2" t="s">
        <v>431</v>
      </c>
      <c r="E199" s="6">
        <v>1200</v>
      </c>
      <c r="F199" s="18">
        <v>2356899.42</v>
      </c>
      <c r="G199" s="18">
        <v>1285354.8999999999</v>
      </c>
      <c r="H199" s="18">
        <f>1609840.44-0.03</f>
        <v>1609840.41</v>
      </c>
      <c r="I199" s="18">
        <f>20800.27+1092.13</f>
        <v>21892.400000000001</v>
      </c>
      <c r="J199" s="18">
        <v>11664.56</v>
      </c>
      <c r="K199" s="18">
        <v>1133.47</v>
      </c>
      <c r="L199" s="13">
        <f>SUM(F199:K199)</f>
        <v>5286785.1599999992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74375</v>
      </c>
      <c r="G201" s="18">
        <v>40561.03</v>
      </c>
      <c r="H201" s="18"/>
      <c r="I201" s="18">
        <v>2250.0500000000002</v>
      </c>
      <c r="J201" s="18"/>
      <c r="K201" s="18"/>
      <c r="L201" s="13">
        <f>SUM(F201:K201)</f>
        <v>117186.08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1436924.64</v>
      </c>
      <c r="G203" s="18">
        <v>783638.92</v>
      </c>
      <c r="H203" s="18">
        <f>112879.01</f>
        <v>112879.01</v>
      </c>
      <c r="I203" s="18">
        <v>26323.5</v>
      </c>
      <c r="J203" s="18">
        <f>2085.85+14932.09</f>
        <v>17017.939999999999</v>
      </c>
      <c r="K203" s="18">
        <v>4375.0200000000004</v>
      </c>
      <c r="L203" s="13">
        <f t="shared" ref="L203:L209" si="0">SUM(F203:K203)</f>
        <v>2381159.0299999998</v>
      </c>
      <c r="M203" s="8"/>
      <c r="N203" s="165"/>
    </row>
    <row r="204" spans="1:14" s="3" customFormat="1" ht="12.2" customHeight="1" x14ac:dyDescent="0.15">
      <c r="A204" s="1" t="s">
        <v>443</v>
      </c>
      <c r="B204" s="2" t="s">
        <v>341</v>
      </c>
      <c r="C204" s="2" t="s">
        <v>295</v>
      </c>
      <c r="D204" s="2" t="s">
        <v>431</v>
      </c>
      <c r="E204" s="6">
        <v>2200</v>
      </c>
      <c r="F204" s="18">
        <v>465039.16</v>
      </c>
      <c r="G204" s="18">
        <v>253613.01</v>
      </c>
      <c r="H204" s="18">
        <v>97531.73</v>
      </c>
      <c r="I204" s="18">
        <v>276619.46999999997</v>
      </c>
      <c r="J204" s="18">
        <v>78435.8</v>
      </c>
      <c r="K204" s="18"/>
      <c r="L204" s="13">
        <f t="shared" si="0"/>
        <v>1171239.17</v>
      </c>
      <c r="M204" s="8"/>
      <c r="N204" s="165"/>
    </row>
    <row r="205" spans="1:14" s="3" customFormat="1" ht="12.2" customHeight="1" x14ac:dyDescent="0.15">
      <c r="A205" s="1" t="s">
        <v>444</v>
      </c>
      <c r="B205" s="2" t="s">
        <v>341</v>
      </c>
      <c r="C205" s="2" t="s">
        <v>296</v>
      </c>
      <c r="D205" s="2" t="s">
        <v>431</v>
      </c>
      <c r="E205" s="6">
        <v>2300</v>
      </c>
      <c r="F205" s="18">
        <v>738675.05</v>
      </c>
      <c r="G205" s="18">
        <v>402842.64</v>
      </c>
      <c r="H205" s="18">
        <v>77440.11</v>
      </c>
      <c r="I205" s="18">
        <v>11701.42</v>
      </c>
      <c r="J205" s="18">
        <v>2121.71</v>
      </c>
      <c r="K205" s="18">
        <f>10678.02+16651.71</f>
        <v>27329.73</v>
      </c>
      <c r="L205" s="13">
        <f t="shared" si="0"/>
        <v>1260110.6599999999</v>
      </c>
      <c r="M205" s="8"/>
      <c r="N205" s="165"/>
    </row>
    <row r="206" spans="1:14" s="3" customFormat="1" ht="12.2" customHeight="1" x14ac:dyDescent="0.15">
      <c r="A206" s="1" t="s">
        <v>445</v>
      </c>
      <c r="B206" s="2" t="s">
        <v>341</v>
      </c>
      <c r="C206" s="2" t="s">
        <v>297</v>
      </c>
      <c r="D206" s="2" t="s">
        <v>431</v>
      </c>
      <c r="E206" s="6">
        <v>2400</v>
      </c>
      <c r="F206" s="18">
        <v>698690.13</v>
      </c>
      <c r="G206" s="18">
        <v>381036.53</v>
      </c>
      <c r="H206" s="18">
        <v>87054.9</v>
      </c>
      <c r="I206" s="18">
        <v>8311.9500000000007</v>
      </c>
      <c r="J206" s="18">
        <v>3396.15</v>
      </c>
      <c r="K206" s="18">
        <v>6479.9</v>
      </c>
      <c r="L206" s="13">
        <f t="shared" si="0"/>
        <v>1184969.5599999998</v>
      </c>
      <c r="M206" s="8"/>
      <c r="N206" s="165"/>
    </row>
    <row r="207" spans="1:14" s="3" customFormat="1" ht="12.2" customHeight="1" x14ac:dyDescent="0.15">
      <c r="A207" s="1" t="s">
        <v>446</v>
      </c>
      <c r="B207" s="2" t="s">
        <v>341</v>
      </c>
      <c r="C207" s="2" t="s">
        <v>298</v>
      </c>
      <c r="D207" s="2" t="s">
        <v>431</v>
      </c>
      <c r="E207" s="6">
        <v>2500</v>
      </c>
      <c r="F207" s="18">
        <v>261647.58</v>
      </c>
      <c r="G207" s="18">
        <v>142691.71</v>
      </c>
      <c r="H207" s="18">
        <v>4692.1000000000004</v>
      </c>
      <c r="I207" s="18">
        <v>2848.21</v>
      </c>
      <c r="J207" s="18"/>
      <c r="K207" s="18">
        <f>327.9+7268.94</f>
        <v>7596.8399999999992</v>
      </c>
      <c r="L207" s="13">
        <f t="shared" si="0"/>
        <v>419476.44</v>
      </c>
      <c r="M207" s="8"/>
      <c r="N207" s="165"/>
    </row>
    <row r="208" spans="1:14" s="3" customFormat="1" ht="12.2" customHeight="1" x14ac:dyDescent="0.15">
      <c r="A208" s="1" t="s">
        <v>447</v>
      </c>
      <c r="B208" s="2" t="s">
        <v>341</v>
      </c>
      <c r="C208" s="2" t="s">
        <v>299</v>
      </c>
      <c r="D208" s="2" t="s">
        <v>431</v>
      </c>
      <c r="E208" s="6">
        <v>2600</v>
      </c>
      <c r="F208" s="18">
        <v>680322.91</v>
      </c>
      <c r="G208" s="18">
        <v>371019.81</v>
      </c>
      <c r="H208" s="18">
        <v>613234.65</v>
      </c>
      <c r="I208" s="18">
        <v>568726.17000000004</v>
      </c>
      <c r="J208" s="18">
        <v>32189.33</v>
      </c>
      <c r="K208" s="18"/>
      <c r="L208" s="13">
        <f t="shared" si="0"/>
        <v>2265492.87</v>
      </c>
      <c r="M208" s="8"/>
      <c r="N208" s="165"/>
    </row>
    <row r="209" spans="1:14" s="3" customFormat="1" ht="12.2" customHeight="1" x14ac:dyDescent="0.15">
      <c r="A209" s="1" t="s">
        <v>448</v>
      </c>
      <c r="B209" s="2" t="s">
        <v>341</v>
      </c>
      <c r="C209" s="2" t="s">
        <v>300</v>
      </c>
      <c r="D209" s="2" t="s">
        <v>431</v>
      </c>
      <c r="E209" s="6">
        <v>2700</v>
      </c>
      <c r="F209" s="18"/>
      <c r="G209" s="18"/>
      <c r="H209" s="18">
        <v>1529320.24</v>
      </c>
      <c r="I209" s="18"/>
      <c r="J209" s="18"/>
      <c r="K209" s="18"/>
      <c r="L209" s="13">
        <f t="shared" si="0"/>
        <v>1529320.24</v>
      </c>
      <c r="M209" s="8"/>
      <c r="N209" s="165"/>
    </row>
    <row r="210" spans="1:14" s="3" customFormat="1" ht="12.2" customHeight="1" x14ac:dyDescent="0.15">
      <c r="A210" s="1" t="s">
        <v>449</v>
      </c>
      <c r="B210" s="2" t="s">
        <v>341</v>
      </c>
      <c r="C210" s="2" t="s">
        <v>343</v>
      </c>
      <c r="D210" s="2" t="s">
        <v>431</v>
      </c>
      <c r="E210" s="6">
        <v>2800</v>
      </c>
      <c r="F210" s="18">
        <v>73692.5</v>
      </c>
      <c r="G210" s="18">
        <v>40126.71</v>
      </c>
      <c r="H210" s="18">
        <f>21897.5+59116.73</f>
        <v>81014.23000000001</v>
      </c>
      <c r="I210" s="18"/>
      <c r="J210" s="18"/>
      <c r="K210" s="18"/>
      <c r="L210" s="13">
        <f>SUM(F210:K210)</f>
        <v>194833.44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12959266.400000002</v>
      </c>
      <c r="G212" s="38">
        <f t="shared" si="1"/>
        <v>7067382.6699999999</v>
      </c>
      <c r="H212" s="38">
        <f t="shared" si="1"/>
        <v>4216552.4300000006</v>
      </c>
      <c r="I212" s="38">
        <f t="shared" si="1"/>
        <v>1230313.18</v>
      </c>
      <c r="J212" s="38">
        <f t="shared" si="1"/>
        <v>187444.45</v>
      </c>
      <c r="K212" s="38">
        <f t="shared" si="1"/>
        <v>49636.46</v>
      </c>
      <c r="L212" s="38">
        <f t="shared" si="1"/>
        <v>25710595.590000004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2258189.4300000002</v>
      </c>
      <c r="G216" s="18">
        <v>1231522.57</v>
      </c>
      <c r="H216" s="18">
        <v>1475</v>
      </c>
      <c r="I216" s="18">
        <v>81442.33</v>
      </c>
      <c r="J216" s="18">
        <v>70746.8</v>
      </c>
      <c r="K216" s="18">
        <v>40257.5</v>
      </c>
      <c r="L216" s="13">
        <f>SUM(F216:K216)</f>
        <v>3683633.63</v>
      </c>
      <c r="M216" s="8"/>
      <c r="N216" s="165"/>
    </row>
    <row r="217" spans="1:14" s="3" customFormat="1" ht="12.2" customHeight="1" x14ac:dyDescent="0.15">
      <c r="A217" s="1" t="s">
        <v>439</v>
      </c>
      <c r="B217" s="2" t="s">
        <v>346</v>
      </c>
      <c r="C217" s="2" t="s">
        <v>291</v>
      </c>
      <c r="D217" s="2" t="s">
        <v>431</v>
      </c>
      <c r="E217" s="6">
        <v>1200</v>
      </c>
      <c r="F217" s="18">
        <f>20996.92+489901.94</f>
        <v>510898.86</v>
      </c>
      <c r="G217" s="18">
        <v>278622.98</v>
      </c>
      <c r="H217" s="18">
        <v>482952.13</v>
      </c>
      <c r="I217" s="18">
        <f>4084.72+327.64</f>
        <v>4412.3599999999997</v>
      </c>
      <c r="J217" s="18">
        <v>3674.63</v>
      </c>
      <c r="K217" s="18">
        <v>340.04</v>
      </c>
      <c r="L217" s="13">
        <f>SUM(F217:K217)</f>
        <v>1280901</v>
      </c>
      <c r="M217" s="8"/>
      <c r="N217" s="165"/>
    </row>
    <row r="218" spans="1:14" s="3" customFormat="1" ht="12.2" customHeight="1" x14ac:dyDescent="0.15">
      <c r="A218" s="1" t="s">
        <v>440</v>
      </c>
      <c r="B218" s="2" t="s">
        <v>346</v>
      </c>
      <c r="C218" s="2" t="s">
        <v>292</v>
      </c>
      <c r="D218" s="2" t="s">
        <v>431</v>
      </c>
      <c r="E218" s="6">
        <v>1300</v>
      </c>
      <c r="F218" s="18"/>
      <c r="G218" s="18"/>
      <c r="H218" s="18"/>
      <c r="I218" s="18">
        <v>14262.91</v>
      </c>
      <c r="J218" s="18">
        <v>294.97000000000003</v>
      </c>
      <c r="K218" s="18"/>
      <c r="L218" s="13">
        <f>SUM(F218:K218)</f>
        <v>14557.88</v>
      </c>
      <c r="M218" s="8"/>
      <c r="N218" s="165"/>
    </row>
    <row r="219" spans="1:14" s="3" customFormat="1" ht="12.2" customHeight="1" x14ac:dyDescent="0.15">
      <c r="A219" s="1" t="s">
        <v>441</v>
      </c>
      <c r="B219" s="2" t="s">
        <v>346</v>
      </c>
      <c r="C219" s="2" t="s">
        <v>293</v>
      </c>
      <c r="D219" s="2" t="s">
        <v>431</v>
      </c>
      <c r="E219" s="6">
        <v>1400</v>
      </c>
      <c r="F219" s="18">
        <v>116795.08</v>
      </c>
      <c r="G219" s="18">
        <v>63695.18</v>
      </c>
      <c r="H219" s="18">
        <v>9817</v>
      </c>
      <c r="I219" s="18">
        <v>10721.44</v>
      </c>
      <c r="J219" s="18"/>
      <c r="K219" s="18">
        <v>2356.5</v>
      </c>
      <c r="L219" s="13">
        <f>SUM(F219:K219)</f>
        <v>203385.2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477404.25</v>
      </c>
      <c r="G221" s="18">
        <v>260356.42</v>
      </c>
      <c r="H221" s="18">
        <f>33863.7</f>
        <v>33863.699999999997</v>
      </c>
      <c r="I221" s="18">
        <v>6069.66</v>
      </c>
      <c r="J221" s="18">
        <f>625.75+1237.84</f>
        <v>1863.59</v>
      </c>
      <c r="K221" s="18">
        <v>1645.95</v>
      </c>
      <c r="L221" s="13">
        <f t="shared" ref="L221:L227" si="2">SUM(F221:K221)</f>
        <v>781203.57</v>
      </c>
      <c r="M221" s="8"/>
      <c r="N221" s="165"/>
    </row>
    <row r="222" spans="1:14" s="3" customFormat="1" ht="12.2" customHeight="1" x14ac:dyDescent="0.15">
      <c r="A222" s="1" t="s">
        <v>443</v>
      </c>
      <c r="B222" s="2" t="s">
        <v>346</v>
      </c>
      <c r="C222" s="2" t="s">
        <v>295</v>
      </c>
      <c r="D222" s="2" t="s">
        <v>431</v>
      </c>
      <c r="E222" s="6">
        <v>2200</v>
      </c>
      <c r="F222" s="18">
        <v>144583.20000000001</v>
      </c>
      <c r="G222" s="18">
        <v>78849.66</v>
      </c>
      <c r="H222" s="18">
        <v>29184.52</v>
      </c>
      <c r="I222" s="18">
        <v>78175.87</v>
      </c>
      <c r="J222" s="18">
        <v>22051.34</v>
      </c>
      <c r="K222" s="18"/>
      <c r="L222" s="13">
        <f t="shared" si="2"/>
        <v>352844.59</v>
      </c>
      <c r="M222" s="8"/>
      <c r="N222" s="165"/>
    </row>
    <row r="223" spans="1:14" s="3" customFormat="1" ht="12.2" customHeight="1" x14ac:dyDescent="0.15">
      <c r="A223" s="1" t="s">
        <v>444</v>
      </c>
      <c r="B223" s="2" t="s">
        <v>346</v>
      </c>
      <c r="C223" s="2" t="s">
        <v>296</v>
      </c>
      <c r="D223" s="2" t="s">
        <v>431</v>
      </c>
      <c r="E223" s="6">
        <v>2300</v>
      </c>
      <c r="F223" s="18">
        <v>279732.94</v>
      </c>
      <c r="G223" s="18">
        <v>152554.71</v>
      </c>
      <c r="H223" s="18">
        <v>23232.03</v>
      </c>
      <c r="I223" s="18">
        <v>3510.42</v>
      </c>
      <c r="J223" s="18">
        <v>636.51</v>
      </c>
      <c r="K223" s="18">
        <f>3203.41+4995.51</f>
        <v>8198.92</v>
      </c>
      <c r="L223" s="13">
        <f t="shared" si="2"/>
        <v>467865.53</v>
      </c>
      <c r="M223" s="8"/>
      <c r="N223" s="165"/>
    </row>
    <row r="224" spans="1:14" s="3" customFormat="1" ht="12.2" customHeight="1" x14ac:dyDescent="0.15">
      <c r="A224" s="1" t="s">
        <v>445</v>
      </c>
      <c r="B224" s="2" t="s">
        <v>346</v>
      </c>
      <c r="C224" s="2" t="s">
        <v>297</v>
      </c>
      <c r="D224" s="2" t="s">
        <v>431</v>
      </c>
      <c r="E224" s="6">
        <v>2400</v>
      </c>
      <c r="F224" s="18">
        <v>297617.82</v>
      </c>
      <c r="G224" s="18">
        <v>162308.38</v>
      </c>
      <c r="H224" s="18">
        <v>33640.980000000003</v>
      </c>
      <c r="I224" s="18">
        <v>2143.2199999999998</v>
      </c>
      <c r="J224" s="18"/>
      <c r="K224" s="18">
        <f>5191.78+9499.34</f>
        <v>14691.119999999999</v>
      </c>
      <c r="L224" s="13">
        <f t="shared" si="2"/>
        <v>510401.51999999996</v>
      </c>
      <c r="M224" s="8"/>
      <c r="N224" s="165"/>
    </row>
    <row r="225" spans="1:14" s="3" customFormat="1" ht="12.2" customHeight="1" x14ac:dyDescent="0.15">
      <c r="A225" s="1" t="s">
        <v>446</v>
      </c>
      <c r="B225" s="2" t="s">
        <v>346</v>
      </c>
      <c r="C225" s="2" t="s">
        <v>298</v>
      </c>
      <c r="D225" s="2" t="s">
        <v>431</v>
      </c>
      <c r="E225" s="6">
        <v>2500</v>
      </c>
      <c r="F225" s="18">
        <v>78494.27</v>
      </c>
      <c r="G225" s="18">
        <v>42807.51</v>
      </c>
      <c r="H225" s="18">
        <v>1407.63</v>
      </c>
      <c r="I225" s="18">
        <v>854.46</v>
      </c>
      <c r="J225" s="18"/>
      <c r="K225" s="18">
        <f>98.37+2180.68</f>
        <v>2279.0499999999997</v>
      </c>
      <c r="L225" s="13">
        <f t="shared" si="2"/>
        <v>125842.92000000001</v>
      </c>
      <c r="M225" s="8"/>
      <c r="N225" s="165"/>
    </row>
    <row r="226" spans="1:14" s="3" customFormat="1" ht="12.2" customHeight="1" x14ac:dyDescent="0.15">
      <c r="A226" s="1" t="s">
        <v>447</v>
      </c>
      <c r="B226" s="2" t="s">
        <v>346</v>
      </c>
      <c r="C226" s="2" t="s">
        <v>299</v>
      </c>
      <c r="D226" s="2" t="s">
        <v>431</v>
      </c>
      <c r="E226" s="6">
        <v>2600</v>
      </c>
      <c r="F226" s="18">
        <v>220274.51</v>
      </c>
      <c r="G226" s="18">
        <v>120128.55</v>
      </c>
      <c r="H226" s="18">
        <v>285484.05</v>
      </c>
      <c r="I226" s="18">
        <v>195277.96</v>
      </c>
      <c r="J226" s="18">
        <v>8824.4500000000007</v>
      </c>
      <c r="K226" s="18"/>
      <c r="L226" s="13">
        <f t="shared" si="2"/>
        <v>829989.5199999999</v>
      </c>
      <c r="M226" s="8"/>
      <c r="N226" s="165"/>
    </row>
    <row r="227" spans="1:14" s="3" customFormat="1" ht="12.2" customHeight="1" x14ac:dyDescent="0.15">
      <c r="A227" s="1" t="s">
        <v>448</v>
      </c>
      <c r="B227" s="2" t="s">
        <v>346</v>
      </c>
      <c r="C227" s="2" t="s">
        <v>300</v>
      </c>
      <c r="D227" s="2" t="s">
        <v>431</v>
      </c>
      <c r="E227" s="6">
        <v>2700</v>
      </c>
      <c r="F227" s="18"/>
      <c r="G227" s="18"/>
      <c r="H227" s="18">
        <v>473946.21</v>
      </c>
      <c r="I227" s="18"/>
      <c r="J227" s="18"/>
      <c r="K227" s="18"/>
      <c r="L227" s="13">
        <f t="shared" si="2"/>
        <v>473946.21</v>
      </c>
      <c r="M227" s="8"/>
      <c r="N227" s="165"/>
    </row>
    <row r="228" spans="1:14" s="3" customFormat="1" ht="12.2" customHeight="1" x14ac:dyDescent="0.15">
      <c r="A228" s="1" t="s">
        <v>449</v>
      </c>
      <c r="B228" s="2" t="s">
        <v>346</v>
      </c>
      <c r="C228" s="2" t="s">
        <v>343</v>
      </c>
      <c r="D228" s="2" t="s">
        <v>431</v>
      </c>
      <c r="E228" s="6">
        <v>2800</v>
      </c>
      <c r="F228" s="18">
        <v>26405</v>
      </c>
      <c r="G228" s="18">
        <v>14340.19</v>
      </c>
      <c r="H228" s="18">
        <f>10026.75+17735.02</f>
        <v>27761.77</v>
      </c>
      <c r="I228" s="18"/>
      <c r="J228" s="18"/>
      <c r="K228" s="18"/>
      <c r="L228" s="13">
        <f>SUM(F228:K228)</f>
        <v>68506.960000000006</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4410395.3600000003</v>
      </c>
      <c r="G230" s="38">
        <f>SUM(G216:G229)</f>
        <v>2405186.1499999994</v>
      </c>
      <c r="H230" s="38">
        <f>SUM(H216:H229)</f>
        <v>1402765.02</v>
      </c>
      <c r="I230" s="38">
        <f>SUM(I216:I229)</f>
        <v>396870.63</v>
      </c>
      <c r="J230" s="38">
        <f>SUM(J216:J229)</f>
        <v>108092.29</v>
      </c>
      <c r="K230" s="38">
        <f t="shared" si="3"/>
        <v>69769.08</v>
      </c>
      <c r="L230" s="38">
        <f t="shared" si="3"/>
        <v>8793078.5300000012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4550280.38</v>
      </c>
      <c r="G234" s="18">
        <v>2481533.63</v>
      </c>
      <c r="H234" s="18">
        <v>4935.82</v>
      </c>
      <c r="I234" s="18">
        <v>166224.99</v>
      </c>
      <c r="J234" s="18">
        <v>74459.960000000006</v>
      </c>
      <c r="K234" s="18">
        <v>7829.3</v>
      </c>
      <c r="L234" s="13">
        <f>SUM(F234:K234)</f>
        <v>7285264.0800000001</v>
      </c>
      <c r="M234" s="8"/>
      <c r="N234" s="165"/>
    </row>
    <row r="235" spans="1:14" s="3" customFormat="1" ht="12.2" customHeight="1" x14ac:dyDescent="0.15">
      <c r="A235" s="1" t="s">
        <v>439</v>
      </c>
      <c r="B235" s="2" t="s">
        <v>350</v>
      </c>
      <c r="C235" s="2" t="s">
        <v>291</v>
      </c>
      <c r="D235" s="2" t="s">
        <v>431</v>
      </c>
      <c r="E235" s="6">
        <v>1200</v>
      </c>
      <c r="F235" s="18">
        <f>48992.81+1258519.44</f>
        <v>1307512.25</v>
      </c>
      <c r="G235" s="18">
        <v>713062.79</v>
      </c>
      <c r="H235" s="18">
        <f>1131963.32</f>
        <v>1131963.32</v>
      </c>
      <c r="I235" s="18">
        <f>11353.67+764.49</f>
        <v>12118.16</v>
      </c>
      <c r="J235" s="18">
        <v>7350.57</v>
      </c>
      <c r="K235" s="18">
        <v>793.43</v>
      </c>
      <c r="L235" s="13">
        <f>SUM(F235:K235)</f>
        <v>3172800.5200000005</v>
      </c>
      <c r="M235" s="8"/>
      <c r="N235" s="165"/>
    </row>
    <row r="236" spans="1:14" s="3" customFormat="1" ht="12.2" customHeight="1" x14ac:dyDescent="0.15">
      <c r="A236" s="1" t="s">
        <v>440</v>
      </c>
      <c r="B236" s="2" t="s">
        <v>350</v>
      </c>
      <c r="C236" s="2" t="s">
        <v>292</v>
      </c>
      <c r="D236" s="2" t="s">
        <v>431</v>
      </c>
      <c r="E236" s="6">
        <v>1300</v>
      </c>
      <c r="F236" s="18"/>
      <c r="G236" s="18"/>
      <c r="H236" s="18">
        <v>250997.38</v>
      </c>
      <c r="I236" s="18"/>
      <c r="J236" s="18"/>
      <c r="K236" s="18"/>
      <c r="L236" s="13">
        <f>SUM(F236:K236)</f>
        <v>250997.38</v>
      </c>
      <c r="M236" s="8"/>
      <c r="N236" s="165"/>
    </row>
    <row r="237" spans="1:14" s="3" customFormat="1" ht="12.2" customHeight="1" x14ac:dyDescent="0.15">
      <c r="A237" s="1" t="s">
        <v>441</v>
      </c>
      <c r="B237" s="2" t="s">
        <v>350</v>
      </c>
      <c r="C237" s="2" t="s">
        <v>293</v>
      </c>
      <c r="D237" s="2" t="s">
        <v>431</v>
      </c>
      <c r="E237" s="6">
        <v>1400</v>
      </c>
      <c r="F237" s="18">
        <v>430316.75</v>
      </c>
      <c r="G237" s="18">
        <v>234676.85</v>
      </c>
      <c r="H237" s="18">
        <v>77053.75</v>
      </c>
      <c r="I237" s="18">
        <v>20967.3</v>
      </c>
      <c r="J237" s="18">
        <v>52121.09</v>
      </c>
      <c r="K237" s="18">
        <f>125973.88-0.01</f>
        <v>125973.87000000001</v>
      </c>
      <c r="L237" s="13">
        <f>SUM(F237:K237)</f>
        <v>941109.61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983984.47</v>
      </c>
      <c r="G239" s="18">
        <v>536624.19999999995</v>
      </c>
      <c r="H239" s="18">
        <f>79015.3+174.51</f>
        <v>79189.81</v>
      </c>
      <c r="I239" s="18">
        <v>17431.63</v>
      </c>
      <c r="J239" s="18">
        <f>1460.09+2342.98</f>
        <v>3803.0699999999997</v>
      </c>
      <c r="K239" s="18">
        <f>970.55+25</f>
        <v>995.55</v>
      </c>
      <c r="L239" s="13">
        <f t="shared" ref="L239:L245" si="4">SUM(F239:K239)</f>
        <v>1622028.73</v>
      </c>
      <c r="M239" s="8"/>
      <c r="N239" s="165"/>
    </row>
    <row r="240" spans="1:14" s="3" customFormat="1" ht="12.2" customHeight="1" x14ac:dyDescent="0.15">
      <c r="A240" s="1" t="s">
        <v>443</v>
      </c>
      <c r="B240" s="2" t="s">
        <v>350</v>
      </c>
      <c r="C240" s="2" t="s">
        <v>295</v>
      </c>
      <c r="D240" s="2" t="s">
        <v>431</v>
      </c>
      <c r="E240" s="6">
        <v>2200</v>
      </c>
      <c r="F240" s="18">
        <v>273351.71999999997</v>
      </c>
      <c r="G240" s="18">
        <v>149074.66</v>
      </c>
      <c r="H240" s="18">
        <v>93124.79</v>
      </c>
      <c r="I240" s="18">
        <v>169334.51</v>
      </c>
      <c r="J240" s="18">
        <f>262526.45-0.01</f>
        <v>262526.44</v>
      </c>
      <c r="K240" s="18"/>
      <c r="L240" s="13">
        <f t="shared" si="4"/>
        <v>947412.11999999988</v>
      </c>
      <c r="M240" s="8"/>
      <c r="N240" s="165"/>
    </row>
    <row r="241" spans="1:14" s="3" customFormat="1" ht="12.2" customHeight="1" x14ac:dyDescent="0.15">
      <c r="A241" s="1" t="s">
        <v>444</v>
      </c>
      <c r="B241" s="2" t="s">
        <v>350</v>
      </c>
      <c r="C241" s="2" t="s">
        <v>296</v>
      </c>
      <c r="D241" s="2" t="s">
        <v>431</v>
      </c>
      <c r="E241" s="6">
        <v>2300</v>
      </c>
      <c r="F241" s="18">
        <v>491475.79</v>
      </c>
      <c r="G241" s="18">
        <v>268030.45</v>
      </c>
      <c r="H241" s="18">
        <v>54208.07</v>
      </c>
      <c r="I241" s="18">
        <v>8190.99</v>
      </c>
      <c r="J241" s="18">
        <v>1485.2</v>
      </c>
      <c r="K241" s="18">
        <f>7474.61+11656.2</f>
        <v>19130.810000000001</v>
      </c>
      <c r="L241" s="13">
        <f t="shared" si="4"/>
        <v>842521.30999999994</v>
      </c>
      <c r="M241" s="8"/>
      <c r="N241" s="165"/>
    </row>
    <row r="242" spans="1:14" s="3" customFormat="1" ht="12.2" customHeight="1" x14ac:dyDescent="0.15">
      <c r="A242" s="1" t="s">
        <v>445</v>
      </c>
      <c r="B242" s="2" t="s">
        <v>350</v>
      </c>
      <c r="C242" s="2" t="s">
        <v>297</v>
      </c>
      <c r="D242" s="2" t="s">
        <v>431</v>
      </c>
      <c r="E242" s="6">
        <v>2400</v>
      </c>
      <c r="F242" s="18">
        <v>471359.08</v>
      </c>
      <c r="G242" s="18">
        <v>257059.63</v>
      </c>
      <c r="H242" s="18">
        <v>52914.83</v>
      </c>
      <c r="I242" s="18">
        <v>3759.31</v>
      </c>
      <c r="J242" s="18">
        <v>4214.7299999999996</v>
      </c>
      <c r="K242" s="18">
        <f>8170.8+59165.63</f>
        <v>67336.429999999993</v>
      </c>
      <c r="L242" s="13">
        <f t="shared" si="4"/>
        <v>856644.01</v>
      </c>
      <c r="M242" s="8"/>
      <c r="N242" s="165"/>
    </row>
    <row r="243" spans="1:14" s="3" customFormat="1" ht="12.2" customHeight="1" x14ac:dyDescent="0.15">
      <c r="A243" s="1" t="s">
        <v>446</v>
      </c>
      <c r="B243" s="2" t="s">
        <v>350</v>
      </c>
      <c r="C243" s="2" t="s">
        <v>298</v>
      </c>
      <c r="D243" s="2" t="s">
        <v>431</v>
      </c>
      <c r="E243" s="6">
        <v>2500</v>
      </c>
      <c r="F243" s="18">
        <v>183153.31</v>
      </c>
      <c r="G243" s="18">
        <v>99884.2</v>
      </c>
      <c r="H243" s="18">
        <v>3284.47</v>
      </c>
      <c r="I243" s="18">
        <v>1993.74</v>
      </c>
      <c r="J243" s="18"/>
      <c r="K243" s="18">
        <f>229.53+5088.25</f>
        <v>5317.78</v>
      </c>
      <c r="L243" s="13">
        <f t="shared" si="4"/>
        <v>293633.5</v>
      </c>
      <c r="M243" s="8"/>
      <c r="N243" s="165"/>
    </row>
    <row r="244" spans="1:14" s="3" customFormat="1" ht="12.2" customHeight="1" x14ac:dyDescent="0.15">
      <c r="A244" s="1" t="s">
        <v>447</v>
      </c>
      <c r="B244" s="2" t="s">
        <v>350</v>
      </c>
      <c r="C244" s="2" t="s">
        <v>299</v>
      </c>
      <c r="D244" s="2" t="s">
        <v>431</v>
      </c>
      <c r="E244" s="6">
        <v>2600</v>
      </c>
      <c r="F244" s="18">
        <v>533793.43000000005</v>
      </c>
      <c r="G244" s="18">
        <v>291108.73</v>
      </c>
      <c r="H244" s="18">
        <v>494774.03</v>
      </c>
      <c r="I244" s="18">
        <v>461181.967</v>
      </c>
      <c r="J244" s="18">
        <v>82597.240000000005</v>
      </c>
      <c r="K244" s="18"/>
      <c r="L244" s="13">
        <f t="shared" si="4"/>
        <v>1863455.3969999999</v>
      </c>
      <c r="M244" s="8"/>
      <c r="N244" s="165"/>
    </row>
    <row r="245" spans="1:14" s="3" customFormat="1" ht="12.2" customHeight="1" x14ac:dyDescent="0.15">
      <c r="A245" s="1" t="s">
        <v>448</v>
      </c>
      <c r="B245" s="2" t="s">
        <v>350</v>
      </c>
      <c r="C245" s="2" t="s">
        <v>300</v>
      </c>
      <c r="D245" s="2" t="s">
        <v>431</v>
      </c>
      <c r="E245" s="6">
        <v>2700</v>
      </c>
      <c r="F245" s="18"/>
      <c r="G245" s="18"/>
      <c r="H245" s="18">
        <v>1341091.68</v>
      </c>
      <c r="I245" s="18"/>
      <c r="J245" s="18"/>
      <c r="K245" s="18"/>
      <c r="L245" s="13">
        <f t="shared" si="4"/>
        <v>1341091.68</v>
      </c>
      <c r="M245" s="8"/>
      <c r="N245" s="165"/>
    </row>
    <row r="246" spans="1:14" s="3" customFormat="1" ht="12.2" customHeight="1" x14ac:dyDescent="0.15">
      <c r="A246" s="1" t="s">
        <v>449</v>
      </c>
      <c r="B246" s="2" t="s">
        <v>350</v>
      </c>
      <c r="C246" s="2" t="s">
        <v>343</v>
      </c>
      <c r="D246" s="2" t="s">
        <v>431</v>
      </c>
      <c r="E246" s="6">
        <v>2800</v>
      </c>
      <c r="F246" s="18">
        <v>50283.16</v>
      </c>
      <c r="G246" s="18">
        <v>27362.34</v>
      </c>
      <c r="H246" s="18">
        <f>15283.25+41381.71</f>
        <v>56664.959999999999</v>
      </c>
      <c r="I246" s="18"/>
      <c r="J246" s="18"/>
      <c r="K246" s="18"/>
      <c r="L246" s="13">
        <f>SUM(F246:K246)</f>
        <v>134310.46</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9275510.3399999999</v>
      </c>
      <c r="G248" s="38">
        <f t="shared" si="5"/>
        <v>5058417.4800000004</v>
      </c>
      <c r="H248" s="38">
        <f t="shared" si="5"/>
        <v>3640202.91</v>
      </c>
      <c r="I248" s="38">
        <f t="shared" si="5"/>
        <v>861202.59699999995</v>
      </c>
      <c r="J248" s="38">
        <f t="shared" si="5"/>
        <v>488558.3</v>
      </c>
      <c r="K248" s="38">
        <f t="shared" si="5"/>
        <v>227377.16999999998</v>
      </c>
      <c r="L248" s="38">
        <f t="shared" si="5"/>
        <v>19551268.797000002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v>574.74</v>
      </c>
      <c r="I251" s="18"/>
      <c r="J251" s="18"/>
      <c r="K251" s="18"/>
      <c r="L251" s="13">
        <f t="shared" ref="L251:L256" si="6">SUM(F251:K251)</f>
        <v>574.74</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849817.14</v>
      </c>
      <c r="I256" s="18"/>
      <c r="J256" s="18"/>
      <c r="K256" s="18"/>
      <c r="L256" s="13">
        <f t="shared" si="6"/>
        <v>849817.14</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850391.88</v>
      </c>
      <c r="I257" s="38">
        <f t="shared" si="7"/>
        <v>0</v>
      </c>
      <c r="J257" s="38">
        <f t="shared" si="7"/>
        <v>0</v>
      </c>
      <c r="K257" s="38">
        <f t="shared" si="7"/>
        <v>0</v>
      </c>
      <c r="L257" s="38">
        <f>SUM(F257:K257)</f>
        <v>850391.88</v>
      </c>
      <c r="M257" s="8"/>
      <c r="N257" s="165"/>
    </row>
    <row r="258" spans="1:14" s="3" customFormat="1" ht="12.2" customHeight="1" thickTop="1" x14ac:dyDescent="0.15">
      <c r="A258" s="35" t="s">
        <v>462</v>
      </c>
      <c r="B258" s="37">
        <v>10</v>
      </c>
      <c r="C258" s="37">
        <v>8</v>
      </c>
      <c r="D258" s="36" t="s">
        <v>431</v>
      </c>
      <c r="E258" s="37"/>
      <c r="F258" s="38">
        <f t="shared" ref="F258:L258" si="8">F212+F230+F248+F257</f>
        <v>26645172.100000001</v>
      </c>
      <c r="G258" s="38">
        <f t="shared" si="8"/>
        <v>14530986.300000001</v>
      </c>
      <c r="H258" s="38">
        <f t="shared" si="8"/>
        <v>10109912.240000002</v>
      </c>
      <c r="I258" s="38">
        <f t="shared" si="8"/>
        <v>2488386.4070000001</v>
      </c>
      <c r="J258" s="38">
        <f t="shared" si="8"/>
        <v>784095.04</v>
      </c>
      <c r="K258" s="38">
        <f t="shared" si="8"/>
        <v>346782.70999999996</v>
      </c>
      <c r="L258" s="38">
        <f t="shared" si="8"/>
        <v>54905334.797000013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3400000</v>
      </c>
      <c r="L261" s="13">
        <f>SUM(F261:K261)</f>
        <v>3400000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1348100</v>
      </c>
      <c r="L262" s="13">
        <f>SUM(F262:K262)</f>
        <v>1348100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550000</v>
      </c>
      <c r="L267" s="13">
        <f t="shared" si="9"/>
        <v>550000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5298100</v>
      </c>
      <c r="L271" s="38">
        <f t="shared" si="9"/>
        <v>5298100</v>
      </c>
      <c r="M271" s="8"/>
      <c r="N271" s="165"/>
    </row>
    <row r="272" spans="1:14" s="33" customFormat="1" ht="12.2" customHeight="1" thickTop="1" x14ac:dyDescent="0.2">
      <c r="A272" s="40" t="s">
        <v>464</v>
      </c>
      <c r="B272" s="37">
        <v>10</v>
      </c>
      <c r="C272" s="37">
        <v>18</v>
      </c>
      <c r="D272" s="36" t="s">
        <v>431</v>
      </c>
      <c r="E272" s="37"/>
      <c r="F272" s="39">
        <f t="shared" ref="F272:L272" si="11">F258+F271</f>
        <v>26645172.100000001</v>
      </c>
      <c r="G272" s="39">
        <f t="shared" si="11"/>
        <v>14530986.300000001</v>
      </c>
      <c r="H272" s="39">
        <f t="shared" si="11"/>
        <v>10109912.240000002</v>
      </c>
      <c r="I272" s="39">
        <f t="shared" si="11"/>
        <v>2488386.4070000001</v>
      </c>
      <c r="J272" s="39">
        <f t="shared" si="11"/>
        <v>784095.04</v>
      </c>
      <c r="K272" s="39">
        <f t="shared" si="11"/>
        <v>5644882.71</v>
      </c>
      <c r="L272" s="39">
        <f t="shared" si="11"/>
        <v>60203434.797000013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37100</v>
      </c>
      <c r="G277" s="18">
        <v>2838.15</v>
      </c>
      <c r="H277" s="18"/>
      <c r="I277" s="18">
        <v>35002.06</v>
      </c>
      <c r="J277" s="18"/>
      <c r="K277" s="18">
        <v>2493.5</v>
      </c>
      <c r="L277" s="13">
        <f>SUM(F277:K277)</f>
        <v>77433.709999999992</v>
      </c>
      <c r="M277" s="8"/>
      <c r="N277" s="165"/>
    </row>
    <row r="278" spans="1:14" s="3" customFormat="1" ht="12.2" customHeight="1" x14ac:dyDescent="0.15">
      <c r="A278" s="1" t="s">
        <v>439</v>
      </c>
      <c r="B278" s="2" t="s">
        <v>357</v>
      </c>
      <c r="C278" s="2" t="s">
        <v>291</v>
      </c>
      <c r="D278" s="2" t="s">
        <v>431</v>
      </c>
      <c r="E278" s="6">
        <v>1200</v>
      </c>
      <c r="F278" s="18">
        <v>243829.04</v>
      </c>
      <c r="G278" s="18">
        <v>143341.26999999999</v>
      </c>
      <c r="H278" s="18">
        <v>99698.84</v>
      </c>
      <c r="I278" s="18">
        <v>15552.54</v>
      </c>
      <c r="J278" s="18"/>
      <c r="K278" s="18">
        <v>89.84</v>
      </c>
      <c r="L278" s="13">
        <f>SUM(F278:K278)</f>
        <v>502511.53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92257.95</v>
      </c>
      <c r="G280" s="18">
        <v>19339.41</v>
      </c>
      <c r="H280" s="18"/>
      <c r="I280" s="18">
        <v>8409.41</v>
      </c>
      <c r="J280" s="18"/>
      <c r="K280" s="18"/>
      <c r="L280" s="13">
        <f>SUM(F280:K280)</f>
        <v>120006.77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654.11</v>
      </c>
      <c r="I282" s="18">
        <v>672.46</v>
      </c>
      <c r="J282" s="18"/>
      <c r="K282" s="18"/>
      <c r="L282" s="13">
        <f t="shared" ref="L282:L288" si="12">SUM(F282:K282)</f>
        <v>1326.5700000000002</v>
      </c>
      <c r="M282" s="8"/>
      <c r="N282" s="165"/>
    </row>
    <row r="283" spans="1:14" s="3" customFormat="1" ht="12.2" customHeight="1" x14ac:dyDescent="0.15">
      <c r="A283" s="1" t="s">
        <v>443</v>
      </c>
      <c r="B283" s="2" t="s">
        <v>357</v>
      </c>
      <c r="C283" s="2" t="s">
        <v>295</v>
      </c>
      <c r="D283" s="2" t="s">
        <v>431</v>
      </c>
      <c r="E283" s="6">
        <v>2200</v>
      </c>
      <c r="F283" s="18">
        <v>1760</v>
      </c>
      <c r="G283" s="18">
        <v>429.39</v>
      </c>
      <c r="H283" s="18">
        <v>17247.419999999998</v>
      </c>
      <c r="I283" s="18">
        <v>4445.58</v>
      </c>
      <c r="J283" s="18">
        <v>6870.58</v>
      </c>
      <c r="K283" s="18"/>
      <c r="L283" s="13">
        <f t="shared" si="12"/>
        <v>30752.97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v>4205.59</v>
      </c>
      <c r="J285" s="18"/>
      <c r="K285" s="18"/>
      <c r="L285" s="13">
        <f t="shared" si="12"/>
        <v>4205.59</v>
      </c>
      <c r="M285" s="8"/>
      <c r="N285" s="165"/>
    </row>
    <row r="286" spans="1:14" s="3" customFormat="1" ht="12.2" customHeight="1" x14ac:dyDescent="0.15">
      <c r="A286" s="1" t="s">
        <v>446</v>
      </c>
      <c r="B286" s="2" t="s">
        <v>357</v>
      </c>
      <c r="C286" s="2" t="s">
        <v>298</v>
      </c>
      <c r="D286" s="2" t="s">
        <v>431</v>
      </c>
      <c r="E286" s="6">
        <v>2500</v>
      </c>
      <c r="F286" s="18"/>
      <c r="G286" s="18"/>
      <c r="H286" s="18"/>
      <c r="I286" s="18">
        <v>3000</v>
      </c>
      <c r="J286" s="18"/>
      <c r="K286" s="18"/>
      <c r="L286" s="13">
        <f t="shared" si="12"/>
        <v>3000</v>
      </c>
      <c r="M286" s="8"/>
      <c r="N286" s="165"/>
    </row>
    <row r="287" spans="1:14" s="3" customFormat="1" ht="12.2" customHeight="1" x14ac:dyDescent="0.15">
      <c r="A287" s="1" t="s">
        <v>447</v>
      </c>
      <c r="B287" s="2" t="s">
        <v>357</v>
      </c>
      <c r="C287" s="2" t="s">
        <v>299</v>
      </c>
      <c r="D287" s="2" t="s">
        <v>431</v>
      </c>
      <c r="E287" s="6">
        <v>2600</v>
      </c>
      <c r="F287" s="18"/>
      <c r="G287" s="18"/>
      <c r="H287" s="18"/>
      <c r="I287" s="18"/>
      <c r="J287" s="18">
        <v>1500</v>
      </c>
      <c r="K287" s="18"/>
      <c r="L287" s="13">
        <f t="shared" si="12"/>
        <v>1500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374946.99000000005</v>
      </c>
      <c r="G291" s="39">
        <f t="shared" si="13"/>
        <v>165948.22</v>
      </c>
      <c r="H291" s="39">
        <f t="shared" si="13"/>
        <v>117600.37</v>
      </c>
      <c r="I291" s="39">
        <f t="shared" si="13"/>
        <v>71287.64</v>
      </c>
      <c r="J291" s="39">
        <f t="shared" si="13"/>
        <v>8370.58</v>
      </c>
      <c r="K291" s="39">
        <f t="shared" si="13"/>
        <v>2583.34</v>
      </c>
      <c r="L291" s="38">
        <f t="shared" si="13"/>
        <v>740737.1399999999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v>6567.42</v>
      </c>
      <c r="J296" s="18"/>
      <c r="K296" s="18"/>
      <c r="L296" s="13">
        <f>SUM(F296:K296)</f>
        <v>6567.42</v>
      </c>
      <c r="M296" s="8"/>
      <c r="N296" s="165"/>
    </row>
    <row r="297" spans="1:14" s="3" customFormat="1" ht="12.2" customHeight="1" x14ac:dyDescent="0.15">
      <c r="A297" s="1" t="s">
        <v>439</v>
      </c>
      <c r="B297" s="2" t="s">
        <v>358</v>
      </c>
      <c r="C297" s="2" t="s">
        <v>291</v>
      </c>
      <c r="D297" s="2" t="s">
        <v>431</v>
      </c>
      <c r="E297" s="6">
        <v>1200</v>
      </c>
      <c r="F297" s="18">
        <v>57461.23</v>
      </c>
      <c r="G297" s="18">
        <v>43351.28</v>
      </c>
      <c r="H297" s="18">
        <v>16085.44</v>
      </c>
      <c r="I297" s="18"/>
      <c r="J297" s="18"/>
      <c r="K297" s="18"/>
      <c r="L297" s="13">
        <f>SUM(F297:K297)</f>
        <v>116897.95000000001</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16637.05</v>
      </c>
      <c r="G299" s="18">
        <v>4084.87</v>
      </c>
      <c r="H299" s="18"/>
      <c r="I299" s="18">
        <v>2355.17</v>
      </c>
      <c r="J299" s="18"/>
      <c r="K299" s="18">
        <v>550</v>
      </c>
      <c r="L299" s="13">
        <f>SUM(F299:K299)</f>
        <v>23627.089999999997</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v>196.23</v>
      </c>
      <c r="I301" s="18">
        <v>201.74</v>
      </c>
      <c r="J301" s="18"/>
      <c r="K301" s="18"/>
      <c r="L301" s="13">
        <f t="shared" ref="L301:L307" si="14">SUM(F301:K301)</f>
        <v>397.97</v>
      </c>
      <c r="M301" s="8"/>
      <c r="N301" s="165"/>
    </row>
    <row r="302" spans="1:14" s="3" customFormat="1" ht="12.2" customHeight="1" x14ac:dyDescent="0.15">
      <c r="A302" s="1" t="s">
        <v>443</v>
      </c>
      <c r="B302" s="2" t="s">
        <v>358</v>
      </c>
      <c r="C302" s="2" t="s">
        <v>295</v>
      </c>
      <c r="D302" s="2" t="s">
        <v>431</v>
      </c>
      <c r="E302" s="6">
        <v>2200</v>
      </c>
      <c r="F302" s="18">
        <v>528</v>
      </c>
      <c r="G302" s="18">
        <v>128.82</v>
      </c>
      <c r="H302" s="18">
        <v>9256.25</v>
      </c>
      <c r="I302" s="18">
        <v>3400.09</v>
      </c>
      <c r="J302" s="18">
        <v>2052.25</v>
      </c>
      <c r="K302" s="18"/>
      <c r="L302" s="13">
        <f t="shared" si="14"/>
        <v>15365.41</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v>415.9</v>
      </c>
      <c r="J304" s="18"/>
      <c r="K304" s="18"/>
      <c r="L304" s="13">
        <f t="shared" si="14"/>
        <v>415.9</v>
      </c>
      <c r="M304" s="8"/>
      <c r="N304" s="165"/>
    </row>
    <row r="305" spans="1:14" s="3" customFormat="1" ht="12.2" customHeight="1" x14ac:dyDescent="0.15">
      <c r="A305" s="1" t="s">
        <v>446</v>
      </c>
      <c r="B305" s="2" t="s">
        <v>358</v>
      </c>
      <c r="C305" s="2" t="s">
        <v>298</v>
      </c>
      <c r="D305" s="2" t="s">
        <v>431</v>
      </c>
      <c r="E305" s="6">
        <v>2500</v>
      </c>
      <c r="F305" s="18"/>
      <c r="G305" s="18"/>
      <c r="H305" s="18"/>
      <c r="I305" s="18">
        <v>900</v>
      </c>
      <c r="J305" s="18"/>
      <c r="K305" s="18"/>
      <c r="L305" s="13">
        <f t="shared" si="14"/>
        <v>900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74626.28</v>
      </c>
      <c r="G310" s="39">
        <f t="shared" si="15"/>
        <v>47564.97</v>
      </c>
      <c r="H310" s="39">
        <f t="shared" si="15"/>
        <v>25537.919999999998</v>
      </c>
      <c r="I310" s="39">
        <f t="shared" si="15"/>
        <v>13840.32</v>
      </c>
      <c r="J310" s="39">
        <f t="shared" si="15"/>
        <v>2052.25</v>
      </c>
      <c r="K310" s="39">
        <f t="shared" si="15"/>
        <v>550</v>
      </c>
      <c r="L310" s="38">
        <f t="shared" si="15"/>
        <v>164171.74000000002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v>15323.99</v>
      </c>
      <c r="J315" s="18"/>
      <c r="K315" s="18">
        <v>220022.82</v>
      </c>
      <c r="L315" s="13">
        <f>SUM(F315:K315)</f>
        <v>235346.81</v>
      </c>
      <c r="M315" s="8"/>
      <c r="N315" s="165"/>
    </row>
    <row r="316" spans="1:14" s="3" customFormat="1" ht="12.2" customHeight="1" x14ac:dyDescent="0.15">
      <c r="A316" s="1" t="s">
        <v>439</v>
      </c>
      <c r="B316" s="2" t="s">
        <v>359</v>
      </c>
      <c r="C316" s="2" t="s">
        <v>291</v>
      </c>
      <c r="D316" s="2" t="s">
        <v>431</v>
      </c>
      <c r="E316" s="6">
        <v>1200</v>
      </c>
      <c r="F316" s="18">
        <v>76119.31</v>
      </c>
      <c r="G316" s="18">
        <v>52405.75</v>
      </c>
      <c r="H316" s="18">
        <v>37532.699999999997</v>
      </c>
      <c r="I316" s="18"/>
      <c r="J316" s="18"/>
      <c r="K316" s="18"/>
      <c r="L316" s="13">
        <f>SUM(F316:K316)</f>
        <v>166057.76</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23910</v>
      </c>
      <c r="G318" s="18">
        <v>1829.3</v>
      </c>
      <c r="H318" s="18">
        <v>5837.88</v>
      </c>
      <c r="I318" s="18"/>
      <c r="J318" s="18"/>
      <c r="K318" s="18">
        <v>105523.07</v>
      </c>
      <c r="L318" s="13">
        <f>SUM(F318:K318)</f>
        <v>137100.25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729</v>
      </c>
      <c r="G320" s="18">
        <v>129.35</v>
      </c>
      <c r="H320" s="18">
        <v>32445.89</v>
      </c>
      <c r="I320" s="18">
        <v>2213.54</v>
      </c>
      <c r="J320" s="18"/>
      <c r="K320" s="18">
        <v>56017.8</v>
      </c>
      <c r="L320" s="13">
        <f t="shared" ref="L320:L326" si="16">SUM(F320:K320)</f>
        <v>91535.58</v>
      </c>
      <c r="M320" s="8"/>
      <c r="N320" s="165"/>
    </row>
    <row r="321" spans="1:14" s="3" customFormat="1" ht="12.2" customHeight="1" x14ac:dyDescent="0.15">
      <c r="A321" s="1" t="s">
        <v>443</v>
      </c>
      <c r="B321" s="2" t="s">
        <v>359</v>
      </c>
      <c r="C321" s="2" t="s">
        <v>295</v>
      </c>
      <c r="D321" s="2" t="s">
        <v>431</v>
      </c>
      <c r="E321" s="6">
        <v>2200</v>
      </c>
      <c r="F321" s="18">
        <v>1232</v>
      </c>
      <c r="G321" s="18">
        <v>300.57</v>
      </c>
      <c r="H321" s="18">
        <v>1470</v>
      </c>
      <c r="I321" s="18">
        <v>1825.76</v>
      </c>
      <c r="J321" s="18">
        <v>81177.240000000005</v>
      </c>
      <c r="K321" s="18"/>
      <c r="L321" s="13">
        <f t="shared" si="16"/>
        <v>86005.57</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v>2244.62</v>
      </c>
      <c r="J323" s="18"/>
      <c r="K323" s="18"/>
      <c r="L323" s="13">
        <f t="shared" si="16"/>
        <v>2244.62</v>
      </c>
      <c r="M323" s="8"/>
      <c r="N323" s="165"/>
    </row>
    <row r="324" spans="1:14" s="3" customFormat="1" ht="12.2" customHeight="1" x14ac:dyDescent="0.15">
      <c r="A324" s="1" t="s">
        <v>446</v>
      </c>
      <c r="B324" s="2" t="s">
        <v>359</v>
      </c>
      <c r="C324" s="2" t="s">
        <v>298</v>
      </c>
      <c r="D324" s="2" t="s">
        <v>431</v>
      </c>
      <c r="E324" s="6">
        <v>2500</v>
      </c>
      <c r="F324" s="18"/>
      <c r="G324" s="18"/>
      <c r="H324" s="18"/>
      <c r="I324" s="18">
        <v>2100</v>
      </c>
      <c r="J324" s="18"/>
      <c r="K324" s="18"/>
      <c r="L324" s="13">
        <f t="shared" si="16"/>
        <v>2100</v>
      </c>
      <c r="M324" s="8"/>
      <c r="N324" s="165"/>
    </row>
    <row r="325" spans="1:14" s="3" customFormat="1" ht="12.2" customHeight="1" x14ac:dyDescent="0.15">
      <c r="A325" s="1" t="s">
        <v>447</v>
      </c>
      <c r="B325" s="2" t="s">
        <v>359</v>
      </c>
      <c r="C325" s="2" t="s">
        <v>299</v>
      </c>
      <c r="D325" s="2" t="s">
        <v>431</v>
      </c>
      <c r="E325" s="6">
        <v>2600</v>
      </c>
      <c r="F325" s="18"/>
      <c r="G325" s="18"/>
      <c r="H325" s="18">
        <v>32000</v>
      </c>
      <c r="I325" s="18">
        <v>344.5</v>
      </c>
      <c r="J325" s="18"/>
      <c r="K325" s="18"/>
      <c r="L325" s="13">
        <f t="shared" si="16"/>
        <v>32344.5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101990.31</v>
      </c>
      <c r="G329" s="39">
        <f t="shared" si="17"/>
        <v>54664.97</v>
      </c>
      <c r="H329" s="39">
        <f t="shared" si="17"/>
        <v>109286.47</v>
      </c>
      <c r="I329" s="39">
        <f t="shared" si="17"/>
        <v>24052.409999999996</v>
      </c>
      <c r="J329" s="39">
        <f t="shared" si="17"/>
        <v>81177.240000000005</v>
      </c>
      <c r="K329" s="39">
        <f t="shared" si="17"/>
        <v>381563.69</v>
      </c>
      <c r="L329" s="38">
        <f t="shared" si="17"/>
        <v>752735.09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12274.94</v>
      </c>
      <c r="I337" s="18"/>
      <c r="J337" s="18"/>
      <c r="K337" s="18"/>
      <c r="L337" s="13">
        <f t="shared" si="18"/>
        <v>12274.94</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12274.94</v>
      </c>
      <c r="I338" s="38">
        <f t="shared" si="19"/>
        <v>0</v>
      </c>
      <c r="J338" s="38">
        <f t="shared" si="19"/>
        <v>0</v>
      </c>
      <c r="K338" s="38">
        <f t="shared" si="19"/>
        <v>0</v>
      </c>
      <c r="L338" s="38">
        <f t="shared" si="18"/>
        <v>12274.94</v>
      </c>
      <c r="M338" s="8"/>
      <c r="N338" s="165"/>
    </row>
    <row r="339" spans="1:43" s="3" customFormat="1" ht="12.2" customHeight="1" thickTop="1" x14ac:dyDescent="0.15">
      <c r="A339" s="35" t="s">
        <v>468</v>
      </c>
      <c r="B339" s="37">
        <v>14</v>
      </c>
      <c r="C339" s="37">
        <v>7</v>
      </c>
      <c r="D339" s="36" t="s">
        <v>431</v>
      </c>
      <c r="E339" s="37"/>
      <c r="F339" s="38">
        <f t="shared" ref="F339:L339" si="20">F291+F310+F329+F338</f>
        <v>551563.58000000007</v>
      </c>
      <c r="G339" s="38">
        <f t="shared" si="20"/>
        <v>268178.16000000003</v>
      </c>
      <c r="H339" s="38">
        <f t="shared" si="20"/>
        <v>264699.69999999995</v>
      </c>
      <c r="I339" s="38">
        <f t="shared" si="20"/>
        <v>109180.37</v>
      </c>
      <c r="J339" s="38">
        <f t="shared" si="20"/>
        <v>91600.07</v>
      </c>
      <c r="K339" s="38">
        <f t="shared" si="20"/>
        <v>384697.03</v>
      </c>
      <c r="L339" s="38">
        <f t="shared" si="20"/>
        <v>1669918.9099999997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551563.58000000007</v>
      </c>
      <c r="G353" s="38">
        <f>G339</f>
        <v>268178.16000000003</v>
      </c>
      <c r="H353" s="38">
        <f>H339</f>
        <v>264699.69999999995</v>
      </c>
      <c r="I353" s="38">
        <f>I339</f>
        <v>109180.37</v>
      </c>
      <c r="J353" s="38">
        <f>J339</f>
        <v>91600.07</v>
      </c>
      <c r="K353" s="38">
        <f>K339+K352</f>
        <v>384697.03</v>
      </c>
      <c r="L353" s="38">
        <f>L339+L352</f>
        <v>1669918.9099999997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194037.66</v>
      </c>
      <c r="G359" s="18">
        <v>52178.33</v>
      </c>
      <c r="H359" s="18">
        <v>6875.74</v>
      </c>
      <c r="I359" s="18">
        <v>233893.66</v>
      </c>
      <c r="J359" s="18">
        <v>51967.29</v>
      </c>
      <c r="K359" s="18">
        <v>322.23</v>
      </c>
      <c r="L359" s="13">
        <f>SUM(F359:K359)</f>
        <v>539274.91</v>
      </c>
      <c r="M359" s="8"/>
      <c r="N359" s="165"/>
    </row>
    <row r="360" spans="1:22" s="3" customFormat="1" ht="12.2" customHeight="1" x14ac:dyDescent="0.15">
      <c r="A360" s="1" t="s">
        <v>542</v>
      </c>
      <c r="B360" s="2" t="s">
        <v>366</v>
      </c>
      <c r="C360" s="6">
        <v>2</v>
      </c>
      <c r="D360" s="2" t="s">
        <v>431</v>
      </c>
      <c r="E360" s="6"/>
      <c r="F360" s="18">
        <v>60396.95</v>
      </c>
      <c r="G360" s="18">
        <v>15653.5</v>
      </c>
      <c r="H360" s="18">
        <v>1376.25</v>
      </c>
      <c r="I360" s="18">
        <v>69747.98</v>
      </c>
      <c r="J360" s="18">
        <v>15590.19</v>
      </c>
      <c r="K360" s="18">
        <v>96.66</v>
      </c>
      <c r="L360" s="13">
        <f>SUM(F360:K360)</f>
        <v>162861.53</v>
      </c>
      <c r="M360" s="8"/>
      <c r="N360" s="165"/>
    </row>
    <row r="361" spans="1:22" s="3" customFormat="1" ht="12.2" customHeight="1" x14ac:dyDescent="0.15">
      <c r="A361" s="3" t="s">
        <v>543</v>
      </c>
      <c r="B361" s="2" t="s">
        <v>366</v>
      </c>
      <c r="C361" s="6">
        <v>3</v>
      </c>
      <c r="D361" s="2" t="s">
        <v>431</v>
      </c>
      <c r="E361" s="6"/>
      <c r="F361" s="18">
        <v>134807.39000000001</v>
      </c>
      <c r="G361" s="18">
        <v>36524.83</v>
      </c>
      <c r="H361" s="18">
        <v>6988.45</v>
      </c>
      <c r="I361" s="18">
        <v>179062.38</v>
      </c>
      <c r="J361" s="18">
        <v>36377.11</v>
      </c>
      <c r="K361" s="18">
        <v>225.56</v>
      </c>
      <c r="L361" s="13">
        <f>SUM(F361:K361)</f>
        <v>393985.72000000003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389242</v>
      </c>
      <c r="G363" s="38">
        <f t="shared" si="22"/>
        <v>104356.66</v>
      </c>
      <c r="H363" s="38">
        <f t="shared" si="22"/>
        <v>15240.439999999999</v>
      </c>
      <c r="I363" s="38">
        <f t="shared" si="22"/>
        <v>482704.02</v>
      </c>
      <c r="J363" s="38">
        <f t="shared" si="22"/>
        <v>103934.59</v>
      </c>
      <c r="K363" s="38">
        <f t="shared" si="22"/>
        <v>644.45000000000005</v>
      </c>
      <c r="L363" s="38">
        <f t="shared" si="22"/>
        <v>1096122.1600000001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212422.18</v>
      </c>
      <c r="G368" s="18">
        <v>151087.98000000001</v>
      </c>
      <c r="H368" s="18">
        <v>78383.759999999995</v>
      </c>
      <c r="I368" s="13">
        <f>SUM(F368:H368)</f>
        <v>441893.92000000004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21471.48</v>
      </c>
      <c r="G369" s="53">
        <v>10466.700000000001</v>
      </c>
      <c r="H369" s="53">
        <v>8871.92</v>
      </c>
      <c r="I369" s="13">
        <f>SUM(F369:H369)</f>
        <v>40810.1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233893.66</v>
      </c>
      <c r="G370" s="38">
        <f>SUM(G368:G369)</f>
        <v>161554.68000000002</v>
      </c>
      <c r="H370" s="38">
        <f>SUM(H368:H369)</f>
        <v>87255.679999999993</v>
      </c>
      <c r="I370" s="38">
        <f>SUM(I368:I369)</f>
        <v>482704.02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400000</v>
      </c>
      <c r="H397" s="18">
        <f>34.91+85.32+17955.57</f>
        <v>18075.8</v>
      </c>
      <c r="I397" s="18"/>
      <c r="J397" s="23" t="s">
        <v>288</v>
      </c>
      <c r="K397" s="23" t="s">
        <v>288</v>
      </c>
      <c r="L397" s="13">
        <f t="shared" si="26"/>
        <v>418075.8</v>
      </c>
      <c r="M397" s="8"/>
      <c r="N397" s="165"/>
    </row>
    <row r="398" spans="1:14" s="3" customFormat="1" ht="12.2" customHeight="1" x14ac:dyDescent="0.15">
      <c r="A398" s="62" t="s">
        <v>515</v>
      </c>
      <c r="B398" s="2" t="s">
        <v>381</v>
      </c>
      <c r="C398" s="6">
        <v>10</v>
      </c>
      <c r="D398" s="2" t="s">
        <v>432</v>
      </c>
      <c r="E398" s="6"/>
      <c r="F398" s="18"/>
      <c r="G398" s="18">
        <v>150000</v>
      </c>
      <c r="H398" s="18">
        <v>7455.96</v>
      </c>
      <c r="I398" s="18"/>
      <c r="J398" s="23" t="s">
        <v>288</v>
      </c>
      <c r="K398" s="23" t="s">
        <v>288</v>
      </c>
      <c r="L398" s="13">
        <f t="shared" si="26"/>
        <v>157455.96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550000</v>
      </c>
      <c r="H402" s="38">
        <f>SUM(H396:H401)</f>
        <v>25531.759999999998</v>
      </c>
      <c r="I402" s="38">
        <f>SUM(I396:I401)</f>
        <v>0</v>
      </c>
      <c r="J402" s="42" t="s">
        <v>288</v>
      </c>
      <c r="K402" s="42" t="s">
        <v>288</v>
      </c>
      <c r="L402" s="38">
        <f>SUM(L396:L401)</f>
        <v>575531.76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550000</v>
      </c>
      <c r="H409" s="38">
        <f>H394+H402+H408</f>
        <v>25531.759999999998</v>
      </c>
      <c r="I409" s="38">
        <f>I394+I402+I408</f>
        <v>0</v>
      </c>
      <c r="J409" s="23" t="s">
        <v>288</v>
      </c>
      <c r="K409" s="23" t="s">
        <v>288</v>
      </c>
      <c r="L409" s="38">
        <f>L394+L402+L408</f>
        <v>575531.76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994381.73</v>
      </c>
      <c r="G441" s="18">
        <f>1683.38+407732.73+4113.43</f>
        <v>413529.54</v>
      </c>
      <c r="H441" s="18"/>
      <c r="I441" s="13">
        <f t="shared" si="33"/>
        <v>1407911.27</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994381.73</v>
      </c>
      <c r="G447" s="13">
        <f>SUM(G440:G446)</f>
        <v>413529.54</v>
      </c>
      <c r="H447" s="13">
        <f>SUM(H440:H446)</f>
        <v>0</v>
      </c>
      <c r="I447" s="13">
        <f>SUM(I440:I446)</f>
        <v>1407911.27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994381.73</v>
      </c>
      <c r="G460" s="18">
        <v>413529.54</v>
      </c>
      <c r="H460" s="18"/>
      <c r="I460" s="13">
        <f t="shared" si="34"/>
        <v>1407911.27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994381.73</v>
      </c>
      <c r="G461" s="65">
        <f>SUM(G455:G460)</f>
        <v>413529.54</v>
      </c>
      <c r="H461" s="65">
        <f>SUM(H455:H460)</f>
        <v>0</v>
      </c>
      <c r="I461" s="65">
        <f>SUM(I455:I460)</f>
        <v>1407911.27</v>
      </c>
      <c r="J461" s="23" t="s">
        <v>288</v>
      </c>
      <c r="K461" s="23" t="s">
        <v>288</v>
      </c>
      <c r="L461" s="23" t="s">
        <v>288</v>
      </c>
      <c r="N461" s="131"/>
    </row>
    <row r="462" spans="1:86" ht="12.2" customHeight="1" thickTop="1" x14ac:dyDescent="0.2">
      <c r="A462" s="40" t="s">
        <v>424</v>
      </c>
      <c r="B462" s="41">
        <v>18</v>
      </c>
      <c r="C462" s="64">
        <v>21</v>
      </c>
      <c r="D462" s="114" t="s">
        <v>432</v>
      </c>
      <c r="E462" s="64"/>
      <c r="F462" s="39">
        <f>F453+F461</f>
        <v>994381.73</v>
      </c>
      <c r="G462" s="39">
        <f>G453+G461</f>
        <v>413529.54</v>
      </c>
      <c r="H462" s="39">
        <f>H453+H461</f>
        <v>0</v>
      </c>
      <c r="I462" s="39">
        <f>I453+I461</f>
        <v>1407911.27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2712349.73</v>
      </c>
      <c r="G466" s="18">
        <v>489622.36</v>
      </c>
      <c r="H466" s="18">
        <v>639975.61</v>
      </c>
      <c r="I466" s="18"/>
      <c r="J466" s="18">
        <v>832379.51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59854253.950000003</v>
      </c>
      <c r="G469" s="18">
        <v>1198434.3999999999</v>
      </c>
      <c r="H469" s="18">
        <v>1258507.0900000001</v>
      </c>
      <c r="I469" s="18"/>
      <c r="J469" s="18">
        <f>550000+25531.76</f>
        <v>575531.76</v>
      </c>
      <c r="K469" s="23" t="s">
        <v>288</v>
      </c>
      <c r="L469" s="23" t="s">
        <v>288</v>
      </c>
      <c r="N469" s="131"/>
    </row>
    <row r="470" spans="1:14" ht="12.2" customHeight="1" x14ac:dyDescent="0.2">
      <c r="A470" s="71" t="s">
        <v>611</v>
      </c>
      <c r="B470" s="22">
        <v>19</v>
      </c>
      <c r="C470" s="31">
        <v>3</v>
      </c>
      <c r="D470" s="2" t="s">
        <v>432</v>
      </c>
      <c r="E470" s="31"/>
      <c r="F470" s="18">
        <v>0.1</v>
      </c>
      <c r="G470" s="18"/>
      <c r="H470" s="18">
        <v>74792.350000000006</v>
      </c>
      <c r="I470" s="18"/>
      <c r="J470" s="18"/>
      <c r="K470" s="23" t="s">
        <v>288</v>
      </c>
      <c r="L470" s="23" t="s">
        <v>288</v>
      </c>
      <c r="N470" s="131"/>
    </row>
    <row r="471" spans="1:14" ht="12.2" customHeight="1" x14ac:dyDescent="0.2">
      <c r="A471" s="32" t="s">
        <v>425</v>
      </c>
      <c r="B471" s="22">
        <v>19</v>
      </c>
      <c r="C471" s="31">
        <v>4</v>
      </c>
      <c r="D471" s="2" t="s">
        <v>432</v>
      </c>
      <c r="E471" s="31"/>
      <c r="F471" s="19">
        <f>SUM(F469:F470)</f>
        <v>59854254.050000004</v>
      </c>
      <c r="G471" s="19">
        <f>SUM(G469:G470)</f>
        <v>1198434.3999999999</v>
      </c>
      <c r="H471" s="19">
        <f>SUM(H469:H470)</f>
        <v>1333299.4400000002</v>
      </c>
      <c r="I471" s="19">
        <f>SUM(I469:I470)</f>
        <v>0</v>
      </c>
      <c r="J471" s="19">
        <f>SUM(J469:J470)</f>
        <v>575531.76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60203434.797000013</v>
      </c>
      <c r="G473" s="18">
        <v>1096122.1599999999</v>
      </c>
      <c r="H473" s="18">
        <v>1669918.91</v>
      </c>
      <c r="I473" s="18"/>
      <c r="J473" s="18"/>
      <c r="K473" s="23" t="s">
        <v>288</v>
      </c>
      <c r="L473" s="23" t="s">
        <v>288</v>
      </c>
      <c r="N473" s="131"/>
    </row>
    <row r="474" spans="1:14" ht="12.2" customHeight="1" x14ac:dyDescent="0.2">
      <c r="A474" s="71" t="s">
        <v>613</v>
      </c>
      <c r="B474" s="22">
        <v>19</v>
      </c>
      <c r="C474" s="31">
        <v>6</v>
      </c>
      <c r="D474" s="2" t="s">
        <v>432</v>
      </c>
      <c r="E474" s="31"/>
      <c r="F474" s="18"/>
      <c r="G474" s="18">
        <v>1895.17</v>
      </c>
      <c r="H474" s="18"/>
      <c r="I474" s="18"/>
      <c r="J474" s="18"/>
      <c r="K474" s="23" t="s">
        <v>288</v>
      </c>
      <c r="L474" s="23" t="s">
        <v>288</v>
      </c>
      <c r="N474" s="131"/>
    </row>
    <row r="475" spans="1:14" ht="12.2" customHeight="1" x14ac:dyDescent="0.2">
      <c r="A475" s="32" t="s">
        <v>426</v>
      </c>
      <c r="B475" s="22">
        <v>19</v>
      </c>
      <c r="C475" s="31">
        <v>7</v>
      </c>
      <c r="D475" s="2" t="s">
        <v>432</v>
      </c>
      <c r="E475" s="31"/>
      <c r="F475" s="19">
        <f>SUM(F473:F474)</f>
        <v>60203434.797000013</v>
      </c>
      <c r="G475" s="19">
        <f>SUM(G473:G474)</f>
        <v>1098017.3299999998</v>
      </c>
      <c r="H475" s="19">
        <f>SUM(H473:H474)</f>
        <v>1669918.91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2363168.9829999879</v>
      </c>
      <c r="G477" s="19">
        <f>(G466+G471)- G475</f>
        <v>590039.42999999993</v>
      </c>
      <c r="H477" s="19">
        <f>(H466+H471)- H475</f>
        <v>303356.14000000036</v>
      </c>
      <c r="I477" s="19">
        <f>(I466+I471)- I475</f>
        <v>0</v>
      </c>
      <c r="J477" s="19">
        <f>(J466+J471)- J475</f>
        <v>1407911.27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11</v>
      </c>
      <c r="G491" s="111">
        <v>20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19305000</v>
      </c>
      <c r="G494" s="18">
        <v>38107102</v>
      </c>
      <c r="H494" s="18"/>
      <c r="I494" s="18"/>
      <c r="J494" s="18"/>
      <c r="K494" s="23" t="s">
        <v>288</v>
      </c>
      <c r="L494" s="23" t="s">
        <v>288</v>
      </c>
      <c r="N494" s="131"/>
    </row>
    <row r="495" spans="1:14" ht="12.2" customHeight="1" x14ac:dyDescent="0.2">
      <c r="A495" s="21" t="s">
        <v>618</v>
      </c>
      <c r="B495" s="22">
        <v>20</v>
      </c>
      <c r="C495" s="22">
        <v>5</v>
      </c>
      <c r="D495" s="2" t="s">
        <v>432</v>
      </c>
      <c r="E495" s="22"/>
      <c r="F495" s="18">
        <v>3</v>
      </c>
      <c r="G495" s="18">
        <v>2.67</v>
      </c>
      <c r="H495" s="18"/>
      <c r="I495" s="18"/>
      <c r="J495" s="18"/>
      <c r="K495" s="23" t="s">
        <v>288</v>
      </c>
      <c r="L495" s="23" t="s">
        <v>288</v>
      </c>
      <c r="N495" s="131"/>
    </row>
    <row r="496" spans="1:14" ht="12.2" customHeight="1" x14ac:dyDescent="0.2">
      <c r="A496" s="21" t="s">
        <v>619</v>
      </c>
      <c r="B496" s="22">
        <v>20</v>
      </c>
      <c r="C496" s="22">
        <v>6</v>
      </c>
      <c r="D496" s="2" t="s">
        <v>432</v>
      </c>
      <c r="E496" s="22"/>
      <c r="F496" s="18">
        <v>6800000</v>
      </c>
      <c r="G496" s="18">
        <v>27200000</v>
      </c>
      <c r="H496" s="18"/>
      <c r="I496" s="18"/>
      <c r="J496" s="18"/>
      <c r="K496" s="19">
        <f>SUM(F496:J496)</f>
        <v>34000000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1700000</v>
      </c>
      <c r="G498" s="18">
        <v>1700000</v>
      </c>
      <c r="H498" s="18"/>
      <c r="I498" s="18"/>
      <c r="J498" s="18"/>
      <c r="K498" s="19">
        <f t="shared" si="35"/>
        <v>3400000</v>
      </c>
      <c r="L498" s="23" t="s">
        <v>288</v>
      </c>
      <c r="N498" s="131"/>
    </row>
    <row r="499" spans="1:14" ht="12.2" customHeight="1" x14ac:dyDescent="0.2">
      <c r="A499" s="144" t="s">
        <v>622</v>
      </c>
      <c r="B499" s="145">
        <v>20</v>
      </c>
      <c r="C499" s="145">
        <v>9</v>
      </c>
      <c r="D499" s="146" t="s">
        <v>432</v>
      </c>
      <c r="E499" s="145"/>
      <c r="F499" s="147">
        <v>5100000</v>
      </c>
      <c r="G499" s="147">
        <v>25500000</v>
      </c>
      <c r="H499" s="147"/>
      <c r="I499" s="147"/>
      <c r="J499" s="147"/>
      <c r="K499" s="148">
        <f t="shared" si="35"/>
        <v>30600000</v>
      </c>
      <c r="L499" s="149" t="s">
        <v>288</v>
      </c>
      <c r="N499" s="131"/>
    </row>
    <row r="500" spans="1:14" ht="12.2" customHeight="1" thickBot="1" x14ac:dyDescent="0.25">
      <c r="A500" s="21" t="s">
        <v>623</v>
      </c>
      <c r="B500" s="22">
        <v>20</v>
      </c>
      <c r="C500" s="22">
        <v>10</v>
      </c>
      <c r="D500" s="2" t="s">
        <v>432</v>
      </c>
      <c r="E500" s="22"/>
      <c r="F500" s="18">
        <v>365500</v>
      </c>
      <c r="G500" s="18">
        <v>7084750</v>
      </c>
      <c r="H500" s="18"/>
      <c r="I500" s="18"/>
      <c r="J500" s="18"/>
      <c r="K500" s="19">
        <f t="shared" si="35"/>
        <v>7450250</v>
      </c>
      <c r="L500" s="23" t="s">
        <v>288</v>
      </c>
      <c r="N500" s="131"/>
    </row>
    <row r="501" spans="1:14" ht="12.2" customHeight="1" thickTop="1" x14ac:dyDescent="0.2">
      <c r="A501" s="97" t="s">
        <v>624</v>
      </c>
      <c r="B501" s="41">
        <v>20</v>
      </c>
      <c r="C501" s="41">
        <v>11</v>
      </c>
      <c r="D501" s="36" t="s">
        <v>432</v>
      </c>
      <c r="E501" s="41"/>
      <c r="F501" s="39">
        <f>SUM(F499:F500)</f>
        <v>5465500</v>
      </c>
      <c r="G501" s="39">
        <f>SUM(G499:G500)</f>
        <v>32584750</v>
      </c>
      <c r="H501" s="39">
        <f>SUM(H499:H500)</f>
        <v>0</v>
      </c>
      <c r="I501" s="39">
        <f>SUM(I499:I500)</f>
        <v>0</v>
      </c>
      <c r="J501" s="39">
        <f>SUM(J499:J500)</f>
        <v>0</v>
      </c>
      <c r="K501" s="39">
        <f t="shared" si="35"/>
        <v>38050250</v>
      </c>
      <c r="L501" s="42" t="s">
        <v>288</v>
      </c>
      <c r="N501" s="131"/>
    </row>
    <row r="502" spans="1:14" ht="12.2" customHeight="1" x14ac:dyDescent="0.2">
      <c r="A502" s="144" t="s">
        <v>651</v>
      </c>
      <c r="B502" s="145">
        <v>20</v>
      </c>
      <c r="C502" s="145">
        <v>12</v>
      </c>
      <c r="D502" s="146" t="s">
        <v>432</v>
      </c>
      <c r="E502" s="145"/>
      <c r="F502" s="147">
        <v>1700000</v>
      </c>
      <c r="G502" s="147">
        <v>1700000</v>
      </c>
      <c r="H502" s="147"/>
      <c r="I502" s="147"/>
      <c r="J502" s="147"/>
      <c r="K502" s="148">
        <f t="shared" si="35"/>
        <v>3400000</v>
      </c>
      <c r="L502" s="149" t="s">
        <v>288</v>
      </c>
      <c r="N502" s="131"/>
    </row>
    <row r="503" spans="1:14" ht="12.2" customHeight="1" thickBot="1" x14ac:dyDescent="0.25">
      <c r="A503" s="21" t="s">
        <v>625</v>
      </c>
      <c r="B503" s="22">
        <v>20</v>
      </c>
      <c r="C503" s="22">
        <v>13</v>
      </c>
      <c r="D503" s="2" t="s">
        <v>432</v>
      </c>
      <c r="E503" s="22"/>
      <c r="F503" s="18">
        <v>195500</v>
      </c>
      <c r="G503" s="18">
        <f>531250+487900</f>
        <v>1019150</v>
      </c>
      <c r="H503" s="18"/>
      <c r="I503" s="18"/>
      <c r="J503" s="18"/>
      <c r="K503" s="19">
        <f t="shared" si="35"/>
        <v>1214650</v>
      </c>
      <c r="L503" s="23" t="s">
        <v>288</v>
      </c>
      <c r="N503" s="131"/>
    </row>
    <row r="504" spans="1:14" ht="12.2" customHeight="1" thickTop="1" x14ac:dyDescent="0.2">
      <c r="A504" s="97" t="s">
        <v>626</v>
      </c>
      <c r="B504" s="41">
        <v>20</v>
      </c>
      <c r="C504" s="41">
        <v>14</v>
      </c>
      <c r="D504" s="36" t="s">
        <v>432</v>
      </c>
      <c r="E504" s="41"/>
      <c r="F504" s="39">
        <f>SUM(F502:F503)</f>
        <v>1895500</v>
      </c>
      <c r="G504" s="39">
        <f>SUM(G502:G503)</f>
        <v>2719150</v>
      </c>
      <c r="H504" s="39">
        <f>SUM(H502:H503)</f>
        <v>0</v>
      </c>
      <c r="I504" s="39">
        <f>SUM(I502:I503)</f>
        <v>0</v>
      </c>
      <c r="J504" s="39">
        <f>SUM(J502:J503)</f>
        <v>0</v>
      </c>
      <c r="K504" s="39">
        <f t="shared" si="35"/>
        <v>4614650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3097397.22</v>
      </c>
      <c r="G522" s="18">
        <v>1672594.5</v>
      </c>
      <c r="H522" s="18">
        <v>1343578.38</v>
      </c>
      <c r="I522" s="18">
        <v>36551.089999999997</v>
      </c>
      <c r="J522" s="18">
        <v>10303.19</v>
      </c>
      <c r="K522" s="18">
        <v>973.94</v>
      </c>
      <c r="L522" s="69">
        <f>SUM(F522:K522)</f>
        <v>6161398.3200000012</v>
      </c>
      <c r="N522" s="131"/>
    </row>
    <row r="523" spans="1:14" ht="12.2" customHeight="1" x14ac:dyDescent="0.2">
      <c r="A523" s="21" t="s">
        <v>634</v>
      </c>
      <c r="B523" s="22">
        <v>21</v>
      </c>
      <c r="C523" s="22">
        <v>2</v>
      </c>
      <c r="D523" s="2" t="s">
        <v>432</v>
      </c>
      <c r="E523" s="22"/>
      <c r="F523" s="18">
        <v>552192.52</v>
      </c>
      <c r="G523" s="18">
        <v>298183.96000000002</v>
      </c>
      <c r="H523" s="18">
        <v>537381.77</v>
      </c>
      <c r="I523" s="18">
        <v>4434.2</v>
      </c>
      <c r="J523" s="18">
        <v>3798.39</v>
      </c>
      <c r="K523" s="18">
        <v>362.71</v>
      </c>
      <c r="L523" s="69">
        <f>SUM(F523:K523)</f>
        <v>1396353.5499999998</v>
      </c>
      <c r="N523" s="131"/>
    </row>
    <row r="524" spans="1:14" ht="12.2" customHeight="1" thickBot="1" x14ac:dyDescent="0.25">
      <c r="A524" s="21" t="s">
        <v>635</v>
      </c>
      <c r="B524" s="22">
        <v>21</v>
      </c>
      <c r="C524" s="22">
        <v>3</v>
      </c>
      <c r="D524" s="2" t="s">
        <v>432</v>
      </c>
      <c r="E524" s="22"/>
      <c r="F524" s="18">
        <v>1380738.31</v>
      </c>
      <c r="G524" s="18">
        <v>745598.69</v>
      </c>
      <c r="H524" s="18">
        <v>1497112.72</v>
      </c>
      <c r="I524" s="18">
        <v>12336.56</v>
      </c>
      <c r="J524" s="18">
        <v>8588.17</v>
      </c>
      <c r="K524" s="18">
        <v>1020.12</v>
      </c>
      <c r="L524" s="69">
        <f>SUM(F524:K524)</f>
        <v>3645394.57</v>
      </c>
      <c r="N524" s="131"/>
    </row>
    <row r="525" spans="1:14" ht="12.2" customHeight="1" thickTop="1" x14ac:dyDescent="0.2">
      <c r="A525" s="97" t="s">
        <v>63</v>
      </c>
      <c r="B525" s="41">
        <v>21</v>
      </c>
      <c r="C525" s="41">
        <v>4</v>
      </c>
      <c r="D525" s="115" t="s">
        <v>432</v>
      </c>
      <c r="E525" s="41"/>
      <c r="F525" s="81">
        <f>SUM(F522:F524)</f>
        <v>5030328.0500000007</v>
      </c>
      <c r="G525" s="81">
        <f t="shared" ref="G525:L525" si="36">SUM(G522:G524)</f>
        <v>2716377.15</v>
      </c>
      <c r="H525" s="81">
        <f t="shared" si="36"/>
        <v>3378072.87</v>
      </c>
      <c r="I525" s="81">
        <f t="shared" si="36"/>
        <v>53321.849999999991</v>
      </c>
      <c r="J525" s="81">
        <f t="shared" si="36"/>
        <v>22689.75</v>
      </c>
      <c r="K525" s="81">
        <f t="shared" si="36"/>
        <v>2356.77</v>
      </c>
      <c r="L525" s="70">
        <f t="shared" si="36"/>
        <v>11203146.440000001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173205.4</v>
      </c>
      <c r="G527" s="18">
        <v>93530.92</v>
      </c>
      <c r="H527" s="18">
        <v>88045.62</v>
      </c>
      <c r="I527" s="18">
        <v>10041.780000000001</v>
      </c>
      <c r="J527" s="18">
        <v>13507.86</v>
      </c>
      <c r="K527" s="18">
        <v>1081.47</v>
      </c>
      <c r="L527" s="69">
        <f>SUM(F527:K527)</f>
        <v>379413.05</v>
      </c>
      <c r="M527" s="8"/>
      <c r="N527" s="165"/>
    </row>
    <row r="528" spans="1:14" s="3" customFormat="1" ht="12.2" customHeight="1" x14ac:dyDescent="0.15">
      <c r="A528" s="21" t="s">
        <v>634</v>
      </c>
      <c r="B528" s="22">
        <v>21</v>
      </c>
      <c r="C528" s="22">
        <v>6</v>
      </c>
      <c r="D528" s="2" t="s">
        <v>432</v>
      </c>
      <c r="E528" s="22"/>
      <c r="F528" s="18">
        <v>175293.4</v>
      </c>
      <c r="G528" s="18">
        <v>94658.44</v>
      </c>
      <c r="H528" s="18">
        <v>36121.279999999999</v>
      </c>
      <c r="I528" s="18">
        <v>4211.17</v>
      </c>
      <c r="J528" s="18">
        <v>1905.31</v>
      </c>
      <c r="K528" s="18">
        <v>443.68</v>
      </c>
      <c r="L528" s="69">
        <f>SUM(F528:K528)</f>
        <v>312633.27999999997</v>
      </c>
      <c r="M528" s="8"/>
      <c r="N528" s="165"/>
    </row>
    <row r="529" spans="1:14" s="3" customFormat="1" ht="12.2" customHeight="1" thickBot="1" x14ac:dyDescent="0.2">
      <c r="A529" s="21" t="s">
        <v>635</v>
      </c>
      <c r="B529" s="22">
        <v>21</v>
      </c>
      <c r="C529" s="22">
        <v>7</v>
      </c>
      <c r="D529" s="2" t="s">
        <v>432</v>
      </c>
      <c r="E529" s="22"/>
      <c r="F529" s="18">
        <v>259520.52</v>
      </c>
      <c r="G529" s="18">
        <v>140141.07</v>
      </c>
      <c r="H529" s="18">
        <v>101591.1</v>
      </c>
      <c r="I529" s="18">
        <v>9106.2000000000007</v>
      </c>
      <c r="J529" s="18">
        <v>3490.25</v>
      </c>
      <c r="K529" s="18">
        <v>1247.8499999999999</v>
      </c>
      <c r="L529" s="69">
        <f>SUM(F529:K529)</f>
        <v>515096.98999999993</v>
      </c>
      <c r="M529" s="8"/>
      <c r="N529" s="165"/>
    </row>
    <row r="530" spans="1:14" s="3" customFormat="1" ht="12.2" customHeight="1" thickTop="1" x14ac:dyDescent="0.15">
      <c r="A530" s="97" t="s">
        <v>65</v>
      </c>
      <c r="B530" s="41">
        <v>21</v>
      </c>
      <c r="C530" s="41">
        <v>8</v>
      </c>
      <c r="D530" s="115" t="s">
        <v>432</v>
      </c>
      <c r="E530" s="41"/>
      <c r="F530" s="70">
        <f>SUM(F527:F529)</f>
        <v>608019.31999999995</v>
      </c>
      <c r="G530" s="70">
        <f t="shared" ref="G530:L530" si="37">SUM(G527:G529)</f>
        <v>328330.43</v>
      </c>
      <c r="H530" s="70">
        <f t="shared" si="37"/>
        <v>225758</v>
      </c>
      <c r="I530" s="70">
        <f t="shared" si="37"/>
        <v>23359.15</v>
      </c>
      <c r="J530" s="70">
        <f t="shared" si="37"/>
        <v>18903.419999999998</v>
      </c>
      <c r="K530" s="70">
        <f t="shared" si="37"/>
        <v>2773</v>
      </c>
      <c r="L530" s="70">
        <f t="shared" si="37"/>
        <v>1207143.3199999998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79693.11</v>
      </c>
      <c r="G532" s="18">
        <v>43034.26</v>
      </c>
      <c r="H532" s="18">
        <v>1024.27</v>
      </c>
      <c r="I532" s="18"/>
      <c r="J532" s="18"/>
      <c r="K532" s="18">
        <v>634.14</v>
      </c>
      <c r="L532" s="69">
        <f>SUM(F532:K532)</f>
        <v>124385.78</v>
      </c>
      <c r="M532" s="8"/>
      <c r="N532" s="165"/>
    </row>
    <row r="533" spans="1:14" s="3" customFormat="1" ht="12.2" customHeight="1" x14ac:dyDescent="0.15">
      <c r="A533" s="21" t="s">
        <v>634</v>
      </c>
      <c r="B533" s="22">
        <v>21</v>
      </c>
      <c r="C533" s="22">
        <v>10</v>
      </c>
      <c r="D533" s="2" t="s">
        <v>432</v>
      </c>
      <c r="E533" s="22"/>
      <c r="F533" s="18">
        <v>32694.61</v>
      </c>
      <c r="G533" s="18">
        <v>17655.09</v>
      </c>
      <c r="H533" s="18">
        <v>420.21</v>
      </c>
      <c r="I533" s="18"/>
      <c r="J533" s="18"/>
      <c r="K533" s="18">
        <v>260.16000000000003</v>
      </c>
      <c r="L533" s="69">
        <f>SUM(F533:K533)</f>
        <v>51030.07</v>
      </c>
      <c r="M533" s="8"/>
      <c r="N533" s="165"/>
    </row>
    <row r="534" spans="1:14" s="3" customFormat="1" ht="12.2" customHeight="1" thickBot="1" x14ac:dyDescent="0.2">
      <c r="A534" s="21" t="s">
        <v>635</v>
      </c>
      <c r="B534" s="22">
        <v>21</v>
      </c>
      <c r="C534" s="22">
        <v>11</v>
      </c>
      <c r="D534" s="2" t="s">
        <v>432</v>
      </c>
      <c r="E534" s="22"/>
      <c r="F534" s="18">
        <v>91953.59</v>
      </c>
      <c r="G534" s="18">
        <v>46654.94</v>
      </c>
      <c r="H534" s="18">
        <v>1181.8499999999999</v>
      </c>
      <c r="I534" s="18"/>
      <c r="J534" s="18"/>
      <c r="K534" s="18">
        <v>731.7</v>
      </c>
      <c r="L534" s="69">
        <f>SUM(F534:K534)</f>
        <v>140522.08000000002</v>
      </c>
      <c r="M534" s="8"/>
      <c r="N534" s="165"/>
    </row>
    <row r="535" spans="1:14" s="3" customFormat="1" ht="12.2" customHeight="1" thickTop="1" x14ac:dyDescent="0.15">
      <c r="A535" s="97" t="s">
        <v>67</v>
      </c>
      <c r="B535" s="41">
        <v>21</v>
      </c>
      <c r="C535" s="41">
        <v>12</v>
      </c>
      <c r="D535" s="115" t="s">
        <v>432</v>
      </c>
      <c r="E535" s="41"/>
      <c r="F535" s="70">
        <f>SUM(F532:F534)</f>
        <v>204341.31</v>
      </c>
      <c r="G535" s="70">
        <f t="shared" ref="G535:L535" si="38">SUM(G532:G534)</f>
        <v>107344.29000000001</v>
      </c>
      <c r="H535" s="70">
        <f t="shared" si="38"/>
        <v>2626.33</v>
      </c>
      <c r="I535" s="70">
        <f t="shared" si="38"/>
        <v>0</v>
      </c>
      <c r="J535" s="70">
        <f t="shared" si="38"/>
        <v>0</v>
      </c>
      <c r="K535" s="70">
        <f t="shared" si="38"/>
        <v>1626</v>
      </c>
      <c r="L535" s="70">
        <f t="shared" si="38"/>
        <v>315937.93000000005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11500.79</v>
      </c>
      <c r="I537" s="18"/>
      <c r="J537" s="18"/>
      <c r="K537" s="18"/>
      <c r="L537" s="69">
        <f>SUM(F537:K537)</f>
        <v>11500.79</v>
      </c>
      <c r="M537" s="8"/>
      <c r="N537" s="165"/>
    </row>
    <row r="538" spans="1:14" s="3" customFormat="1" ht="12.2" customHeight="1" x14ac:dyDescent="0.15">
      <c r="A538" s="21" t="s">
        <v>634</v>
      </c>
      <c r="B538" s="22">
        <v>21</v>
      </c>
      <c r="C538" s="22">
        <v>14</v>
      </c>
      <c r="D538" s="2" t="s">
        <v>432</v>
      </c>
      <c r="E538" s="22"/>
      <c r="F538" s="18"/>
      <c r="G538" s="18"/>
      <c r="H538" s="18">
        <v>4718.2700000000004</v>
      </c>
      <c r="I538" s="18"/>
      <c r="J538" s="18"/>
      <c r="K538" s="18"/>
      <c r="L538" s="69">
        <f>SUM(F538:K538)</f>
        <v>4718.2700000000004</v>
      </c>
      <c r="M538" s="8"/>
      <c r="N538" s="165"/>
    </row>
    <row r="539" spans="1:14" s="3" customFormat="1" ht="12.2" customHeight="1" thickBot="1" x14ac:dyDescent="0.2">
      <c r="A539" s="21" t="s">
        <v>635</v>
      </c>
      <c r="B539" s="22">
        <v>21</v>
      </c>
      <c r="C539" s="22">
        <v>15</v>
      </c>
      <c r="D539" s="2" t="s">
        <v>432</v>
      </c>
      <c r="E539" s="22"/>
      <c r="F539" s="18"/>
      <c r="G539" s="18"/>
      <c r="H539" s="18">
        <v>13270.14</v>
      </c>
      <c r="I539" s="18"/>
      <c r="J539" s="18"/>
      <c r="K539" s="18"/>
      <c r="L539" s="69">
        <f>SUM(F539:K539)</f>
        <v>13270.14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29489.200000000001</v>
      </c>
      <c r="I540" s="70">
        <f t="shared" si="39"/>
        <v>0</v>
      </c>
      <c r="J540" s="70">
        <f t="shared" si="39"/>
        <v>0</v>
      </c>
      <c r="K540" s="70">
        <f t="shared" si="39"/>
        <v>0</v>
      </c>
      <c r="L540" s="70">
        <f t="shared" si="39"/>
        <v>29489.200000000001</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453055.48</v>
      </c>
      <c r="I542" s="18"/>
      <c r="J542" s="18"/>
      <c r="K542" s="18"/>
      <c r="L542" s="69">
        <f>SUM(F542:K542)</f>
        <v>453055.48</v>
      </c>
      <c r="M542" s="8"/>
      <c r="N542" s="165"/>
    </row>
    <row r="543" spans="1:14" s="3" customFormat="1" ht="12.2" customHeight="1" x14ac:dyDescent="0.15">
      <c r="A543" s="21" t="s">
        <v>634</v>
      </c>
      <c r="B543" s="22">
        <v>21</v>
      </c>
      <c r="C543" s="22">
        <v>18</v>
      </c>
      <c r="D543" s="2" t="s">
        <v>432</v>
      </c>
      <c r="E543" s="22"/>
      <c r="F543" s="18"/>
      <c r="G543" s="18"/>
      <c r="H543" s="18">
        <v>185868.92</v>
      </c>
      <c r="I543" s="18"/>
      <c r="J543" s="18"/>
      <c r="K543" s="18"/>
      <c r="L543" s="69">
        <f>SUM(F543:K543)</f>
        <v>185868.92</v>
      </c>
      <c r="M543" s="8"/>
      <c r="N543" s="165"/>
    </row>
    <row r="544" spans="1:14" s="3" customFormat="1" ht="12.2" customHeight="1" thickBot="1" x14ac:dyDescent="0.2">
      <c r="A544" s="21" t="s">
        <v>635</v>
      </c>
      <c r="B544" s="22">
        <v>21</v>
      </c>
      <c r="C544" s="22">
        <v>19</v>
      </c>
      <c r="D544" s="2" t="s">
        <v>432</v>
      </c>
      <c r="E544" s="22"/>
      <c r="F544" s="18"/>
      <c r="G544" s="18"/>
      <c r="H544" s="18">
        <v>522756.32</v>
      </c>
      <c r="I544" s="18"/>
      <c r="J544" s="18"/>
      <c r="K544" s="18"/>
      <c r="L544" s="69">
        <f>SUM(F544:K544)</f>
        <v>522756.32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1161680.72</v>
      </c>
      <c r="I545" s="141">
        <f t="shared" si="40"/>
        <v>0</v>
      </c>
      <c r="J545" s="141">
        <f t="shared" si="40"/>
        <v>0</v>
      </c>
      <c r="K545" s="141">
        <f t="shared" si="40"/>
        <v>0</v>
      </c>
      <c r="L545" s="141">
        <f t="shared" si="40"/>
        <v>1161680.72</v>
      </c>
      <c r="M545" s="8"/>
      <c r="N545" s="165"/>
    </row>
    <row r="546" spans="1:14" s="3" customFormat="1" ht="12.2" customHeight="1" thickTop="1" x14ac:dyDescent="0.15">
      <c r="A546" s="75" t="s">
        <v>72</v>
      </c>
      <c r="B546" s="41">
        <v>21</v>
      </c>
      <c r="C546" s="41">
        <v>21</v>
      </c>
      <c r="D546" s="115" t="s">
        <v>432</v>
      </c>
      <c r="E546" s="41"/>
      <c r="F546" s="70">
        <f>F525+F530+F535+F540+F545</f>
        <v>5842688.6800000006</v>
      </c>
      <c r="G546" s="70">
        <f t="shared" ref="G546:L546" si="41">G525+G530+G535+G540+G545</f>
        <v>3152051.87</v>
      </c>
      <c r="H546" s="70">
        <f t="shared" si="41"/>
        <v>4797627.12</v>
      </c>
      <c r="I546" s="70">
        <f t="shared" si="41"/>
        <v>76681</v>
      </c>
      <c r="J546" s="70">
        <f t="shared" si="41"/>
        <v>41593.17</v>
      </c>
      <c r="K546" s="70">
        <f t="shared" si="41"/>
        <v>6755.77</v>
      </c>
      <c r="L546" s="70">
        <f t="shared" si="41"/>
        <v>13917397.610000001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6161398.3200000012</v>
      </c>
      <c r="G550" s="69">
        <f>L527</f>
        <v>379413.05</v>
      </c>
      <c r="H550" s="69">
        <f>L532</f>
        <v>124385.78</v>
      </c>
      <c r="I550" s="69">
        <f>L537</f>
        <v>11500.79</v>
      </c>
      <c r="J550" s="69">
        <f>L542</f>
        <v>453055.48</v>
      </c>
      <c r="K550" s="69">
        <f>SUM(F550:J550)</f>
        <v>7129753.4200000018</v>
      </c>
      <c r="L550" s="23" t="s">
        <v>288</v>
      </c>
      <c r="M550" s="8"/>
      <c r="N550" s="165"/>
    </row>
    <row r="551" spans="1:14" s="3" customFormat="1" ht="12.2" customHeight="1" x14ac:dyDescent="0.15">
      <c r="A551" s="21" t="s">
        <v>634</v>
      </c>
      <c r="B551" s="22">
        <v>21</v>
      </c>
      <c r="C551" s="22">
        <v>23</v>
      </c>
      <c r="D551" s="2" t="s">
        <v>432</v>
      </c>
      <c r="E551" s="22"/>
      <c r="F551" s="69">
        <f>L523</f>
        <v>1396353.5499999998</v>
      </c>
      <c r="G551" s="69">
        <f>L528</f>
        <v>312633.27999999997</v>
      </c>
      <c r="H551" s="69">
        <f>L533</f>
        <v>51030.07</v>
      </c>
      <c r="I551" s="69">
        <f>L538</f>
        <v>4718.2700000000004</v>
      </c>
      <c r="J551" s="69">
        <f>L543</f>
        <v>185868.92</v>
      </c>
      <c r="K551" s="69">
        <f>SUM(F551:J551)</f>
        <v>1950604.0899999999</v>
      </c>
      <c r="L551" s="23" t="s">
        <v>288</v>
      </c>
      <c r="M551" s="8"/>
      <c r="N551" s="165"/>
    </row>
    <row r="552" spans="1:14" s="3" customFormat="1" ht="12.2" customHeight="1" thickBot="1" x14ac:dyDescent="0.2">
      <c r="A552" s="21" t="s">
        <v>635</v>
      </c>
      <c r="B552" s="22">
        <v>21</v>
      </c>
      <c r="C552" s="22">
        <v>24</v>
      </c>
      <c r="D552" s="2" t="s">
        <v>432</v>
      </c>
      <c r="E552" s="22"/>
      <c r="F552" s="69">
        <f>L524</f>
        <v>3645394.57</v>
      </c>
      <c r="G552" s="69">
        <f>L529</f>
        <v>515096.98999999993</v>
      </c>
      <c r="H552" s="69">
        <f>L534</f>
        <v>140522.08000000002</v>
      </c>
      <c r="I552" s="69">
        <f>L539</f>
        <v>13270.14</v>
      </c>
      <c r="J552" s="69">
        <f>L544</f>
        <v>522756.32</v>
      </c>
      <c r="K552" s="69">
        <f>SUM(F552:J552)</f>
        <v>4837040.0999999996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11203146.440000001</v>
      </c>
      <c r="G553" s="70">
        <f t="shared" si="42"/>
        <v>1207143.3199999998</v>
      </c>
      <c r="H553" s="70">
        <f t="shared" si="42"/>
        <v>315937.93000000005</v>
      </c>
      <c r="I553" s="70">
        <f t="shared" si="42"/>
        <v>29489.200000000001</v>
      </c>
      <c r="J553" s="70">
        <f t="shared" si="42"/>
        <v>1161680.72</v>
      </c>
      <c r="K553" s="70">
        <f t="shared" si="42"/>
        <v>13917397.610000001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112154.28</v>
      </c>
      <c r="G563" s="18">
        <v>60563.31</v>
      </c>
      <c r="H563" s="18"/>
      <c r="I563" s="18">
        <v>653.58000000000004</v>
      </c>
      <c r="J563" s="18"/>
      <c r="K563" s="18"/>
      <c r="L563" s="69">
        <f>SUM(F563:K563)</f>
        <v>173371.16999999998</v>
      </c>
      <c r="M563" s="8"/>
      <c r="N563" s="165"/>
    </row>
    <row r="564" spans="1:14" s="3" customFormat="1" ht="12.2" customHeight="1" x14ac:dyDescent="0.15">
      <c r="A564" s="21" t="s">
        <v>634</v>
      </c>
      <c r="B564" s="22">
        <v>22</v>
      </c>
      <c r="C564" s="22">
        <v>6</v>
      </c>
      <c r="D564" s="2" t="s">
        <v>432</v>
      </c>
      <c r="E564" s="22"/>
      <c r="F564" s="18">
        <v>17702.080000000002</v>
      </c>
      <c r="G564" s="18">
        <v>9559.1200000000008</v>
      </c>
      <c r="H564" s="18"/>
      <c r="I564" s="18"/>
      <c r="J564" s="18"/>
      <c r="K564" s="18"/>
      <c r="L564" s="69">
        <f>SUM(F564:K564)</f>
        <v>27261.200000000004</v>
      </c>
      <c r="M564" s="8"/>
      <c r="N564" s="165"/>
    </row>
    <row r="565" spans="1:14" s="3" customFormat="1" ht="12.2" customHeight="1" thickBot="1" x14ac:dyDescent="0.2">
      <c r="A565" s="21" t="s">
        <v>635</v>
      </c>
      <c r="B565" s="22">
        <v>22</v>
      </c>
      <c r="C565" s="22">
        <v>7</v>
      </c>
      <c r="D565" s="2" t="s">
        <v>432</v>
      </c>
      <c r="E565" s="22"/>
      <c r="F565" s="18">
        <v>18238.25</v>
      </c>
      <c r="G565" s="18">
        <v>9848.66</v>
      </c>
      <c r="H565" s="18"/>
      <c r="I565" s="18"/>
      <c r="J565" s="18"/>
      <c r="K565" s="18"/>
      <c r="L565" s="69">
        <f>SUM(F565:K565)</f>
        <v>28086.91</v>
      </c>
      <c r="M565" s="8"/>
      <c r="N565" s="165"/>
    </row>
    <row r="566" spans="1:14" s="3" customFormat="1" ht="12.2" customHeight="1" thickTop="1" x14ac:dyDescent="0.15">
      <c r="A566" s="97" t="s">
        <v>65</v>
      </c>
      <c r="B566" s="41">
        <v>22</v>
      </c>
      <c r="C566" s="41">
        <v>8</v>
      </c>
      <c r="D566" s="115" t="s">
        <v>432</v>
      </c>
      <c r="E566" s="41"/>
      <c r="F566" s="70">
        <f t="shared" ref="F566:L566" si="44">SUM(F563:F565)</f>
        <v>148094.60999999999</v>
      </c>
      <c r="G566" s="70">
        <f t="shared" si="44"/>
        <v>79971.09</v>
      </c>
      <c r="H566" s="70">
        <f t="shared" si="44"/>
        <v>0</v>
      </c>
      <c r="I566" s="70">
        <f t="shared" si="44"/>
        <v>653.58000000000004</v>
      </c>
      <c r="J566" s="70">
        <f t="shared" si="44"/>
        <v>0</v>
      </c>
      <c r="K566" s="70">
        <f t="shared" si="44"/>
        <v>0</v>
      </c>
      <c r="L566" s="70">
        <f t="shared" si="44"/>
        <v>228719.28</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148094.60999999999</v>
      </c>
      <c r="G572" s="70">
        <f t="shared" ref="G572:L572" si="46">G561+G566+G571</f>
        <v>79971.09</v>
      </c>
      <c r="H572" s="70">
        <f t="shared" si="46"/>
        <v>0</v>
      </c>
      <c r="I572" s="70">
        <f t="shared" si="46"/>
        <v>653.58000000000004</v>
      </c>
      <c r="J572" s="70">
        <f t="shared" si="46"/>
        <v>0</v>
      </c>
      <c r="K572" s="70">
        <f t="shared" si="46"/>
        <v>0</v>
      </c>
      <c r="L572" s="70">
        <f t="shared" si="46"/>
        <v>228719.28</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SUM(F579:H579)</f>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2686.4</v>
      </c>
      <c r="G581" s="18"/>
      <c r="H581" s="18"/>
      <c r="I581" s="69">
        <f t="shared" si="47"/>
        <v>2686.4</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265967.90999999997</v>
      </c>
      <c r="G583" s="18">
        <v>171900.7</v>
      </c>
      <c r="H583" s="18">
        <v>1043846.59</v>
      </c>
      <c r="I583" s="69">
        <f>SUM(F583:H583)</f>
        <v>1481715.2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202292.01</v>
      </c>
      <c r="I584" s="69">
        <f t="shared" si="47"/>
        <v>202292.01</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241191.98</v>
      </c>
      <c r="I585" s="69">
        <f t="shared" si="47"/>
        <v>241191.98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7119</v>
      </c>
      <c r="I587" s="69">
        <f t="shared" si="47"/>
        <v>7119</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941976</v>
      </c>
      <c r="I592" s="18">
        <v>282592.8</v>
      </c>
      <c r="J592" s="18">
        <v>659383.19999999995</v>
      </c>
      <c r="K592" s="80">
        <f t="shared" ref="K592:K598" si="48">SUM(H592:J592)</f>
        <v>1883952</v>
      </c>
      <c r="L592" s="23" t="s">
        <v>288</v>
      </c>
      <c r="M592" s="8"/>
      <c r="N592" s="165"/>
    </row>
    <row r="593" spans="1:14" s="3" customFormat="1" ht="12.2" customHeight="1" x14ac:dyDescent="0.15">
      <c r="A593" s="3" t="s">
        <v>638</v>
      </c>
      <c r="B593" s="22">
        <v>23</v>
      </c>
      <c r="C593" s="22">
        <v>2</v>
      </c>
      <c r="D593" s="2" t="s">
        <v>432</v>
      </c>
      <c r="E593" s="22"/>
      <c r="F593" s="78">
        <v>2722</v>
      </c>
      <c r="G593" s="79" t="s">
        <v>97</v>
      </c>
      <c r="H593" s="18">
        <v>580844.11</v>
      </c>
      <c r="I593" s="18">
        <v>174250.98</v>
      </c>
      <c r="J593" s="18">
        <v>406585.63</v>
      </c>
      <c r="K593" s="80">
        <f t="shared" si="48"/>
        <v>1161680.72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150018.4</v>
      </c>
      <c r="K594" s="80">
        <f t="shared" si="48"/>
        <v>150018.4</v>
      </c>
      <c r="L594" s="23" t="s">
        <v>288</v>
      </c>
      <c r="M594" s="8"/>
      <c r="N594" s="165"/>
    </row>
    <row r="595" spans="1:14" s="3" customFormat="1" ht="12.2" customHeight="1" x14ac:dyDescent="0.15">
      <c r="A595" s="21" t="s">
        <v>640</v>
      </c>
      <c r="B595" s="22">
        <v>23</v>
      </c>
      <c r="C595" s="22">
        <v>4</v>
      </c>
      <c r="D595" s="2" t="s">
        <v>432</v>
      </c>
      <c r="E595" s="22"/>
      <c r="F595" s="78">
        <v>2724</v>
      </c>
      <c r="G595" s="79" t="s">
        <v>97</v>
      </c>
      <c r="H595" s="18">
        <v>6500.13</v>
      </c>
      <c r="I595" s="18">
        <v>17102.43</v>
      </c>
      <c r="J595" s="18">
        <v>113642.8</v>
      </c>
      <c r="K595" s="80">
        <f t="shared" si="48"/>
        <v>137245.36000000002</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11461.65</v>
      </c>
      <c r="K596" s="80">
        <f t="shared" si="48"/>
        <v>11461.65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1529320.2399999998</v>
      </c>
      <c r="I599" s="81">
        <f>SUM(I592:I598)</f>
        <v>473946.21</v>
      </c>
      <c r="J599" s="81">
        <f>SUM(J592:J598)</f>
        <v>1341091.68</v>
      </c>
      <c r="K599" s="81">
        <f>SUM(K592:K598)</f>
        <v>3344358.1299999994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233994.48</v>
      </c>
      <c r="I605" s="18">
        <v>121607.31</v>
      </c>
      <c r="J605" s="18">
        <v>520093.32</v>
      </c>
      <c r="K605" s="80">
        <f>SUM(H605:J605)</f>
        <v>875695.1100000001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233994.48</v>
      </c>
      <c r="I606" s="81">
        <f>SUM(I603:I605)</f>
        <v>121607.31</v>
      </c>
      <c r="J606" s="81">
        <f>SUM(J603:J605)</f>
        <v>520093.32</v>
      </c>
      <c r="K606" s="81">
        <f>SUM(K603:K605)</f>
        <v>875695.1100000001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36560</v>
      </c>
      <c r="G612" s="18">
        <v>5663.96</v>
      </c>
      <c r="H612" s="18"/>
      <c r="I612" s="18"/>
      <c r="J612" s="18"/>
      <c r="K612" s="18"/>
      <c r="L612" s="69">
        <f>SUM(F612:K612)</f>
        <v>42223.96</v>
      </c>
      <c r="M612" s="8"/>
      <c r="N612" s="165"/>
    </row>
    <row r="613" spans="1:14" s="3" customFormat="1" ht="12.2" customHeight="1" x14ac:dyDescent="0.15">
      <c r="A613" s="21" t="s">
        <v>634</v>
      </c>
      <c r="B613" s="22">
        <v>23</v>
      </c>
      <c r="C613" s="22">
        <v>14</v>
      </c>
      <c r="D613" s="2" t="s">
        <v>432</v>
      </c>
      <c r="E613" s="22"/>
      <c r="F613" s="18">
        <v>960</v>
      </c>
      <c r="G613" s="18">
        <v>73.44</v>
      </c>
      <c r="H613" s="18"/>
      <c r="I613" s="18"/>
      <c r="J613" s="18"/>
      <c r="K613" s="18"/>
      <c r="L613" s="69">
        <f>SUM(F613:K613)</f>
        <v>1033.44</v>
      </c>
      <c r="M613" s="8"/>
      <c r="N613" s="165"/>
    </row>
    <row r="614" spans="1:14" s="3" customFormat="1" ht="12.2" customHeight="1" thickBot="1" x14ac:dyDescent="0.2">
      <c r="A614" s="21" t="s">
        <v>645</v>
      </c>
      <c r="B614" s="22">
        <v>23</v>
      </c>
      <c r="C614" s="22">
        <v>15</v>
      </c>
      <c r="D614" s="2" t="s">
        <v>432</v>
      </c>
      <c r="E614" s="22"/>
      <c r="F614" s="18">
        <v>23660</v>
      </c>
      <c r="G614" s="18">
        <v>7098</v>
      </c>
      <c r="H614" s="18"/>
      <c r="I614" s="18"/>
      <c r="J614" s="18"/>
      <c r="K614" s="18"/>
      <c r="L614" s="69">
        <f>SUM(F614:K614)</f>
        <v>30758</v>
      </c>
      <c r="M614" s="8"/>
      <c r="N614" s="165"/>
    </row>
    <row r="615" spans="1:14" s="3" customFormat="1" ht="12.2" customHeight="1" thickTop="1" x14ac:dyDescent="0.15">
      <c r="A615" s="75" t="s">
        <v>340</v>
      </c>
      <c r="B615" s="41">
        <v>23</v>
      </c>
      <c r="C615" s="41">
        <v>16</v>
      </c>
      <c r="D615" s="36" t="s">
        <v>432</v>
      </c>
      <c r="E615" s="41"/>
      <c r="F615" s="81">
        <f t="shared" ref="F615:L615" si="49">SUM(F612:F614)</f>
        <v>61180</v>
      </c>
      <c r="G615" s="81">
        <f t="shared" si="49"/>
        <v>12835.4</v>
      </c>
      <c r="H615" s="81">
        <f t="shared" si="49"/>
        <v>0</v>
      </c>
      <c r="I615" s="81">
        <f t="shared" si="49"/>
        <v>0</v>
      </c>
      <c r="J615" s="81">
        <f t="shared" si="49"/>
        <v>0</v>
      </c>
      <c r="K615" s="81">
        <f t="shared" si="49"/>
        <v>0</v>
      </c>
      <c r="L615" s="70">
        <f t="shared" si="49"/>
        <v>74015.399999999994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3016935.49</v>
      </c>
      <c r="H618" s="80">
        <f>SUM(F52)</f>
        <v>3016935.49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651899.76</v>
      </c>
      <c r="H619" s="80">
        <f>SUM(G52)</f>
        <v>651899.76</v>
      </c>
      <c r="I619" s="87" t="s">
        <v>875</v>
      </c>
      <c r="J619" s="80">
        <f>G619-H619</f>
        <v>0</v>
      </c>
      <c r="K619" s="80"/>
      <c r="L619" s="80"/>
      <c r="M619" s="8"/>
    </row>
    <row r="620" spans="1:14" s="3" customFormat="1" ht="12.2" customHeight="1" x14ac:dyDescent="0.15">
      <c r="A620" s="74"/>
      <c r="B620" s="22"/>
      <c r="C620" s="22"/>
      <c r="D620" s="22"/>
      <c r="E620" s="22"/>
      <c r="F620" s="87" t="s">
        <v>685</v>
      </c>
      <c r="G620" s="80">
        <f>SUM(H19)</f>
        <v>529624.9</v>
      </c>
      <c r="H620" s="80">
        <f>SUM(H52)</f>
        <v>529624.9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1407911.27</v>
      </c>
      <c r="H622" s="80">
        <f>SUM(J52)</f>
        <v>1407911.27</v>
      </c>
      <c r="I622" s="87" t="s">
        <v>878</v>
      </c>
      <c r="J622" s="80">
        <f>G622-H622</f>
        <v>0</v>
      </c>
      <c r="K622" s="80"/>
      <c r="L622" s="80"/>
      <c r="M622" s="8"/>
    </row>
    <row r="623" spans="1:14" s="3" customFormat="1" ht="12.2" customHeight="1" x14ac:dyDescent="0.15">
      <c r="A623" s="74"/>
      <c r="B623" s="22"/>
      <c r="C623" s="22"/>
      <c r="D623" s="22"/>
      <c r="E623" s="22"/>
      <c r="F623" s="87" t="s">
        <v>864</v>
      </c>
      <c r="G623" s="80">
        <f>F51</f>
        <v>2363168.98</v>
      </c>
      <c r="H623" s="80">
        <f>F477</f>
        <v>2363168.9829999879</v>
      </c>
      <c r="I623" s="87" t="s">
        <v>101</v>
      </c>
      <c r="J623" s="80">
        <f t="shared" ref="J623:J656" si="50">G623-H623</f>
        <v>-2.9999879188835621E-3</v>
      </c>
      <c r="K623" s="80"/>
      <c r="L623" s="80"/>
      <c r="M623" s="8"/>
    </row>
    <row r="624" spans="1:14" s="3" customFormat="1" ht="12.2" customHeight="1" x14ac:dyDescent="0.15">
      <c r="A624" s="74"/>
      <c r="B624" s="22"/>
      <c r="C624" s="85"/>
      <c r="D624" s="85"/>
      <c r="E624" s="85"/>
      <c r="F624" s="85" t="s">
        <v>865</v>
      </c>
      <c r="G624" s="80">
        <f>G51</f>
        <v>590039.43000000005</v>
      </c>
      <c r="H624" s="80">
        <f>G477</f>
        <v>590039.42999999993</v>
      </c>
      <c r="I624" s="87" t="s">
        <v>102</v>
      </c>
      <c r="J624" s="80">
        <f t="shared" si="50"/>
        <v>0</v>
      </c>
      <c r="K624" s="80"/>
      <c r="L624" s="80"/>
      <c r="M624" s="8"/>
    </row>
    <row r="625" spans="1:13" s="3" customFormat="1" ht="12.2" customHeight="1" x14ac:dyDescent="0.15">
      <c r="A625" s="74"/>
      <c r="B625" s="22"/>
      <c r="C625" s="22"/>
      <c r="D625" s="22"/>
      <c r="E625" s="22"/>
      <c r="F625" s="86" t="s">
        <v>866</v>
      </c>
      <c r="G625" s="80">
        <f>H51</f>
        <v>303356.14</v>
      </c>
      <c r="H625" s="80">
        <f>H477</f>
        <v>303356.14000000036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1407911.27</v>
      </c>
      <c r="H627" s="80">
        <f>J477</f>
        <v>1407911.27</v>
      </c>
      <c r="I627" s="87" t="s">
        <v>105</v>
      </c>
      <c r="J627" s="80">
        <f t="shared" si="50"/>
        <v>0</v>
      </c>
      <c r="K627" s="67"/>
      <c r="L627" s="69"/>
      <c r="M627" s="8"/>
    </row>
    <row r="628" spans="1:13" s="3" customFormat="1" ht="12.2" customHeight="1" x14ac:dyDescent="0.15">
      <c r="A628" s="21"/>
      <c r="B628" s="22"/>
      <c r="C628" s="22"/>
      <c r="D628" s="22"/>
      <c r="E628" s="22"/>
      <c r="F628" s="86" t="s">
        <v>658</v>
      </c>
      <c r="G628" s="80">
        <f>F194</f>
        <v>59854253.950000003</v>
      </c>
      <c r="H628" s="80">
        <f>SUM(F469)</f>
        <v>59854253.950000003</v>
      </c>
      <c r="I628" s="87" t="s">
        <v>106</v>
      </c>
      <c r="J628" s="80">
        <f>G628-H628</f>
        <v>0</v>
      </c>
      <c r="K628" s="67"/>
      <c r="L628" s="69"/>
      <c r="M628" s="8"/>
    </row>
    <row r="629" spans="1:13" s="3" customFormat="1" ht="12.2" customHeight="1" x14ac:dyDescent="0.15">
      <c r="A629" s="21"/>
      <c r="B629" s="22"/>
      <c r="C629" s="22"/>
      <c r="D629" s="22"/>
      <c r="E629" s="22"/>
      <c r="F629" s="86" t="s">
        <v>659</v>
      </c>
      <c r="G629" s="80">
        <f>G194</f>
        <v>1198434.3999999999</v>
      </c>
      <c r="H629" s="80">
        <f>SUM(G469)</f>
        <v>1198434.3999999999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1258507.0899999999</v>
      </c>
      <c r="H630" s="80">
        <f>SUM(H469)</f>
        <v>1258507.0900000001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575531.76</v>
      </c>
      <c r="H632" s="80">
        <f>SUM(J469)</f>
        <v>575531.76</v>
      </c>
      <c r="I632" s="87" t="s">
        <v>110</v>
      </c>
      <c r="J632" s="80">
        <f>G632-H632</f>
        <v>0</v>
      </c>
      <c r="K632" s="67"/>
      <c r="L632" s="69"/>
      <c r="M632" s="8"/>
    </row>
    <row r="633" spans="1:13" s="3" customFormat="1" ht="12.2" customHeight="1" x14ac:dyDescent="0.15">
      <c r="A633" s="21"/>
      <c r="B633" s="22"/>
      <c r="C633" s="22"/>
      <c r="D633" s="22"/>
      <c r="E633" s="22"/>
      <c r="F633" s="86" t="s">
        <v>394</v>
      </c>
      <c r="G633" s="80">
        <f>SUM(L272)</f>
        <v>60203434.797000013</v>
      </c>
      <c r="H633" s="80">
        <f>SUM(F473)</f>
        <v>60203434.797000013</v>
      </c>
      <c r="I633" s="87" t="s">
        <v>111</v>
      </c>
      <c r="J633" s="80">
        <f t="shared" si="50"/>
        <v>0</v>
      </c>
      <c r="K633" s="67"/>
      <c r="L633" s="69"/>
      <c r="M633" s="8"/>
    </row>
    <row r="634" spans="1:13" s="3" customFormat="1" ht="12.2" customHeight="1" x14ac:dyDescent="0.15">
      <c r="A634" s="21"/>
      <c r="B634" s="22"/>
      <c r="C634" s="22"/>
      <c r="D634" s="22"/>
      <c r="E634" s="22"/>
      <c r="F634" s="86" t="s">
        <v>395</v>
      </c>
      <c r="G634" s="80">
        <f>SUM(L353)</f>
        <v>1669918.9099999997</v>
      </c>
      <c r="H634" s="80">
        <f>SUM(H473)</f>
        <v>1669918.91</v>
      </c>
      <c r="I634" s="87" t="s">
        <v>112</v>
      </c>
      <c r="J634" s="80">
        <f>G634-H634</f>
        <v>0</v>
      </c>
      <c r="K634" s="67"/>
      <c r="L634" s="69"/>
      <c r="M634" s="8"/>
    </row>
    <row r="635" spans="1:13" s="124" customFormat="1" ht="12.2" customHeight="1" x14ac:dyDescent="0.15">
      <c r="A635" s="21"/>
      <c r="B635" s="22"/>
      <c r="C635" s="22"/>
      <c r="D635" s="22"/>
      <c r="E635" s="22"/>
      <c r="F635" s="99" t="s">
        <v>247</v>
      </c>
      <c r="G635" s="80">
        <f>I363</f>
        <v>482704.02</v>
      </c>
      <c r="H635" s="80">
        <f>I370</f>
        <v>482704.02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1096122.1600000001</v>
      </c>
      <c r="H636" s="80">
        <f>SUM(G473)</f>
        <v>1096122.1599999999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575531.76</v>
      </c>
      <c r="H638" s="108">
        <f>SUM(J469)</f>
        <v>575531.76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994381.73</v>
      </c>
      <c r="H640" s="80">
        <f>SUM(F462)</f>
        <v>994381.73</v>
      </c>
      <c r="I640" s="87" t="s">
        <v>840</v>
      </c>
      <c r="J640" s="80">
        <f t="shared" si="50"/>
        <v>0</v>
      </c>
      <c r="K640" s="67"/>
      <c r="L640" s="69"/>
      <c r="M640" s="8"/>
    </row>
    <row r="641" spans="1:13" s="3" customFormat="1" ht="12.2" customHeight="1" x14ac:dyDescent="0.15">
      <c r="A641" s="21"/>
      <c r="B641" s="22"/>
      <c r="C641" s="22"/>
      <c r="D641" s="22"/>
      <c r="E641" s="22"/>
      <c r="F641" s="86" t="s">
        <v>119</v>
      </c>
      <c r="G641" s="80">
        <f>SUM(G447)</f>
        <v>413529.54</v>
      </c>
      <c r="H641" s="80">
        <f>SUM(G462)</f>
        <v>413529.54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1407911.27</v>
      </c>
      <c r="H643" s="80">
        <f>SUM(I462)</f>
        <v>1407911.27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25531.759999999998</v>
      </c>
      <c r="H645" s="80">
        <f>H409</f>
        <v>25531.759999999998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550000</v>
      </c>
      <c r="H646" s="80">
        <f>G409</f>
        <v>550000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575531.76</v>
      </c>
      <c r="H647" s="80">
        <f>L409</f>
        <v>575531.76</v>
      </c>
      <c r="I647" s="87" t="s">
        <v>477</v>
      </c>
      <c r="J647" s="80">
        <f t="shared" si="50"/>
        <v>0</v>
      </c>
      <c r="K647" s="67"/>
      <c r="L647" s="69"/>
      <c r="M647" s="8"/>
    </row>
    <row r="648" spans="1:13" s="3" customFormat="1" ht="12.2" customHeight="1" x14ac:dyDescent="0.15">
      <c r="A648" s="21"/>
      <c r="B648" s="22"/>
      <c r="C648" s="22"/>
      <c r="D648" s="22"/>
      <c r="E648" s="22"/>
      <c r="F648" s="86" t="s">
        <v>51</v>
      </c>
      <c r="G648" s="80">
        <f>K599</f>
        <v>3344358.1299999994</v>
      </c>
      <c r="H648" s="80">
        <f>L209+L227+L245</f>
        <v>3344358.13</v>
      </c>
      <c r="I648" s="87" t="s">
        <v>396</v>
      </c>
      <c r="J648" s="80">
        <f t="shared" si="50"/>
        <v>0</v>
      </c>
      <c r="K648" s="67"/>
      <c r="L648" s="69"/>
      <c r="M648" s="8"/>
    </row>
    <row r="649" spans="1:13" s="3" customFormat="1" ht="12.2" customHeight="1" x14ac:dyDescent="0.15">
      <c r="A649" s="21"/>
      <c r="B649" s="22"/>
      <c r="C649" s="22"/>
      <c r="D649" s="22"/>
      <c r="E649" s="22"/>
      <c r="F649" s="86" t="s">
        <v>52</v>
      </c>
      <c r="G649" s="80">
        <f>K606</f>
        <v>875695.1100000001</v>
      </c>
      <c r="H649" s="80">
        <f>(J258+J339)-(J256+J337)</f>
        <v>875695.1100000001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1529320.24</v>
      </c>
      <c r="H650" s="80">
        <f>H599</f>
        <v>1529320.2399999998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473946.21</v>
      </c>
      <c r="H651" s="80">
        <f>I599</f>
        <v>473946.21</v>
      </c>
      <c r="I651" s="87" t="s">
        <v>389</v>
      </c>
      <c r="J651" s="80">
        <f t="shared" si="50"/>
        <v>0</v>
      </c>
      <c r="K651" s="67"/>
      <c r="L651" s="69"/>
      <c r="M651" s="8"/>
    </row>
    <row r="652" spans="1:13" s="3" customFormat="1" ht="12.2" customHeight="1" x14ac:dyDescent="0.15">
      <c r="A652" s="21"/>
      <c r="B652" s="22"/>
      <c r="C652" s="22"/>
      <c r="D652" s="22"/>
      <c r="E652" s="22"/>
      <c r="F652" s="86" t="s">
        <v>393</v>
      </c>
      <c r="G652" s="80">
        <f>L245</f>
        <v>1341091.68</v>
      </c>
      <c r="H652" s="80">
        <f>J599</f>
        <v>1341091.68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550000</v>
      </c>
      <c r="H656" s="80">
        <f>K267+K348</f>
        <v>550000</v>
      </c>
      <c r="I656" s="87" t="s">
        <v>400</v>
      </c>
      <c r="J656" s="80">
        <f t="shared" si="50"/>
        <v>0</v>
      </c>
      <c r="K656" s="67"/>
      <c r="L656" s="69"/>
      <c r="M656" s="9"/>
    </row>
    <row r="657" spans="1:13" s="3" customFormat="1" ht="12.2" customHeight="1" x14ac:dyDescent="0.15">
      <c r="F657" s="25" t="s">
        <v>122</v>
      </c>
      <c r="G657" s="13"/>
      <c r="H657" s="80">
        <f>SUM(G618:G656)-SUM(H618:H656)</f>
        <v>-2.9999911785125732E-3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26990607.640000004</v>
      </c>
      <c r="G661" s="13">
        <f>(L230+L310+L360)</f>
        <v>9120111.8000000007</v>
      </c>
      <c r="H661" s="13">
        <f>(L248+L329+L361)</f>
        <v>20697989.607000001</v>
      </c>
      <c r="I661" s="13">
        <f>SUM(F661:H661)</f>
        <v>56808709.047000006</v>
      </c>
      <c r="J661" s="13"/>
      <c r="K661" s="13"/>
      <c r="L661" s="13"/>
      <c r="M661" s="9"/>
    </row>
    <row r="662" spans="1:13" s="3" customFormat="1" ht="12.2" customHeight="1" x14ac:dyDescent="0.2">
      <c r="A662" s="1" t="s">
        <v>127</v>
      </c>
      <c r="F662" s="13">
        <f>(L359/IF(SUM(L359:L361)=0,1,SUM(L359:L361))*(SUM(G97:G110)))</f>
        <v>377040.07611779828</v>
      </c>
      <c r="G662" s="13">
        <f>(L360/IF(SUM(L359:L361)=0,1,SUM(L359:L361))*(SUM(G97:G110)))</f>
        <v>113866.45758813641</v>
      </c>
      <c r="H662" s="13">
        <f>(L361/IF(SUM(L359:L361)=0,1,SUM(L359:L361))*(SUM(G97:G110)))</f>
        <v>275459.51629406528</v>
      </c>
      <c r="I662" s="13">
        <f>SUM(F662:H662)</f>
        <v>766366.05</v>
      </c>
      <c r="J662"/>
      <c r="K662" s="13"/>
      <c r="L662" s="13"/>
      <c r="M662" s="8"/>
    </row>
    <row r="663" spans="1:13" s="3" customFormat="1" ht="12.2" customHeight="1" x14ac:dyDescent="0.2">
      <c r="A663" s="1" t="s">
        <v>128</v>
      </c>
      <c r="F663" s="13">
        <f>(L209+L288)-(J209+J288)</f>
        <v>1529320.24</v>
      </c>
      <c r="G663" s="13">
        <f>(L227+L307)-(J227+J307)</f>
        <v>473946.21</v>
      </c>
      <c r="H663" s="13">
        <f>(L245+L326)-(J245+J326)</f>
        <v>1341091.68</v>
      </c>
      <c r="I663" s="13">
        <f>SUM(F663:H663)</f>
        <v>3344358.13</v>
      </c>
      <c r="J663"/>
      <c r="K663" s="13"/>
      <c r="L663" s="13"/>
      <c r="M663" s="9"/>
    </row>
    <row r="664" spans="1:13" s="3" customFormat="1" ht="12.2" customHeight="1" x14ac:dyDescent="0.15">
      <c r="A664" s="142" t="s">
        <v>129</v>
      </c>
      <c r="B664" s="124"/>
      <c r="C664" s="124"/>
      <c r="D664" s="124"/>
      <c r="E664" s="124"/>
      <c r="F664" s="143">
        <f>SUM(F576:F588)+SUM(H603:H605)+SUM(L612)</f>
        <v>544872.75</v>
      </c>
      <c r="G664" s="143">
        <f>SUM(G576:G588)+SUM(I603:I605)+L613</f>
        <v>294541.45</v>
      </c>
      <c r="H664" s="143">
        <f>SUM(H576:H588)+SUM(J603:J605)+L614</f>
        <v>2045300.9000000001</v>
      </c>
      <c r="I664" s="13">
        <f>SUM(F664:H664)</f>
        <v>2884715.1</v>
      </c>
      <c r="J664" s="13"/>
      <c r="K664" s="13"/>
      <c r="L664" s="13"/>
      <c r="M664" s="9"/>
    </row>
    <row r="665" spans="1:13" s="3" customFormat="1" ht="12.2" customHeight="1" x14ac:dyDescent="0.15">
      <c r="A665" s="1" t="s">
        <v>130</v>
      </c>
      <c r="F665" s="13">
        <f>F661-SUM(F662:F664)</f>
        <v>24539374.573882207</v>
      </c>
      <c r="G665" s="13">
        <f>G661-SUM(G662:G664)</f>
        <v>8237757.6824118644</v>
      </c>
      <c r="H665" s="13">
        <f>H661-SUM(H662:H664)</f>
        <v>17036137.510705937</v>
      </c>
      <c r="I665" s="13">
        <f>I661-SUM(I662:I664)</f>
        <v>49813269.767000005</v>
      </c>
      <c r="J665" s="13"/>
      <c r="K665" s="13"/>
      <c r="L665" s="13"/>
      <c r="M665" s="8"/>
    </row>
    <row r="666" spans="1:13" s="3" customFormat="1" ht="12.2" customHeight="1" x14ac:dyDescent="0.2">
      <c r="A666" s="1" t="s">
        <v>131</v>
      </c>
      <c r="F666" s="183">
        <v>1486.64</v>
      </c>
      <c r="G666" s="184">
        <v>443.93</v>
      </c>
      <c r="H666" s="184">
        <v>1046.69</v>
      </c>
      <c r="I666" s="13">
        <f>SUM(F666:H666)</f>
        <v>2977.26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16506.599999999999</v>
      </c>
      <c r="G668" s="13">
        <f>ROUND(G665/G666,2)</f>
        <v>18556.43</v>
      </c>
      <c r="H668" s="13">
        <f>ROUND(H665/H666,2)</f>
        <v>16276.2</v>
      </c>
      <c r="I668" s="13">
        <f>ROUND(I665/I666,2)</f>
        <v>16731.25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-40.549999999999997</v>
      </c>
      <c r="I671" s="13">
        <f>SUM(F671:H671)</f>
        <v>-40.549999999999997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16506.599999999999</v>
      </c>
      <c r="G673" s="13">
        <f>ROUND((G665+G670)/(G666+G671),2)</f>
        <v>18556.43</v>
      </c>
      <c r="H673" s="13">
        <f>ROUND((H665+H670)/(H666+H671),2)</f>
        <v>16932.169999999998</v>
      </c>
      <c r="I673" s="13">
        <f>ROUND((I665+I670)/(I666+I671),2)</f>
        <v>16962.27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70215.679999999993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23802.639999999999</v>
      </c>
      <c r="F9" s="272" t="s">
        <v>1627</v>
      </c>
    </row>
    <row r="10" spans="2:8" x14ac:dyDescent="0.25">
      <c r="B10" s="271"/>
      <c r="C10" s="271"/>
      <c r="D10" s="271"/>
      <c r="E10" s="271"/>
      <c r="F10" s="271"/>
    </row>
    <row r="11" spans="2:8" x14ac:dyDescent="0.25">
      <c r="B11" s="271"/>
      <c r="C11" s="275" t="s">
        <v>1631</v>
      </c>
      <c r="D11" s="272" t="s">
        <v>1634</v>
      </c>
      <c r="E11" s="260">
        <v>8485.34</v>
      </c>
      <c r="F11" s="272" t="s">
        <v>1628</v>
      </c>
    </row>
    <row r="12" spans="2:8" x14ac:dyDescent="0.25">
      <c r="B12" s="271"/>
      <c r="C12" s="271"/>
      <c r="D12" s="272"/>
      <c r="E12" s="271"/>
      <c r="F12" s="271"/>
    </row>
    <row r="13" spans="2:8" x14ac:dyDescent="0.25">
      <c r="B13" s="271"/>
      <c r="C13" s="272" t="s">
        <v>1621</v>
      </c>
      <c r="D13" s="272" t="s">
        <v>1635</v>
      </c>
      <c r="E13" s="260">
        <v>37927.699999999997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9"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Windham</v>
      </c>
      <c r="C5" s="317"/>
      <c r="D5" s="317"/>
      <c r="E5" s="317"/>
      <c r="F5" s="317"/>
    </row>
    <row r="8" spans="1:9" ht="18" x14ac:dyDescent="0.25">
      <c r="A8" s="240" t="s">
        <v>1560</v>
      </c>
      <c r="F8" s="247" t="s">
        <v>1578</v>
      </c>
    </row>
    <row r="9" spans="1:9" ht="15" x14ac:dyDescent="0.2">
      <c r="A9" s="238" t="s">
        <v>1561</v>
      </c>
      <c r="B9" s="241">
        <f>'DOE25'!G97</f>
        <v>764185</v>
      </c>
      <c r="F9" s="238" t="s">
        <v>1574</v>
      </c>
    </row>
    <row r="10" spans="1:9" ht="15" x14ac:dyDescent="0.2">
      <c r="A10" s="238" t="s">
        <v>1562</v>
      </c>
      <c r="B10" s="241">
        <f>'DOE25'!G112-'DOE25'!G97</f>
        <v>2181.0500000000466</v>
      </c>
      <c r="F10" s="238" t="s">
        <v>1575</v>
      </c>
    </row>
    <row r="11" spans="1:9" ht="15" x14ac:dyDescent="0.2">
      <c r="A11" s="238" t="s">
        <v>1563</v>
      </c>
      <c r="B11" s="241">
        <f>'DOE25'!G140</f>
        <v>12865.73</v>
      </c>
      <c r="F11" s="238" t="s">
        <v>1576</v>
      </c>
    </row>
    <row r="12" spans="1:9" ht="15" x14ac:dyDescent="0.2">
      <c r="A12" s="238" t="s">
        <v>1564</v>
      </c>
      <c r="B12" s="241">
        <f>'DOE25'!G170</f>
        <v>419202.62</v>
      </c>
      <c r="F12" s="238" t="s">
        <v>1577</v>
      </c>
    </row>
    <row r="13" spans="1:9" ht="15" x14ac:dyDescent="0.2">
      <c r="A13" s="238" t="s">
        <v>1565</v>
      </c>
      <c r="B13" s="241">
        <f>'DOE25'!G193-'DOE25'!G180</f>
        <v>0</v>
      </c>
      <c r="F13" s="238" t="s">
        <v>1587</v>
      </c>
    </row>
    <row r="14" spans="1:9" ht="18" x14ac:dyDescent="0.25">
      <c r="A14" s="240" t="s">
        <v>732</v>
      </c>
      <c r="B14" s="242">
        <f>SUM(B9:B13)</f>
        <v>1198434.3999999999</v>
      </c>
    </row>
    <row r="16" spans="1:9" ht="18" x14ac:dyDescent="0.25">
      <c r="A16" s="240" t="s">
        <v>786</v>
      </c>
      <c r="F16" s="247" t="s">
        <v>1579</v>
      </c>
    </row>
    <row r="17" spans="1:6" ht="15" x14ac:dyDescent="0.2">
      <c r="A17" s="238" t="s">
        <v>1566</v>
      </c>
      <c r="B17" s="241">
        <f>'DOE25'!L363-'DOE25'!L362</f>
        <v>1096122.1600000001</v>
      </c>
      <c r="F17" s="238" t="s">
        <v>1580</v>
      </c>
    </row>
    <row r="18" spans="1:6" ht="15" x14ac:dyDescent="0.2">
      <c r="A18" s="238" t="s">
        <v>1567</v>
      </c>
      <c r="B18" s="251"/>
      <c r="F18" s="247" t="s">
        <v>1604</v>
      </c>
    </row>
    <row r="19" spans="1:6" ht="18" x14ac:dyDescent="0.25">
      <c r="A19" s="240" t="s">
        <v>725</v>
      </c>
      <c r="B19" s="242">
        <f>SUM(B17:B18)</f>
        <v>1096122.1600000001</v>
      </c>
    </row>
    <row r="21" spans="1:6" ht="18.75" thickBot="1" x14ac:dyDescent="0.3">
      <c r="A21" s="240" t="s">
        <v>1568</v>
      </c>
    </row>
    <row r="22" spans="1:6" ht="18.75" thickTop="1" x14ac:dyDescent="0.25">
      <c r="A22" s="240" t="s">
        <v>1569</v>
      </c>
      <c r="B22" s="246">
        <f>B14-B19</f>
        <v>102312.23999999976</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489622.36</v>
      </c>
      <c r="F31" s="238" t="s">
        <v>1584</v>
      </c>
    </row>
    <row r="33" spans="1:6" ht="15" x14ac:dyDescent="0.2">
      <c r="A33" s="238" t="s">
        <v>1798</v>
      </c>
      <c r="B33" s="241">
        <f>'DOE25'!G477</f>
        <v>590039.42999999993</v>
      </c>
      <c r="F33" s="238" t="s">
        <v>1585</v>
      </c>
    </row>
    <row r="36" spans="1:6" ht="15" x14ac:dyDescent="0.2">
      <c r="A36" s="238" t="s">
        <v>1571</v>
      </c>
      <c r="B36" s="252">
        <v>70002.62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40" sqref="A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Windham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13018569.82</v>
      </c>
      <c r="C9" s="167">
        <f>'DOE25'!G198+'DOE25'!G216+'DOE25'!G234+'DOE25'!G277+'DOE25'!G296+'DOE25'!G315</f>
        <v>7082391.7600000007</v>
      </c>
    </row>
    <row r="10" spans="1:3" x14ac:dyDescent="0.2">
      <c r="A10" t="s">
        <v>775</v>
      </c>
      <c r="B10" s="177">
        <v>13016316.460000001</v>
      </c>
      <c r="C10" s="177">
        <v>7082121.2800000003</v>
      </c>
    </row>
    <row r="11" spans="1:3" x14ac:dyDescent="0.2">
      <c r="A11" t="s">
        <v>776</v>
      </c>
      <c r="B11" s="177">
        <v>2253.36</v>
      </c>
      <c r="C11" s="177">
        <v>270.48</v>
      </c>
    </row>
    <row r="12" spans="1:3" x14ac:dyDescent="0.2">
      <c r="A12" t="s">
        <v>777</v>
      </c>
      <c r="B12" s="177"/>
      <c r="C12" s="177"/>
    </row>
    <row r="13" spans="1:3" x14ac:dyDescent="0.2">
      <c r="A13" t="str">
        <f>IF(B9=B13,IF(C9=C13,"Check Total OK","Check Total Error"),"Check Total Error")</f>
        <v>Check Total OK</v>
      </c>
      <c r="B13" s="169">
        <f>SUM(B10:B12)</f>
        <v>13018569.82</v>
      </c>
      <c r="C13" s="169">
        <f>SUM(C10:C12)</f>
        <v>7082391.7600000007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4552720.1099999994</v>
      </c>
      <c r="C18" s="167">
        <f>'DOE25'!G199+'DOE25'!G217+'DOE25'!G235+'DOE25'!G278+'DOE25'!G297+'DOE25'!G316</f>
        <v>2516138.9699999997</v>
      </c>
    </row>
    <row r="19" spans="1:3" x14ac:dyDescent="0.2">
      <c r="A19" t="s">
        <v>775</v>
      </c>
      <c r="B19" s="177">
        <v>2090796.08</v>
      </c>
      <c r="C19" s="177">
        <v>1667138.97</v>
      </c>
    </row>
    <row r="20" spans="1:3" x14ac:dyDescent="0.2">
      <c r="A20" t="s">
        <v>776</v>
      </c>
      <c r="B20" s="177">
        <v>1830634.9</v>
      </c>
      <c r="C20" s="177">
        <v>366116.19</v>
      </c>
    </row>
    <row r="21" spans="1:3" x14ac:dyDescent="0.2">
      <c r="A21" t="s">
        <v>777</v>
      </c>
      <c r="B21" s="177">
        <v>631289.13</v>
      </c>
      <c r="C21" s="177">
        <v>482883.81</v>
      </c>
    </row>
    <row r="22" spans="1:3" x14ac:dyDescent="0.2">
      <c r="A22" t="str">
        <f>IF(B18=B22,IF(C18=C22,"Check Total OK","Check Total Error"),"Check Total Error")</f>
        <v>Check Total OK</v>
      </c>
      <c r="B22" s="169">
        <f>SUM(B19:B21)</f>
        <v>4552720.1100000003</v>
      </c>
      <c r="C22" s="169">
        <f>SUM(C19:C21)</f>
        <v>2516138.9699999997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20"/>
      <c r="C28" s="20"/>
    </row>
    <row r="29" spans="1:3" x14ac:dyDescent="0.2">
      <c r="A29" t="s">
        <v>776</v>
      </c>
      <c r="B29" s="20"/>
      <c r="C29" s="20"/>
    </row>
    <row r="30" spans="1:3" x14ac:dyDescent="0.2">
      <c r="A30" t="s">
        <v>777</v>
      </c>
      <c r="B30" s="20"/>
      <c r="C30" s="20"/>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754291.83000000007</v>
      </c>
      <c r="C36" s="173">
        <f>'DOE25'!G201+'DOE25'!G219+'DOE25'!G237+'DOE25'!G280+'DOE25'!G299+'DOE25'!G318</f>
        <v>364186.63999999996</v>
      </c>
    </row>
    <row r="37" spans="1:3" x14ac:dyDescent="0.2">
      <c r="A37" t="s">
        <v>775</v>
      </c>
      <c r="B37" s="177">
        <v>62010</v>
      </c>
      <c r="C37" s="177">
        <v>51739.54</v>
      </c>
    </row>
    <row r="38" spans="1:3" x14ac:dyDescent="0.2">
      <c r="A38" t="s">
        <v>776</v>
      </c>
      <c r="B38" s="177">
        <v>95415</v>
      </c>
      <c r="C38" s="177">
        <v>14312.35</v>
      </c>
    </row>
    <row r="39" spans="1:3" x14ac:dyDescent="0.2">
      <c r="A39" t="s">
        <v>777</v>
      </c>
      <c r="B39" s="177">
        <v>596866.82999999996</v>
      </c>
      <c r="C39" s="177">
        <v>298134.75</v>
      </c>
    </row>
    <row r="40" spans="1:3" x14ac:dyDescent="0.2">
      <c r="A40" t="str">
        <f>IF(B36=B40,IF(C36=C40,"Check Total OK","Check Total Error"),"Check Total Error")</f>
        <v>Check Total OK</v>
      </c>
      <c r="B40" s="169">
        <f>SUM(B37:B39)</f>
        <v>754291.83</v>
      </c>
      <c r="C40" s="169">
        <f>SUM(C37:C39)</f>
        <v>364186.64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uI0G/4QP9HDpy5wSAvToJjvWbL9Sfd6wB6I/hCHdYrJsMwpFa44sYaAHVu18xx9/o4rymDmKMAirzH41Esih/w==" saltValue="HxWP11CHA77AjtSUY7s44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7" activePane="bottomLeft" state="frozen"/>
      <selection activeCell="F46" sqref="F46"/>
      <selection pane="bottomLeft" activeCell="C37" sqref="C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Windham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32136643.480000004</v>
      </c>
      <c r="D5" s="19">
        <f>SUM('DOE25'!L198:L201)+SUM('DOE25'!L216:L219)+SUM('DOE25'!L234:L237)-F5-G5-H5</f>
        <v>31692306.330000006</v>
      </c>
      <c r="E5" s="180"/>
      <c r="F5" s="181"/>
      <c r="G5" s="19">
        <f>SUM('DOE25'!J198:J201)+SUM('DOE25'!J216:J219)+SUM('DOE25'!J234:J237)</f>
        <v>262931.54000000004</v>
      </c>
      <c r="H5" s="19">
        <f>SUM('DOE25'!K198:K201)+SUM('DOE25'!K216:K219)+SUM('DOE25'!K234:K237)</f>
        <v>181405.61000000002</v>
      </c>
      <c r="I5" s="192"/>
    </row>
    <row r="6" spans="1:9" x14ac:dyDescent="0.2">
      <c r="A6" s="31">
        <v>2100</v>
      </c>
      <c r="B6" t="s">
        <v>796</v>
      </c>
      <c r="C6" s="206">
        <f t="shared" si="0"/>
        <v>4784391.33</v>
      </c>
      <c r="D6" s="19">
        <f>'DOE25'!L203+'DOE25'!L221+'DOE25'!L239-F6-G6-H6</f>
        <v>4754690.2100000009</v>
      </c>
      <c r="E6" s="180"/>
      <c r="F6" s="181"/>
      <c r="G6" s="19">
        <f>'DOE25'!J203+'DOE25'!J221+'DOE25'!J239</f>
        <v>22684.6</v>
      </c>
      <c r="H6" s="19">
        <f>'DOE25'!K203+'DOE25'!K221+'DOE25'!K239</f>
        <v>7016.52</v>
      </c>
      <c r="I6" s="192"/>
    </row>
    <row r="7" spans="1:9" x14ac:dyDescent="0.2">
      <c r="A7" s="31">
        <v>2200</v>
      </c>
      <c r="B7" t="s">
        <v>820</v>
      </c>
      <c r="C7" s="206">
        <f t="shared" si="0"/>
        <v>2471495.88</v>
      </c>
      <c r="D7" s="19">
        <f>'DOE25'!L204+'DOE25'!L222+'DOE25'!L240-F7-G7-H7</f>
        <v>2108482.2999999998</v>
      </c>
      <c r="E7" s="180"/>
      <c r="F7" s="181"/>
      <c r="G7" s="19">
        <f>'DOE25'!J204+'DOE25'!J222+'DOE25'!J240</f>
        <v>363013.58</v>
      </c>
      <c r="H7" s="19">
        <f>'DOE25'!K204+'DOE25'!K222+'DOE25'!K240</f>
        <v>0</v>
      </c>
      <c r="I7" s="192"/>
    </row>
    <row r="8" spans="1:9" x14ac:dyDescent="0.2">
      <c r="A8" s="31">
        <v>2300</v>
      </c>
      <c r="B8" t="s">
        <v>797</v>
      </c>
      <c r="C8" s="206">
        <f t="shared" si="0"/>
        <v>1618517.58</v>
      </c>
      <c r="D8" s="180"/>
      <c r="E8" s="19">
        <f>'DOE25'!L205+'DOE25'!L223+'DOE25'!L241-F8-G8-H8-D9-D11</f>
        <v>1559614.7000000002</v>
      </c>
      <c r="F8" s="181"/>
      <c r="G8" s="19">
        <f>'DOE25'!J205+'DOE25'!J223+'DOE25'!J241</f>
        <v>4243.42</v>
      </c>
      <c r="H8" s="19">
        <f>'DOE25'!K205+'DOE25'!K223+'DOE25'!K241</f>
        <v>54659.460000000006</v>
      </c>
      <c r="I8" s="192"/>
    </row>
    <row r="9" spans="1:9" ht="14.25" x14ac:dyDescent="0.2">
      <c r="A9" s="31">
        <v>2310</v>
      </c>
      <c r="B9" s="71" t="s">
        <v>887</v>
      </c>
      <c r="C9" s="206">
        <f t="shared" si="0"/>
        <v>170364.96</v>
      </c>
      <c r="D9" s="181">
        <v>170364.96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781614.96</v>
      </c>
      <c r="D11" s="181">
        <v>781614.96</v>
      </c>
      <c r="E11" s="180"/>
      <c r="F11" s="180"/>
      <c r="G11" s="180"/>
      <c r="H11" s="180"/>
      <c r="I11" s="192"/>
    </row>
    <row r="12" spans="1:9" x14ac:dyDescent="0.2">
      <c r="A12" s="31">
        <v>2400</v>
      </c>
      <c r="B12" t="s">
        <v>711</v>
      </c>
      <c r="C12" s="206">
        <f t="shared" si="0"/>
        <v>2552015.09</v>
      </c>
      <c r="D12" s="19">
        <f>'DOE25'!L206+'DOE25'!L224+'DOE25'!L242-F12-G12-H12</f>
        <v>2455896.7599999998</v>
      </c>
      <c r="E12" s="180"/>
      <c r="F12" s="181"/>
      <c r="G12" s="19">
        <f>'DOE25'!J206+'DOE25'!J224+'DOE25'!J242</f>
        <v>7610.8799999999992</v>
      </c>
      <c r="H12" s="19">
        <f>'DOE25'!K206+'DOE25'!K224+'DOE25'!K242</f>
        <v>88507.449999999983</v>
      </c>
      <c r="I12" s="192"/>
    </row>
    <row r="13" spans="1:9" x14ac:dyDescent="0.2">
      <c r="A13" s="31">
        <v>2500</v>
      </c>
      <c r="B13" t="s">
        <v>798</v>
      </c>
      <c r="C13" s="206">
        <f t="shared" si="0"/>
        <v>838952.86</v>
      </c>
      <c r="D13" s="180"/>
      <c r="E13" s="19">
        <f>'DOE25'!L207+'DOE25'!L225+'DOE25'!L243-F13-G13-H13</f>
        <v>823759.19</v>
      </c>
      <c r="F13" s="181"/>
      <c r="G13" s="19">
        <f>'DOE25'!J207+'DOE25'!J225+'DOE25'!J243</f>
        <v>0</v>
      </c>
      <c r="H13" s="19">
        <f>'DOE25'!K207+'DOE25'!K225+'DOE25'!K243</f>
        <v>15193.669999999998</v>
      </c>
      <c r="I13" s="192"/>
    </row>
    <row r="14" spans="1:9" x14ac:dyDescent="0.2">
      <c r="A14" s="31">
        <v>2600</v>
      </c>
      <c r="B14" t="s">
        <v>818</v>
      </c>
      <c r="C14" s="206">
        <f t="shared" si="0"/>
        <v>4958937.7870000005</v>
      </c>
      <c r="D14" s="19">
        <f>'DOE25'!L208+'DOE25'!L226+'DOE25'!L244-F14-G14-H14</f>
        <v>4835326.7670000009</v>
      </c>
      <c r="E14" s="180"/>
      <c r="F14" s="181"/>
      <c r="G14" s="19">
        <f>'DOE25'!J208+'DOE25'!J226+'DOE25'!J244</f>
        <v>123611.02</v>
      </c>
      <c r="H14" s="19">
        <f>'DOE25'!K208+'DOE25'!K226+'DOE25'!K244</f>
        <v>0</v>
      </c>
      <c r="I14" s="192"/>
    </row>
    <row r="15" spans="1:9" x14ac:dyDescent="0.2">
      <c r="A15" s="31">
        <v>2700</v>
      </c>
      <c r="B15" t="s">
        <v>799</v>
      </c>
      <c r="C15" s="206">
        <f t="shared" si="0"/>
        <v>3344358.13</v>
      </c>
      <c r="D15" s="19">
        <f>'DOE25'!L209+'DOE25'!L227+'DOE25'!L245-F15-G15-H15</f>
        <v>58593.129999999888</v>
      </c>
      <c r="E15" s="180"/>
      <c r="F15" s="181">
        <v>3285765</v>
      </c>
      <c r="G15" s="19">
        <f>'DOE25'!J209+'DOE25'!J227+'DOE25'!J245</f>
        <v>0</v>
      </c>
      <c r="H15" s="19">
        <f>'DOE25'!K209+'DOE25'!K227+'DOE25'!K245</f>
        <v>0</v>
      </c>
      <c r="I15" s="192"/>
    </row>
    <row r="16" spans="1:9" x14ac:dyDescent="0.2">
      <c r="A16" s="31">
        <v>2800</v>
      </c>
      <c r="B16" t="s">
        <v>800</v>
      </c>
      <c r="C16" s="206">
        <f t="shared" si="0"/>
        <v>397650.86</v>
      </c>
      <c r="D16" s="180"/>
      <c r="E16" s="19">
        <f>'DOE25'!L210+'DOE25'!L228+'DOE25'!L246-F16-G16-H16</f>
        <v>397650.86</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862092.08</v>
      </c>
      <c r="D22" s="180"/>
      <c r="E22" s="180"/>
      <c r="F22" s="180"/>
      <c r="G22" s="19">
        <f>'DOE25'!L256+'DOE25'!L337</f>
        <v>862092.08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4748100</v>
      </c>
      <c r="D25" s="180"/>
      <c r="E25" s="180"/>
      <c r="F25" s="191"/>
      <c r="G25" s="180"/>
      <c r="H25" s="180"/>
      <c r="I25" s="190">
        <f>'DOE25'!L261+'DOE25'!L262+'DOE25'!L342+'DOE25'!L343</f>
        <v>4748100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654228.24000000011</v>
      </c>
      <c r="D29" s="212">
        <f>'DOE25'!L359+'DOE25'!L360+'DOE25'!L361-'DOE25'!I368-F29-G29-H29-F39</f>
        <v>549649.20000000019</v>
      </c>
      <c r="E29" s="180"/>
      <c r="F29" s="180"/>
      <c r="G29" s="19">
        <f>'DOE25'!J359+'DOE25'!J360+'DOE25'!J361</f>
        <v>103934.59</v>
      </c>
      <c r="H29" s="19">
        <f>'DOE25'!K359+'DOE25'!K360+'DOE25'!K361</f>
        <v>644.45000000000005</v>
      </c>
      <c r="I29" s="192"/>
    </row>
    <row r="30" spans="1:9" x14ac:dyDescent="0.2">
      <c r="A30" s="31"/>
      <c r="C30" s="207"/>
      <c r="D30" s="19"/>
      <c r="F30" s="201"/>
      <c r="G30" s="19"/>
      <c r="H30" s="19"/>
      <c r="I30" s="192"/>
    </row>
    <row r="31" spans="1:9" x14ac:dyDescent="0.2">
      <c r="A31" s="31" t="s">
        <v>817</v>
      </c>
      <c r="B31" t="s">
        <v>816</v>
      </c>
      <c r="C31" s="206">
        <f>SUM(D31:I31)</f>
        <v>1657643.9699999997</v>
      </c>
      <c r="D31" s="19">
        <f>'DOE25'!L291+'DOE25'!L310+'DOE25'!L329+'DOE25'!L334+'DOE25'!L335+'DOE25'!L336-F31-G31-H31</f>
        <v>1181346.8699999996</v>
      </c>
      <c r="E31" s="180"/>
      <c r="F31" s="181"/>
      <c r="G31" s="19">
        <f>'DOE25'!J291+'DOE25'!J310+'DOE25'!J329+'DOE25'!J334+'DOE25'!J335+'DOE25'!J336</f>
        <v>91600.07</v>
      </c>
      <c r="H31" s="19">
        <f>'DOE25'!K291+'DOE25'!K310+'DOE25'!K329+'DOE25'!K334+'DOE25'!K335+'DOE25'!K336</f>
        <v>384697.03</v>
      </c>
      <c r="I31" s="192"/>
    </row>
    <row r="32" spans="1:9" ht="12" thickBot="1" x14ac:dyDescent="0.25">
      <c r="C32" s="207"/>
      <c r="G32" s="188"/>
      <c r="H32" s="188"/>
      <c r="I32" s="194"/>
    </row>
    <row r="33" spans="1:9" ht="12" thickTop="1" x14ac:dyDescent="0.2">
      <c r="B33" t="s">
        <v>809</v>
      </c>
      <c r="D33" s="182">
        <f t="shared" ref="D33:I33" si="1">SUM(D5:D31)</f>
        <v>48588271.487000003</v>
      </c>
      <c r="E33" s="182">
        <f t="shared" si="1"/>
        <v>2781024.75</v>
      </c>
      <c r="F33" s="182">
        <f t="shared" si="1"/>
        <v>3285765</v>
      </c>
      <c r="G33" s="182">
        <f t="shared" si="1"/>
        <v>1841721.7800000003</v>
      </c>
      <c r="H33" s="182">
        <f t="shared" si="1"/>
        <v>732124.19000000006</v>
      </c>
      <c r="I33" s="182">
        <f t="shared" si="1"/>
        <v>4748100</v>
      </c>
    </row>
    <row r="34" spans="1:9" ht="12" thickBot="1" x14ac:dyDescent="0.25"/>
    <row r="35" spans="1:9" ht="12" thickBot="1" x14ac:dyDescent="0.25">
      <c r="B35" s="188" t="s">
        <v>830</v>
      </c>
      <c r="D35" s="189">
        <f>E33</f>
        <v>2781024.75</v>
      </c>
      <c r="E35" s="185"/>
      <c r="F35" s="295" t="s">
        <v>1608</v>
      </c>
      <c r="G35" s="296"/>
      <c r="H35" s="296"/>
      <c r="I35" s="297"/>
    </row>
    <row r="36" spans="1:9" ht="12" thickTop="1" x14ac:dyDescent="0.2">
      <c r="B36" t="s">
        <v>810</v>
      </c>
      <c r="D36" s="19">
        <f>D33</f>
        <v>48588271.487000003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6" zoomScale="80" zoomScaleNormal="80" workbookViewId="0">
      <selection activeCell="I36" sqref="I3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Windham</v>
      </c>
      <c r="B2">
        <f>'DOE25'!B2</f>
        <v>575</v>
      </c>
      <c r="J2" s="224" t="s">
        <v>1808</v>
      </c>
      <c r="K2" s="309">
        <f>SUM('DOE25'!L198:L201)+SUM('DOE25'!L216:L219)+SUM('DOE25'!L234:L237)+SUM('DOE25'!L277:L280)+SUM('DOE25'!L296:L299)+SUM('DOE25'!L315:L318)</f>
        <v>33522192.770000007</v>
      </c>
      <c r="L2" s="309">
        <f>'DOE25'!L203+'DOE25'!L221+'DOE25'!L239+'DOE25'!L282+'DOE25'!L301+'DOE25'!L320</f>
        <v>4877651.45</v>
      </c>
      <c r="M2" s="309">
        <f>'DOE25'!L204+'DOE25'!L222+'DOE25'!L240+'DOE25'!L283+'DOE25'!L302+'DOE25'!L321</f>
        <v>2603619.83</v>
      </c>
      <c r="N2" s="309">
        <f>'DOE25'!L206+'DOE25'!L224+'DOE25'!L242+'DOE25'!L285+'DOE25'!L304+'DOE25'!L323</f>
        <v>2558881.1999999997</v>
      </c>
      <c r="O2" s="309" t="e">
        <f>'Salaries-Benefits'!B10+'Salaries-Benefits'!B12+'Salaries-Benefits'!B19+'Salaries-Benefits'!B21+'Salaries-Benefits'!B37+'Salaries-Benefits'!B39+'Salaries-Benefits'!#REF!+'Salaries-Benefits'!#REF!</f>
        <v>#REF!</v>
      </c>
      <c r="P2" s="309" t="e">
        <f>'Salaries-Benefits'!B11+'Salaries-Benefits'!B20+'Salaries-Benefits'!B38+'Salaries-Benefits'!#REF!</f>
        <v>#REF!</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-33522192.770000007</v>
      </c>
      <c r="L3" s="311">
        <f t="shared" ref="L3:P3" si="0">L21+L33+L43-L2</f>
        <v>-4877651.45</v>
      </c>
      <c r="M3" s="311">
        <f t="shared" si="0"/>
        <v>-2603619.83</v>
      </c>
      <c r="N3" s="311">
        <f t="shared" si="0"/>
        <v>-2558881.1999999997</v>
      </c>
      <c r="O3" s="311" t="e">
        <f t="shared" si="0"/>
        <v>#REF!</v>
      </c>
      <c r="P3" s="311" t="e">
        <f t="shared" si="0"/>
        <v>#REF!</v>
      </c>
      <c r="Q3" s="310"/>
      <c r="R3" s="306"/>
      <c r="S3" s="215"/>
      <c r="T3" s="215"/>
      <c r="U3" s="216"/>
    </row>
    <row r="4" spans="1:21" ht="55.5" customHeight="1" thickBot="1" x14ac:dyDescent="0.25">
      <c r="A4" s="224" t="s">
        <v>1522</v>
      </c>
      <c r="B4" s="224" t="s">
        <v>1523</v>
      </c>
      <c r="C4" s="224" t="s">
        <v>896</v>
      </c>
      <c r="D4" s="224" t="s">
        <v>786</v>
      </c>
      <c r="E4" s="224" t="s">
        <v>786</v>
      </c>
      <c r="F4" s="228">
        <f>SUM(F5:F20)</f>
        <v>26451332.730000004</v>
      </c>
      <c r="G4" s="229">
        <f>'DOE25'!L212+'DOE25'!L291</f>
        <v>26451332.730000004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v>92457.67</v>
      </c>
      <c r="F5" s="232">
        <f>D5+E5</f>
        <v>92457.67</v>
      </c>
      <c r="G5" s="223"/>
      <c r="H5" s="223"/>
      <c r="J5" s="223"/>
      <c r="K5" s="223"/>
      <c r="L5" s="223"/>
      <c r="M5" s="223"/>
      <c r="N5" s="223"/>
      <c r="O5" s="223"/>
      <c r="P5" s="223"/>
      <c r="Q5" s="223"/>
    </row>
    <row r="6" spans="1:21" x14ac:dyDescent="0.2">
      <c r="A6" t="str" cm="1">
        <f t="array" ref="A6">IFERROR(INDEX('School Tables'!$A$4:$G$325,'School Tables'!$J4,3),"")</f>
        <v>Golden Brook Elementary School</v>
      </c>
      <c r="B6" s="230">
        <f>IFERROR(VLOOKUP(A6,'School Tables'!$C$3:$D$365,2,FALSE),"")</f>
        <v>21130</v>
      </c>
      <c r="C6" s="223" t="str">
        <f>IFERROR(INDEX('School Tables'!$B$3:$B$365,MATCH('School Level Expenditures'!B6,'School Tables'!$D$3:$D$365,0)),"")</f>
        <v>Windham</v>
      </c>
      <c r="D6" s="220">
        <v>17945995.719999999</v>
      </c>
      <c r="E6" s="220">
        <v>418139.76</v>
      </c>
      <c r="F6" s="232">
        <f t="shared" ref="F6:F20" si="1">D6+E6</f>
        <v>18364135.48</v>
      </c>
      <c r="G6" s="223"/>
      <c r="H6" s="223"/>
      <c r="J6" t="str">
        <f>A6</f>
        <v>Golden Brook Elementary School</v>
      </c>
      <c r="K6" s="20"/>
      <c r="L6" s="20"/>
      <c r="M6" s="308"/>
      <c r="N6" s="20"/>
      <c r="O6" s="20"/>
      <c r="P6" s="20"/>
      <c r="Q6" s="20"/>
    </row>
    <row r="7" spans="1:21" x14ac:dyDescent="0.2">
      <c r="A7" t="str" cm="1">
        <f t="array" ref="A7">IFERROR(INDEX('School Tables'!$A$4:$G$325,'School Tables'!$J5,3),"")</f>
        <v>Windham Center School</v>
      </c>
      <c r="B7" s="230">
        <f>IFERROR(VLOOKUP(A7,'School Tables'!$C$3:$D$365,2,FALSE),"")</f>
        <v>21135</v>
      </c>
      <c r="C7" s="223" t="str">
        <f>IFERROR(INDEX('School Tables'!$B$3:$B$365,MATCH('School Level Expenditures'!B7,'School Tables'!$D$3:$D$365,0)),"")</f>
        <v>Windham</v>
      </c>
      <c r="D7" s="220">
        <v>7764599.8700000001</v>
      </c>
      <c r="E7" s="220">
        <v>230139.71</v>
      </c>
      <c r="F7" s="232">
        <f t="shared" si="1"/>
        <v>7994739.5800000001</v>
      </c>
      <c r="G7" s="223"/>
      <c r="H7" s="223"/>
      <c r="J7" t="str">
        <f t="shared" ref="J7:J20" si="2">A7</f>
        <v>Windham Center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25710595.59</v>
      </c>
      <c r="E21" s="262">
        <f>SUM(E5:E20)</f>
        <v>740737.14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8957250.2699999996</v>
      </c>
      <c r="G24" s="229">
        <f>'DOE25'!L230+'DOE25'!L310</f>
        <v>8957250.2700000014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v>38311.839999999997</v>
      </c>
      <c r="F25" s="232">
        <f>D25+E25</f>
        <v>38311.839999999997</v>
      </c>
      <c r="G25" s="223"/>
      <c r="H25" s="223"/>
      <c r="J25" s="223"/>
      <c r="K25" s="223"/>
      <c r="L25" s="224"/>
      <c r="M25" s="223"/>
      <c r="N25" s="223"/>
      <c r="O25" s="223"/>
      <c r="P25" s="223"/>
      <c r="Q25" s="223"/>
    </row>
    <row r="26" spans="1:17" x14ac:dyDescent="0.2">
      <c r="A26" t="str" cm="1">
        <f t="array" ref="A26">IFERROR(INDEX('School Tables'!$L$4:$R$75,'School Tables'!$U4,3),"")</f>
        <v>Windham Middle School</v>
      </c>
      <c r="B26" s="230">
        <f>IFERROR(VLOOKUP(A26,'School Tables'!$N$4:$O$75,2,FALSE),"")</f>
        <v>21125</v>
      </c>
      <c r="C26" s="223" t="str">
        <f>IFERROR(INDEX('School Tables'!$M$4:$M$75,MATCH('School Level Expenditures'!A26,'School Tables'!$N$4:$N$75,0)),"")</f>
        <v>Windham</v>
      </c>
      <c r="D26" s="220">
        <v>8793078.5299999993</v>
      </c>
      <c r="E26" s="220">
        <v>125859.9</v>
      </c>
      <c r="F26" s="232">
        <f t="shared" ref="F26:F32" si="4">D26+E26</f>
        <v>8918938.4299999997</v>
      </c>
      <c r="G26" s="223"/>
      <c r="H26" s="223"/>
      <c r="J26" t="str">
        <f t="shared" ref="J26:J32" si="5">A26</f>
        <v>Windham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8793078.5299999993</v>
      </c>
      <c r="E33" s="262">
        <f>SUM(E25:E32)</f>
        <v>164171.74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20304003.890000001</v>
      </c>
      <c r="G36" s="229">
        <f>'DOE25'!L248+'DOE25'!L329</f>
        <v>20304003.887000002</v>
      </c>
      <c r="H36" s="264">
        <f>F36-G36</f>
        <v>2.9999986290931702E-3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v>559928.25</v>
      </c>
      <c r="F37" s="232">
        <f t="shared" ref="F37:F42" si="7">D37+E37</f>
        <v>559928.25</v>
      </c>
      <c r="G37" s="223"/>
      <c r="H37" s="223"/>
      <c r="J37" s="223"/>
      <c r="K37" s="223"/>
      <c r="L37" s="224"/>
      <c r="M37" s="223"/>
      <c r="N37" s="223"/>
      <c r="O37" s="223"/>
      <c r="P37" s="223"/>
      <c r="Q37" s="223"/>
    </row>
    <row r="38" spans="1:18" x14ac:dyDescent="0.2">
      <c r="A38" t="str" cm="1">
        <f t="array" ref="A38">IFERROR(INDEX('School Tables'!$W$4:$AC$100,'School Tables'!$AF4,3),"")</f>
        <v>Windham High School</v>
      </c>
      <c r="B38" s="230">
        <f>IFERROR(VLOOKUP(A38,'School Tables'!$Y$4:$Z$100,2,FALSE),"")</f>
        <v>28640</v>
      </c>
      <c r="C38" s="223" t="str">
        <f>IFERROR(INDEX('School Tables'!$X$4:$X$100,MATCH('School Level Expenditures'!A38,'School Tables'!$Y$4:$Y$100,0)),"")</f>
        <v>Windham</v>
      </c>
      <c r="D38" s="220">
        <v>19551268.800000001</v>
      </c>
      <c r="E38" s="220">
        <v>192806.84</v>
      </c>
      <c r="F38" s="232">
        <f t="shared" si="7"/>
        <v>19744075.640000001</v>
      </c>
      <c r="G38" s="223"/>
      <c r="H38" s="223"/>
      <c r="J38" t="str">
        <f t="shared" ref="J38:J42" si="8">A38</f>
        <v>Windham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19551268.800000001</v>
      </c>
      <c r="E43" s="263">
        <f>SUM(E37:E42)</f>
        <v>752735.09</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I161" sqref="I16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Windham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1984511.33</v>
      </c>
      <c r="D8" s="73">
        <f>'DOE25'!G9</f>
        <v>0</v>
      </c>
      <c r="E8" s="73">
        <f>'DOE25'!H9</f>
        <v>0</v>
      </c>
      <c r="F8" s="73">
        <f>'DOE25'!I9</f>
        <v>0</v>
      </c>
      <c r="G8" s="73">
        <f>'DOE25'!J9</f>
        <v>0</v>
      </c>
      <c r="H8" s="13">
        <f>SUM(C8:G8)</f>
        <v>1984511.33</v>
      </c>
      <c r="I8" s="90"/>
    </row>
    <row r="9" spans="1:9" x14ac:dyDescent="0.2">
      <c r="A9" s="1" t="s">
        <v>140</v>
      </c>
      <c r="B9" s="6">
        <v>110</v>
      </c>
      <c r="C9" s="73">
        <f>'DOE25'!F10</f>
        <v>0</v>
      </c>
      <c r="D9" s="73">
        <f>'DOE25'!G10</f>
        <v>0</v>
      </c>
      <c r="E9" s="73">
        <f>'DOE25'!H10</f>
        <v>0</v>
      </c>
      <c r="F9" s="73">
        <f>'DOE25'!I10</f>
        <v>0</v>
      </c>
      <c r="G9" s="73">
        <f>'DOE25'!J10</f>
        <v>1407911.27</v>
      </c>
      <c r="H9" s="13">
        <f t="shared" ref="H9:H18" si="0">SUM(C9:G9)</f>
        <v>1407911.27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843237.87</v>
      </c>
      <c r="D11" s="73">
        <f>'DOE25'!G12</f>
        <v>598023.32999999996</v>
      </c>
      <c r="E11" s="73">
        <f>'DOE25'!H12</f>
        <v>391795.83</v>
      </c>
      <c r="F11" s="73">
        <f>'DOE25'!I12</f>
        <v>0</v>
      </c>
      <c r="G11" s="73">
        <f>'DOE25'!J12</f>
        <v>0</v>
      </c>
      <c r="H11" s="13">
        <f t="shared" si="0"/>
        <v>1833057.03</v>
      </c>
      <c r="I11" s="90"/>
    </row>
    <row r="12" spans="1:9" x14ac:dyDescent="0.2">
      <c r="A12" s="1" t="s">
        <v>143</v>
      </c>
      <c r="B12" s="6">
        <v>140</v>
      </c>
      <c r="C12" s="73">
        <f>'DOE25'!F13</f>
        <v>157065.5</v>
      </c>
      <c r="D12" s="73">
        <f>'DOE25'!G13</f>
        <v>37454.18</v>
      </c>
      <c r="E12" s="73">
        <f>'DOE25'!H13</f>
        <v>137829.07</v>
      </c>
      <c r="F12" s="73">
        <f>'DOE25'!I13</f>
        <v>0</v>
      </c>
      <c r="G12" s="73">
        <f>'DOE25'!J13</f>
        <v>0</v>
      </c>
      <c r="H12" s="13">
        <f t="shared" si="0"/>
        <v>332348.75</v>
      </c>
      <c r="I12" s="90"/>
    </row>
    <row r="13" spans="1:9" x14ac:dyDescent="0.2">
      <c r="A13" s="1" t="s">
        <v>144</v>
      </c>
      <c r="B13" s="6">
        <v>150</v>
      </c>
      <c r="C13" s="73">
        <f>'DOE25'!F14</f>
        <v>12807.77</v>
      </c>
      <c r="D13" s="73">
        <f>'DOE25'!G14</f>
        <v>0</v>
      </c>
      <c r="E13" s="73">
        <f>'DOE25'!H14</f>
        <v>0</v>
      </c>
      <c r="F13" s="73">
        <f>'DOE25'!I14</f>
        <v>0</v>
      </c>
      <c r="G13" s="73">
        <f>'DOE25'!J14</f>
        <v>0</v>
      </c>
      <c r="H13" s="13">
        <f t="shared" si="0"/>
        <v>12807.77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16422.25</v>
      </c>
      <c r="E15" s="73">
        <f>'DOE25'!H16</f>
        <v>0</v>
      </c>
      <c r="F15" s="73">
        <f>'DOE25'!I16</f>
        <v>0</v>
      </c>
      <c r="G15" s="23" t="s">
        <v>288</v>
      </c>
      <c r="H15" s="13">
        <f t="shared" si="0"/>
        <v>16422.25</v>
      </c>
      <c r="I15" s="90"/>
    </row>
    <row r="16" spans="1:9" x14ac:dyDescent="0.2">
      <c r="A16" s="1" t="s">
        <v>147</v>
      </c>
      <c r="B16" s="6">
        <v>180</v>
      </c>
      <c r="C16" s="73">
        <f>'DOE25'!F17</f>
        <v>19313.02</v>
      </c>
      <c r="D16" s="73">
        <f>'DOE25'!G17</f>
        <v>0</v>
      </c>
      <c r="E16" s="73">
        <f>'DOE25'!H17</f>
        <v>0</v>
      </c>
      <c r="F16" s="73">
        <f>'DOE25'!I17</f>
        <v>0</v>
      </c>
      <c r="G16" s="73">
        <f>'DOE25'!J17</f>
        <v>0</v>
      </c>
      <c r="H16" s="13">
        <f t="shared" si="0"/>
        <v>19313.02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3016935.49</v>
      </c>
      <c r="D18" s="38">
        <f>SUM(D8:D17)</f>
        <v>651899.76</v>
      </c>
      <c r="E18" s="38">
        <f>SUM(E8:E17)</f>
        <v>529624.9</v>
      </c>
      <c r="F18" s="38">
        <f>SUM(F8:F17)</f>
        <v>0</v>
      </c>
      <c r="G18" s="38">
        <f>SUM(G8:G17)</f>
        <v>1407911.27</v>
      </c>
      <c r="H18" s="38">
        <f t="shared" si="0"/>
        <v>5606371.4199999999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137829.07</v>
      </c>
      <c r="F21" s="73">
        <f>'DOE25'!I22</f>
        <v>0</v>
      </c>
      <c r="G21" s="73">
        <f>'DOE25'!J22</f>
        <v>0</v>
      </c>
      <c r="H21" s="13">
        <f t="shared" ref="H21:H31" si="1">SUM(C21:G21)</f>
        <v>137829.07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615737.75</v>
      </c>
      <c r="D23" s="73">
        <f>'DOE25'!G24</f>
        <v>1366</v>
      </c>
      <c r="E23" s="73">
        <f>'DOE25'!H24</f>
        <v>2564.69</v>
      </c>
      <c r="F23" s="73">
        <f>'DOE25'!I24</f>
        <v>0</v>
      </c>
      <c r="G23" s="73">
        <f>'DOE25'!J24</f>
        <v>0</v>
      </c>
      <c r="H23" s="13">
        <f t="shared" si="1"/>
        <v>619668.43999999994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34465.15</v>
      </c>
      <c r="D29" s="73">
        <f>'DOE25'!G30</f>
        <v>60494.33</v>
      </c>
      <c r="E29" s="73">
        <f>'DOE25'!H30</f>
        <v>85875</v>
      </c>
      <c r="F29" s="73">
        <f>'DOE25'!I30</f>
        <v>0</v>
      </c>
      <c r="G29" s="23" t="s">
        <v>288</v>
      </c>
      <c r="H29" s="13">
        <f t="shared" si="1"/>
        <v>180834.48</v>
      </c>
      <c r="I29" s="90"/>
    </row>
    <row r="30" spans="1:9" ht="12" thickBot="1" x14ac:dyDescent="0.25">
      <c r="A30" s="1" t="s">
        <v>159</v>
      </c>
      <c r="B30" s="56">
        <v>490</v>
      </c>
      <c r="C30" s="73">
        <f>'DOE25'!F31</f>
        <v>3563.61</v>
      </c>
      <c r="D30" s="73">
        <f>'DOE25'!G31</f>
        <v>0</v>
      </c>
      <c r="E30" s="73">
        <f>'DOE25'!H31</f>
        <v>0</v>
      </c>
      <c r="F30" s="73">
        <f>'DOE25'!I31</f>
        <v>0</v>
      </c>
      <c r="G30" s="73">
        <f>'DOE25'!J31</f>
        <v>0</v>
      </c>
      <c r="H30" s="13">
        <f t="shared" si="1"/>
        <v>3563.61</v>
      </c>
      <c r="I30" s="90"/>
    </row>
    <row r="31" spans="1:9" ht="12" thickTop="1" x14ac:dyDescent="0.2">
      <c r="A31" s="35" t="s">
        <v>160</v>
      </c>
      <c r="B31" s="2"/>
      <c r="C31" s="38">
        <f>SUM(C21:C30)</f>
        <v>653766.51</v>
      </c>
      <c r="D31" s="38">
        <f>SUM(D21:D30)</f>
        <v>61860.33</v>
      </c>
      <c r="E31" s="38">
        <f>SUM(E21:E30)</f>
        <v>226268.76</v>
      </c>
      <c r="F31" s="38">
        <f>SUM(F21:F30)</f>
        <v>0</v>
      </c>
      <c r="G31" s="38">
        <f>SUM(G21:G30)</f>
        <v>0</v>
      </c>
      <c r="H31" s="38">
        <f t="shared" si="1"/>
        <v>941895.6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16422.25</v>
      </c>
      <c r="E34" s="73">
        <f>'DOE25'!H35</f>
        <v>0</v>
      </c>
      <c r="F34" s="73">
        <f>'DOE25'!I35</f>
        <v>0</v>
      </c>
      <c r="G34" s="23" t="s">
        <v>288</v>
      </c>
      <c r="H34" s="13">
        <f t="shared" ref="H34:H51" si="2">SUM(C34:G34)</f>
        <v>16422.25</v>
      </c>
      <c r="I34" s="90"/>
    </row>
    <row r="35" spans="1:9" x14ac:dyDescent="0.2">
      <c r="A35" s="1" t="s">
        <v>849</v>
      </c>
      <c r="B35" s="6">
        <v>752</v>
      </c>
      <c r="C35" s="73">
        <f>'DOE25'!F36</f>
        <v>19313.02</v>
      </c>
      <c r="D35" s="73">
        <f>'DOE25'!G36</f>
        <v>0</v>
      </c>
      <c r="E35" s="73">
        <f>'DOE25'!H36</f>
        <v>0</v>
      </c>
      <c r="F35" s="73">
        <f>'DOE25'!I36</f>
        <v>0</v>
      </c>
      <c r="G35" s="23" t="s">
        <v>288</v>
      </c>
      <c r="H35" s="13">
        <f t="shared" si="2"/>
        <v>19313.02</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573617.18000000005</v>
      </c>
      <c r="E39" s="23" t="s">
        <v>288</v>
      </c>
      <c r="F39" s="23" t="s">
        <v>288</v>
      </c>
      <c r="G39" s="23" t="s">
        <v>288</v>
      </c>
      <c r="H39" s="13">
        <f t="shared" si="2"/>
        <v>573617.18000000005</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675000</v>
      </c>
      <c r="D43" s="73">
        <f>'DOE25'!G44</f>
        <v>0</v>
      </c>
      <c r="E43" s="73">
        <f>'DOE25'!H44</f>
        <v>0</v>
      </c>
      <c r="F43" s="73">
        <f>'DOE25'!I44</f>
        <v>0</v>
      </c>
      <c r="G43" s="23" t="s">
        <v>288</v>
      </c>
      <c r="H43" s="13">
        <f t="shared" si="2"/>
        <v>675000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850142</v>
      </c>
      <c r="D45" s="23" t="s">
        <v>288</v>
      </c>
      <c r="E45" s="23" t="s">
        <v>288</v>
      </c>
      <c r="F45" s="23" t="s">
        <v>288</v>
      </c>
      <c r="G45" s="23" t="s">
        <v>288</v>
      </c>
      <c r="H45" s="13">
        <f t="shared" si="2"/>
        <v>850142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303356.14</v>
      </c>
      <c r="F47" s="73">
        <f>'DOE25'!I48</f>
        <v>0</v>
      </c>
      <c r="G47" s="73">
        <f>'DOE25'!J48</f>
        <v>1407911.27</v>
      </c>
      <c r="H47" s="13">
        <f t="shared" si="2"/>
        <v>1711267.4100000001</v>
      </c>
      <c r="I47" s="90"/>
    </row>
    <row r="48" spans="1:9" x14ac:dyDescent="0.2">
      <c r="A48" s="1" t="s">
        <v>881</v>
      </c>
      <c r="B48" s="6">
        <v>753</v>
      </c>
      <c r="C48" s="73">
        <f>'DOE25'!F49</f>
        <v>818713.96</v>
      </c>
      <c r="D48" s="73">
        <f>'DOE25'!G49</f>
        <v>0</v>
      </c>
      <c r="E48" s="73">
        <f>'DOE25'!H49</f>
        <v>0</v>
      </c>
      <c r="F48" s="73">
        <f>'DOE25'!I49</f>
        <v>0</v>
      </c>
      <c r="G48" s="73">
        <f>'DOE25'!J49</f>
        <v>0</v>
      </c>
      <c r="H48" s="13">
        <f t="shared" si="2"/>
        <v>818713.96</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2363168.98</v>
      </c>
      <c r="D50" s="38">
        <f>SUM(D34:D49)</f>
        <v>590039.43000000005</v>
      </c>
      <c r="E50" s="38">
        <f>SUM(E34:E49)</f>
        <v>303356.14</v>
      </c>
      <c r="F50" s="38">
        <f>SUM(F34:F49)</f>
        <v>0</v>
      </c>
      <c r="G50" s="38">
        <f>SUM(G34:G49)</f>
        <v>1407911.27</v>
      </c>
      <c r="H50" s="38">
        <f t="shared" si="2"/>
        <v>4664475.82</v>
      </c>
      <c r="I50" s="90"/>
    </row>
    <row r="51" spans="1:9" ht="12" thickTop="1" x14ac:dyDescent="0.2">
      <c r="A51" s="35" t="s">
        <v>884</v>
      </c>
      <c r="B51" s="2"/>
      <c r="C51" s="38">
        <f>C50+C31</f>
        <v>3016935.49</v>
      </c>
      <c r="D51" s="38">
        <f>D50+D31</f>
        <v>651899.76</v>
      </c>
      <c r="E51" s="38">
        <f>E50+E31</f>
        <v>529624.9</v>
      </c>
      <c r="F51" s="38">
        <f>F50+F31</f>
        <v>0</v>
      </c>
      <c r="G51" s="38">
        <f>G50+G31</f>
        <v>1407911.27</v>
      </c>
      <c r="H51" s="38">
        <f t="shared" si="2"/>
        <v>5606371.4199999999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44631565</v>
      </c>
      <c r="D56" s="73">
        <f>'DOE25'!G60</f>
        <v>0</v>
      </c>
      <c r="E56" s="73">
        <f>'DOE25'!H60</f>
        <v>0</v>
      </c>
      <c r="F56" s="73">
        <f>'DOE25'!I60</f>
        <v>0</v>
      </c>
      <c r="G56" s="73">
        <f>'DOE25'!J60</f>
        <v>0</v>
      </c>
      <c r="H56" s="13">
        <f t="shared" ref="H56:H63" si="3">SUM(C56:G56)</f>
        <v>44631565</v>
      </c>
      <c r="I56"/>
    </row>
    <row r="57" spans="1:9" x14ac:dyDescent="0.2">
      <c r="A57" s="1" t="s">
        <v>164</v>
      </c>
      <c r="B57" s="6" t="s">
        <v>165</v>
      </c>
      <c r="C57" s="73">
        <f>'DOE25'!F79</f>
        <v>107970</v>
      </c>
      <c r="D57" s="23" t="s">
        <v>288</v>
      </c>
      <c r="E57" s="73">
        <f>'DOE25'!H79</f>
        <v>123550.74</v>
      </c>
      <c r="F57" s="23" t="s">
        <v>288</v>
      </c>
      <c r="G57" s="23" t="s">
        <v>288</v>
      </c>
      <c r="H57" s="13">
        <f t="shared" si="3"/>
        <v>231520.74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67977.66</v>
      </c>
      <c r="D59" s="73">
        <f>'DOE25'!G96</f>
        <v>0</v>
      </c>
      <c r="E59" s="73">
        <f>'DOE25'!H96</f>
        <v>0</v>
      </c>
      <c r="F59" s="73">
        <f>'DOE25'!I96</f>
        <v>0</v>
      </c>
      <c r="G59" s="73">
        <f>'DOE25'!J96</f>
        <v>25531.759999999998</v>
      </c>
      <c r="H59" s="13">
        <f t="shared" si="3"/>
        <v>93509.42</v>
      </c>
      <c r="I59"/>
    </row>
    <row r="60" spans="1:9" x14ac:dyDescent="0.2">
      <c r="A60" s="1" t="s">
        <v>170</v>
      </c>
      <c r="B60" s="22" t="s">
        <v>171</v>
      </c>
      <c r="C60" s="23" t="s">
        <v>288</v>
      </c>
      <c r="D60" s="73">
        <f>'DOE25'!G97</f>
        <v>764185</v>
      </c>
      <c r="E60" s="23" t="s">
        <v>288</v>
      </c>
      <c r="F60" s="23" t="s">
        <v>288</v>
      </c>
      <c r="G60" s="23" t="s">
        <v>288</v>
      </c>
      <c r="H60" s="13">
        <f t="shared" si="3"/>
        <v>764185</v>
      </c>
      <c r="I60"/>
    </row>
    <row r="61" spans="1:9" ht="12" thickBot="1" x14ac:dyDescent="0.25">
      <c r="A61" s="1" t="s">
        <v>172</v>
      </c>
      <c r="B61" s="22" t="s">
        <v>173</v>
      </c>
      <c r="C61" s="73">
        <f>SUM('DOE25'!F98:F110)</f>
        <v>231585.88</v>
      </c>
      <c r="D61" s="73">
        <f>SUM('DOE25'!G98:G110)</f>
        <v>2181.0500000000002</v>
      </c>
      <c r="E61" s="73">
        <f>SUM('DOE25'!H98:H110)</f>
        <v>168010.15000000002</v>
      </c>
      <c r="F61" s="73">
        <f>SUM('DOE25'!I98:I110)</f>
        <v>0</v>
      </c>
      <c r="G61" s="73">
        <f>SUM('DOE25'!J98:J110)</f>
        <v>0</v>
      </c>
      <c r="H61" s="13">
        <f t="shared" si="3"/>
        <v>401777.08</v>
      </c>
      <c r="I61"/>
    </row>
    <row r="62" spans="1:9" ht="12.75" thickTop="1" thickBot="1" x14ac:dyDescent="0.25">
      <c r="A62" s="28" t="s">
        <v>174</v>
      </c>
      <c r="B62" s="6"/>
      <c r="C62" s="93">
        <f>SUM(C57:C61)</f>
        <v>407533.54000000004</v>
      </c>
      <c r="D62" s="93">
        <f>SUM(D57:D61)</f>
        <v>766366.05</v>
      </c>
      <c r="E62" s="93">
        <f>SUM(E57:E61)</f>
        <v>291560.89</v>
      </c>
      <c r="F62" s="93">
        <f>SUM(F57:F61)</f>
        <v>0</v>
      </c>
      <c r="G62" s="93">
        <f>SUM(G57:G61)</f>
        <v>25531.759999999998</v>
      </c>
      <c r="H62" s="13">
        <f t="shared" si="3"/>
        <v>1490992.24</v>
      </c>
      <c r="I62"/>
    </row>
    <row r="63" spans="1:9" ht="12" thickTop="1" x14ac:dyDescent="0.2">
      <c r="A63" s="28" t="s">
        <v>175</v>
      </c>
      <c r="B63" s="6"/>
      <c r="C63" s="21">
        <f>C56+C62</f>
        <v>45039098.539999999</v>
      </c>
      <c r="D63" s="21">
        <f>D56+D62</f>
        <v>766366.05</v>
      </c>
      <c r="E63" s="21">
        <f>E56+E62</f>
        <v>291560.89</v>
      </c>
      <c r="F63" s="21">
        <f>F56+F62</f>
        <v>0</v>
      </c>
      <c r="G63" s="21">
        <f>G56+G62</f>
        <v>25531.759999999998</v>
      </c>
      <c r="H63" s="13">
        <f t="shared" si="3"/>
        <v>46122557.239999995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8598967.1199999992</v>
      </c>
      <c r="D66" s="23" t="s">
        <v>288</v>
      </c>
      <c r="E66" s="23" t="s">
        <v>288</v>
      </c>
      <c r="F66" s="23" t="s">
        <v>288</v>
      </c>
      <c r="G66" s="23" t="s">
        <v>288</v>
      </c>
      <c r="H66" s="13">
        <f t="shared" ref="H66:H81" si="4">SUM(C66:G66)</f>
        <v>8598967.1199999992</v>
      </c>
      <c r="I66"/>
    </row>
    <row r="67" spans="1:9" x14ac:dyDescent="0.2">
      <c r="A67" s="1" t="s">
        <v>770</v>
      </c>
      <c r="B67" s="6">
        <v>3112</v>
      </c>
      <c r="C67" s="73">
        <f>'DOE25'!F118</f>
        <v>3963511</v>
      </c>
      <c r="D67" s="23"/>
      <c r="E67" s="23"/>
      <c r="F67" s="23"/>
      <c r="G67" s="23"/>
      <c r="H67" s="13">
        <f t="shared" si="4"/>
        <v>3963511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331725.64</v>
      </c>
      <c r="D69" s="73">
        <f>'DOE25'!G120</f>
        <v>0</v>
      </c>
      <c r="E69" s="73">
        <f>'DOE25'!H120</f>
        <v>0</v>
      </c>
      <c r="F69" s="73">
        <f>'DOE25'!I120</f>
        <v>0</v>
      </c>
      <c r="G69" s="73">
        <f>'DOE25'!J120</f>
        <v>0</v>
      </c>
      <c r="H69" s="13">
        <f t="shared" si="4"/>
        <v>331725.64</v>
      </c>
      <c r="I69"/>
    </row>
    <row r="70" spans="1:9" ht="12" thickTop="1" x14ac:dyDescent="0.2">
      <c r="A70" s="28" t="s">
        <v>252</v>
      </c>
      <c r="B70" s="2"/>
      <c r="C70" s="97">
        <f>SUM(C66:C69)</f>
        <v>12894203.76</v>
      </c>
      <c r="D70" s="97">
        <f>D69</f>
        <v>0</v>
      </c>
      <c r="E70" s="97">
        <f>E69</f>
        <v>0</v>
      </c>
      <c r="F70" s="97">
        <f>F69</f>
        <v>0</v>
      </c>
      <c r="G70" s="97">
        <f>G69</f>
        <v>0</v>
      </c>
      <c r="H70" s="13">
        <f t="shared" si="4"/>
        <v>12894203.76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602994.56999999995</v>
      </c>
      <c r="D72" s="23" t="s">
        <v>288</v>
      </c>
      <c r="E72" s="23" t="s">
        <v>288</v>
      </c>
      <c r="F72" s="73">
        <f>'DOE25'!I123</f>
        <v>0</v>
      </c>
      <c r="G72" s="23" t="s">
        <v>288</v>
      </c>
      <c r="H72" s="13">
        <f t="shared" si="4"/>
        <v>602994.56999999995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340162.08</v>
      </c>
      <c r="D75" s="23" t="s">
        <v>288</v>
      </c>
      <c r="E75" s="23" t="s">
        <v>288</v>
      </c>
      <c r="F75" s="23" t="s">
        <v>288</v>
      </c>
      <c r="G75" s="23" t="s">
        <v>288</v>
      </c>
      <c r="H75" s="13">
        <f t="shared" si="4"/>
        <v>340162.08</v>
      </c>
      <c r="I75"/>
    </row>
    <row r="76" spans="1:9" x14ac:dyDescent="0.2">
      <c r="A76" s="1" t="s">
        <v>257</v>
      </c>
      <c r="B76" s="6" t="s">
        <v>179</v>
      </c>
      <c r="C76" s="73">
        <f>SUM('DOE25'!F127:F130)</f>
        <v>21082</v>
      </c>
      <c r="D76" s="23" t="s">
        <v>288</v>
      </c>
      <c r="E76" s="73">
        <f>SUM('DOE25'!H127:H130)</f>
        <v>0</v>
      </c>
      <c r="F76" s="73">
        <f>SUM('DOE25'!I127:I130)</f>
        <v>0</v>
      </c>
      <c r="G76" s="23" t="s">
        <v>288</v>
      </c>
      <c r="H76" s="13">
        <f t="shared" si="4"/>
        <v>21082</v>
      </c>
      <c r="I76"/>
    </row>
    <row r="77" spans="1:9" ht="12" thickBot="1" x14ac:dyDescent="0.25">
      <c r="A77" s="1" t="s">
        <v>258</v>
      </c>
      <c r="B77" s="6" t="s">
        <v>180</v>
      </c>
      <c r="C77" s="73">
        <f>SUM('DOE25'!F131:F135)</f>
        <v>0</v>
      </c>
      <c r="D77" s="73">
        <f>SUM('DOE25'!G131:G135)</f>
        <v>12865.73</v>
      </c>
      <c r="E77" s="73">
        <f>SUM('DOE25'!H131:H135)</f>
        <v>0</v>
      </c>
      <c r="F77" s="73">
        <f>SUM('DOE25'!I131:I135)</f>
        <v>0</v>
      </c>
      <c r="G77" s="73">
        <f>SUM('DOE25'!J131:J135)</f>
        <v>0</v>
      </c>
      <c r="H77" s="13">
        <f t="shared" si="4"/>
        <v>12865.73</v>
      </c>
      <c r="I77"/>
    </row>
    <row r="78" spans="1:9" ht="12.75" thickTop="1" thickBot="1" x14ac:dyDescent="0.25">
      <c r="A78" s="28" t="s">
        <v>259</v>
      </c>
      <c r="B78" s="6"/>
      <c r="C78" s="93">
        <f>SUM(C72:C77)</f>
        <v>964238.64999999991</v>
      </c>
      <c r="D78" s="93">
        <f>SUM(D72:D77)</f>
        <v>12865.73</v>
      </c>
      <c r="E78" s="93">
        <f>SUM(E72:E77)</f>
        <v>0</v>
      </c>
      <c r="F78" s="93">
        <f>SUM(F72:F77)</f>
        <v>0</v>
      </c>
      <c r="G78" s="93">
        <f>SUM(G72:G77)</f>
        <v>0</v>
      </c>
      <c r="H78" s="13">
        <f t="shared" si="4"/>
        <v>977104.37999999989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13858442.41</v>
      </c>
      <c r="D81" s="93">
        <f>SUM(D79:D80)+D78+D70</f>
        <v>12865.73</v>
      </c>
      <c r="E81" s="93">
        <f>SUM(E79:E80)+E78+E70</f>
        <v>0</v>
      </c>
      <c r="F81" s="93">
        <f>SUM(F79:F80)+F78+F70</f>
        <v>0</v>
      </c>
      <c r="G81" s="93">
        <f>SUM(G79:G80)+G78+G70</f>
        <v>0</v>
      </c>
      <c r="H81" s="93">
        <f t="shared" si="4"/>
        <v>13871308.140000001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150455</v>
      </c>
      <c r="E85" s="73">
        <f>'DOE25'!H147</f>
        <v>0</v>
      </c>
      <c r="F85" s="73">
        <f>'DOE25'!I147</f>
        <v>0</v>
      </c>
      <c r="G85" s="23" t="s">
        <v>288</v>
      </c>
      <c r="H85" s="13">
        <f t="shared" ref="H85:H104" si="5">SUM(C85:G85)</f>
        <v>150455</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32643.63</v>
      </c>
      <c r="D88" s="253">
        <f>SUM('DOE25'!G153:G162)</f>
        <v>268747.62</v>
      </c>
      <c r="E88" s="253">
        <f>SUM('DOE25'!H153:H162)</f>
        <v>966946.2</v>
      </c>
      <c r="F88" s="253">
        <f>SUM('DOE25'!I153:I162)</f>
        <v>0</v>
      </c>
      <c r="G88" s="23" t="s">
        <v>288</v>
      </c>
      <c r="H88" s="13">
        <f t="shared" si="5"/>
        <v>1268337.45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32643.63</v>
      </c>
      <c r="D91" s="94">
        <f>SUM(D85:D90)</f>
        <v>419202.62</v>
      </c>
      <c r="E91" s="94">
        <f>SUM(E85:E90)</f>
        <v>966946.2</v>
      </c>
      <c r="F91" s="94">
        <f>SUM(F85:F90)</f>
        <v>0</v>
      </c>
      <c r="G91" s="23" t="s">
        <v>288</v>
      </c>
      <c r="H91" s="13">
        <f t="shared" si="5"/>
        <v>1418792.45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550000</v>
      </c>
      <c r="H96" s="13">
        <f t="shared" si="5"/>
        <v>550000</v>
      </c>
    </row>
    <row r="97" spans="1:8" x14ac:dyDescent="0.2">
      <c r="A97" t="s">
        <v>754</v>
      </c>
      <c r="B97" s="31" t="s">
        <v>188</v>
      </c>
      <c r="C97" s="73">
        <f>SUM('DOE25'!F181:F182)</f>
        <v>218660.82</v>
      </c>
      <c r="D97" s="73">
        <f>SUM('DOE25'!G181:G182)</f>
        <v>0</v>
      </c>
      <c r="E97" s="73">
        <f>SUM('DOE25'!H181:H182)</f>
        <v>0</v>
      </c>
      <c r="F97" s="73">
        <f>SUM('DOE25'!I181:I182)</f>
        <v>0</v>
      </c>
      <c r="G97" s="73">
        <f>SUM('DOE25'!J181:J182)</f>
        <v>0</v>
      </c>
      <c r="H97" s="13">
        <f t="shared" si="5"/>
        <v>218660.82</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705408.55</v>
      </c>
      <c r="D100" s="73">
        <f>SUM('DOE25'!G187:G188)</f>
        <v>0</v>
      </c>
      <c r="E100" s="73">
        <f>SUM('DOE25'!H187:H188)</f>
        <v>0</v>
      </c>
      <c r="F100" s="73">
        <f>SUM('DOE25'!I187:I188)</f>
        <v>0</v>
      </c>
      <c r="G100" s="23" t="s">
        <v>288</v>
      </c>
      <c r="H100" s="13">
        <f t="shared" si="5"/>
        <v>705408.55</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924069.37000000011</v>
      </c>
      <c r="D103" s="68">
        <f>SUM(D93:D102)</f>
        <v>0</v>
      </c>
      <c r="E103" s="68">
        <f>SUM(E93:E102)</f>
        <v>0</v>
      </c>
      <c r="F103" s="68">
        <f>SUM(F93:F102)</f>
        <v>0</v>
      </c>
      <c r="G103" s="68">
        <f>SUM(G93:G102)</f>
        <v>550000</v>
      </c>
      <c r="H103" s="68">
        <f t="shared" si="5"/>
        <v>1474069.37</v>
      </c>
    </row>
    <row r="104" spans="1:8" ht="12.75" thickTop="1" thickBot="1" x14ac:dyDescent="0.25">
      <c r="A104" s="32" t="s">
        <v>761</v>
      </c>
      <c r="C104" s="68">
        <f>C63+C81+C91+C103</f>
        <v>59854253.950000003</v>
      </c>
      <c r="D104" s="68">
        <f>D63+D81+D91+D103</f>
        <v>1198434.3999999999</v>
      </c>
      <c r="E104" s="68">
        <f>E63+E81+E91+E103</f>
        <v>1258507.0899999999</v>
      </c>
      <c r="F104" s="68">
        <f>F63+F81+F91+F103</f>
        <v>0</v>
      </c>
      <c r="G104" s="68">
        <f>G63+G81+G103</f>
        <v>575531.76</v>
      </c>
      <c r="H104" s="68">
        <f t="shared" si="5"/>
        <v>62886727.199999996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20868920.649999999</v>
      </c>
      <c r="D109" s="23" t="s">
        <v>288</v>
      </c>
      <c r="E109" s="73">
        <f>('DOE25'!L277)+('DOE25'!L296)+('DOE25'!L315)</f>
        <v>319347.94</v>
      </c>
      <c r="F109" s="23" t="s">
        <v>288</v>
      </c>
      <c r="G109" s="23" t="s">
        <v>288</v>
      </c>
      <c r="H109" s="13">
        <f t="shared" ref="H109:H115" si="6">SUM(C109:G109)</f>
        <v>21188268.59</v>
      </c>
    </row>
    <row r="110" spans="1:8" x14ac:dyDescent="0.2">
      <c r="A110" t="s">
        <v>198</v>
      </c>
      <c r="B110" s="31" t="s">
        <v>199</v>
      </c>
      <c r="C110" s="73">
        <f>('DOE25'!L199)+('DOE25'!L217)+('DOE25'!L235)</f>
        <v>9740486.6799999997</v>
      </c>
      <c r="D110" s="23" t="s">
        <v>288</v>
      </c>
      <c r="E110" s="73">
        <f>('DOE25'!L278)+('DOE25'!L297)+('DOE25'!L316)</f>
        <v>785467.24</v>
      </c>
      <c r="F110" s="23" t="s">
        <v>288</v>
      </c>
      <c r="G110" s="23" t="s">
        <v>288</v>
      </c>
      <c r="H110" s="13">
        <f t="shared" si="6"/>
        <v>10525953.92</v>
      </c>
    </row>
    <row r="111" spans="1:8" x14ac:dyDescent="0.2">
      <c r="A111" t="s">
        <v>200</v>
      </c>
      <c r="B111" s="31" t="s">
        <v>165</v>
      </c>
      <c r="C111" s="73">
        <f>('DOE25'!L200)+('DOE25'!L218)+('DOE25'!L236)</f>
        <v>265555.26</v>
      </c>
      <c r="D111" s="23" t="s">
        <v>288</v>
      </c>
      <c r="E111" s="73">
        <f>('DOE25'!L279)+('DOE25'!L298)+('DOE25'!L317)</f>
        <v>0</v>
      </c>
      <c r="F111" s="23" t="s">
        <v>288</v>
      </c>
      <c r="G111" s="23" t="s">
        <v>288</v>
      </c>
      <c r="H111" s="13">
        <f t="shared" si="6"/>
        <v>265555.26</v>
      </c>
    </row>
    <row r="112" spans="1:8" x14ac:dyDescent="0.2">
      <c r="A112" t="s">
        <v>201</v>
      </c>
      <c r="B112" s="31" t="s">
        <v>167</v>
      </c>
      <c r="C112" s="73">
        <f>('DOE25'!L201)+('DOE25'!L219)+('DOE25'!L237)</f>
        <v>1261680.8900000001</v>
      </c>
      <c r="D112" s="23" t="s">
        <v>288</v>
      </c>
      <c r="E112" s="73">
        <f>+('DOE25'!L280)+('DOE25'!L299)+('DOE25'!L318)</f>
        <v>280734.11</v>
      </c>
      <c r="F112" s="23" t="s">
        <v>288</v>
      </c>
      <c r="G112" s="23" t="s">
        <v>288</v>
      </c>
      <c r="H112" s="13">
        <f t="shared" si="6"/>
        <v>1542415</v>
      </c>
    </row>
    <row r="113" spans="1:8" x14ac:dyDescent="0.2">
      <c r="A113" t="s">
        <v>202</v>
      </c>
      <c r="B113" s="31" t="s">
        <v>169</v>
      </c>
      <c r="C113" s="73">
        <f>'DOE25'!L251</f>
        <v>574.74</v>
      </c>
      <c r="D113" s="23" t="s">
        <v>288</v>
      </c>
      <c r="E113" s="73">
        <f>+'DOE25'!L333</f>
        <v>0</v>
      </c>
      <c r="F113" s="23" t="s">
        <v>288</v>
      </c>
      <c r="G113" s="23" t="s">
        <v>288</v>
      </c>
      <c r="H113" s="13">
        <f t="shared" si="6"/>
        <v>574.74</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32137218.219999999</v>
      </c>
      <c r="D115" s="68">
        <f>SUM(D109:D114)</f>
        <v>0</v>
      </c>
      <c r="E115" s="68">
        <f>SUM(E109:E114)</f>
        <v>1385549.29</v>
      </c>
      <c r="F115" s="68">
        <f>SUM(F109:F114)</f>
        <v>0</v>
      </c>
      <c r="G115" s="68">
        <f>SUM(G109:G114)</f>
        <v>0</v>
      </c>
      <c r="H115" s="68">
        <f t="shared" si="6"/>
        <v>33522767.509999998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4784391.33</v>
      </c>
      <c r="D118" s="23" t="s">
        <v>288</v>
      </c>
      <c r="E118" s="73">
        <f>+('DOE25'!L282)+('DOE25'!L301)+('DOE25'!L320)</f>
        <v>93260.12</v>
      </c>
      <c r="F118" s="23" t="s">
        <v>288</v>
      </c>
      <c r="G118" s="23" t="s">
        <v>288</v>
      </c>
      <c r="H118" s="13">
        <f t="shared" ref="H118:H145" si="7">SUM(C118:G118)</f>
        <v>4877651.45</v>
      </c>
    </row>
    <row r="119" spans="1:8" x14ac:dyDescent="0.2">
      <c r="A119" t="s">
        <v>208</v>
      </c>
      <c r="B119" s="31" t="s">
        <v>209</v>
      </c>
      <c r="C119" s="73">
        <f>('DOE25'!L204)+('DOE25'!L222)+('DOE25'!L240)</f>
        <v>2471495.88</v>
      </c>
      <c r="D119" s="23" t="s">
        <v>288</v>
      </c>
      <c r="E119" s="73">
        <f>+('DOE25'!L283)+('DOE25'!L302)+('DOE25'!L321)</f>
        <v>132123.95000000001</v>
      </c>
      <c r="F119" s="23" t="s">
        <v>288</v>
      </c>
      <c r="G119" s="23" t="s">
        <v>288</v>
      </c>
      <c r="H119" s="13">
        <f t="shared" si="7"/>
        <v>2603619.83</v>
      </c>
    </row>
    <row r="120" spans="1:8" x14ac:dyDescent="0.2">
      <c r="A120" t="s">
        <v>210</v>
      </c>
      <c r="B120" s="31" t="s">
        <v>211</v>
      </c>
      <c r="C120" s="73">
        <f>('DOE25'!L205)+('DOE25'!L223)+('DOE25'!L241)</f>
        <v>2570497.5</v>
      </c>
      <c r="D120" s="23" t="s">
        <v>288</v>
      </c>
      <c r="E120" s="73">
        <f>+('DOE25'!L284)+('DOE25'!L303)+('DOE25'!L322)</f>
        <v>0</v>
      </c>
      <c r="F120" s="23" t="s">
        <v>288</v>
      </c>
      <c r="G120" s="23" t="s">
        <v>288</v>
      </c>
      <c r="H120" s="13">
        <f t="shared" si="7"/>
        <v>2570497.5</v>
      </c>
    </row>
    <row r="121" spans="1:8" x14ac:dyDescent="0.2">
      <c r="A121" t="s">
        <v>212</v>
      </c>
      <c r="B121" s="31" t="s">
        <v>213</v>
      </c>
      <c r="C121" s="73">
        <f>('DOE25'!L206)+('DOE25'!L224)+('DOE25'!L242)</f>
        <v>2552015.09</v>
      </c>
      <c r="D121" s="23" t="s">
        <v>288</v>
      </c>
      <c r="E121" s="73">
        <f>+('DOE25'!L285)+('DOE25'!L304)+('DOE25'!L323)</f>
        <v>6866.11</v>
      </c>
      <c r="F121" s="23" t="s">
        <v>288</v>
      </c>
      <c r="G121" s="23" t="s">
        <v>288</v>
      </c>
      <c r="H121" s="13">
        <f t="shared" si="7"/>
        <v>2558881.1999999997</v>
      </c>
    </row>
    <row r="122" spans="1:8" x14ac:dyDescent="0.2">
      <c r="A122" t="s">
        <v>214</v>
      </c>
      <c r="B122" s="31" t="s">
        <v>215</v>
      </c>
      <c r="C122" s="73">
        <f>('DOE25'!L207)+('DOE25'!L225)+('DOE25'!L243)</f>
        <v>838952.86</v>
      </c>
      <c r="D122" s="23" t="s">
        <v>288</v>
      </c>
      <c r="E122" s="73">
        <f>+('DOE25'!L286)+('DOE25'!L305)+('DOE25'!L324)</f>
        <v>6000</v>
      </c>
      <c r="F122" s="23" t="s">
        <v>288</v>
      </c>
      <c r="G122" s="23" t="s">
        <v>288</v>
      </c>
      <c r="H122" s="13">
        <f t="shared" si="7"/>
        <v>844952.86</v>
      </c>
    </row>
    <row r="123" spans="1:8" x14ac:dyDescent="0.2">
      <c r="A123" t="s">
        <v>216</v>
      </c>
      <c r="B123" s="31" t="s">
        <v>217</v>
      </c>
      <c r="C123" s="73">
        <f>('DOE25'!L208)+('DOE25'!L226)+('DOE25'!L244)</f>
        <v>4958937.7870000005</v>
      </c>
      <c r="D123" s="23" t="s">
        <v>288</v>
      </c>
      <c r="E123" s="73">
        <f>+('DOE25'!L287)+('DOE25'!L306)+('DOE25'!L325)</f>
        <v>33844.5</v>
      </c>
      <c r="F123" s="23" t="s">
        <v>288</v>
      </c>
      <c r="G123" s="23" t="s">
        <v>288</v>
      </c>
      <c r="H123" s="13">
        <f t="shared" si="7"/>
        <v>4992782.2870000005</v>
      </c>
    </row>
    <row r="124" spans="1:8" x14ac:dyDescent="0.2">
      <c r="A124" t="s">
        <v>218</v>
      </c>
      <c r="B124" s="31" t="s">
        <v>219</v>
      </c>
      <c r="C124" s="73">
        <f>('DOE25'!L209)+('DOE25'!L227)+('DOE25'!L245+'DOE25'!L255)</f>
        <v>3344358.13</v>
      </c>
      <c r="D124" s="23" t="s">
        <v>288</v>
      </c>
      <c r="E124" s="73">
        <f>+('DOE25'!L288)+('DOE25'!L307)+('DOE25'!L326)</f>
        <v>0</v>
      </c>
      <c r="F124" s="23" t="s">
        <v>288</v>
      </c>
      <c r="G124" s="23" t="s">
        <v>288</v>
      </c>
      <c r="H124" s="13">
        <f t="shared" si="7"/>
        <v>3344358.13</v>
      </c>
    </row>
    <row r="125" spans="1:8" x14ac:dyDescent="0.2">
      <c r="A125" t="s">
        <v>220</v>
      </c>
      <c r="B125" s="31" t="s">
        <v>221</v>
      </c>
      <c r="C125" s="73">
        <f>('DOE25'!L210)+('DOE25'!L228)+('DOE25'!L246)</f>
        <v>397650.86</v>
      </c>
      <c r="D125" s="23" t="s">
        <v>288</v>
      </c>
      <c r="E125" s="73">
        <f>+('DOE25'!L289)+('DOE25'!L308)+('DOE25'!L327)</f>
        <v>0</v>
      </c>
      <c r="F125" s="23" t="s">
        <v>288</v>
      </c>
      <c r="G125" s="23" t="s">
        <v>288</v>
      </c>
      <c r="H125" s="13">
        <f t="shared" si="7"/>
        <v>397650.86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1096122.1600000001</v>
      </c>
      <c r="E127" s="23" t="s">
        <v>288</v>
      </c>
      <c r="F127" s="23" t="s">
        <v>288</v>
      </c>
      <c r="G127" s="23" t="s">
        <v>288</v>
      </c>
      <c r="H127" s="13">
        <f t="shared" si="7"/>
        <v>1096122.1600000001</v>
      </c>
    </row>
    <row r="128" spans="1:8" ht="12.75" thickTop="1" thickBot="1" x14ac:dyDescent="0.25">
      <c r="A128" s="32" t="s">
        <v>226</v>
      </c>
      <c r="C128" s="68">
        <f>SUM(C118:C127)</f>
        <v>21918299.436999999</v>
      </c>
      <c r="D128" s="68">
        <f>SUM(D118:D127)</f>
        <v>1096122.1600000001</v>
      </c>
      <c r="E128" s="68">
        <f>SUM(E118:E127)</f>
        <v>272094.68</v>
      </c>
      <c r="F128" s="68">
        <f>SUM(F118:F127)</f>
        <v>0</v>
      </c>
      <c r="G128" s="68">
        <f>SUM(G118:G127)</f>
        <v>0</v>
      </c>
      <c r="H128" s="68">
        <f t="shared" si="7"/>
        <v>23286516.276999999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849817.14</v>
      </c>
      <c r="D130" s="23" t="s">
        <v>288</v>
      </c>
      <c r="E130" s="92">
        <f>'DOE25'!L337</f>
        <v>12274.94</v>
      </c>
      <c r="F130" s="92">
        <f>SUM('DOE25'!L375:'DOE25'!L381)</f>
        <v>0</v>
      </c>
      <c r="G130" s="23" t="s">
        <v>288</v>
      </c>
      <c r="H130" s="13">
        <f t="shared" si="7"/>
        <v>862092.08</v>
      </c>
    </row>
    <row r="131" spans="1:8" x14ac:dyDescent="0.2">
      <c r="A131" t="s">
        <v>229</v>
      </c>
      <c r="B131" s="31">
        <v>5110</v>
      </c>
      <c r="C131" s="73">
        <f>'DOE25'!L261</f>
        <v>3400000</v>
      </c>
      <c r="D131" s="23" t="s">
        <v>288</v>
      </c>
      <c r="E131" s="92">
        <f>'DOE25'!L342</f>
        <v>0</v>
      </c>
      <c r="F131" s="23" t="s">
        <v>288</v>
      </c>
      <c r="G131" s="23" t="s">
        <v>288</v>
      </c>
      <c r="H131" s="13">
        <f t="shared" si="7"/>
        <v>3400000</v>
      </c>
    </row>
    <row r="132" spans="1:8" x14ac:dyDescent="0.2">
      <c r="A132" t="s">
        <v>230</v>
      </c>
      <c r="B132" s="31">
        <v>5120</v>
      </c>
      <c r="C132" s="73">
        <f>'DOE25'!L262</f>
        <v>1348100</v>
      </c>
      <c r="D132" s="23" t="s">
        <v>288</v>
      </c>
      <c r="E132" s="92">
        <f>'DOE25'!L343</f>
        <v>0</v>
      </c>
      <c r="F132" s="23" t="s">
        <v>288</v>
      </c>
      <c r="G132" s="23" t="s">
        <v>288</v>
      </c>
      <c r="H132" s="13">
        <f t="shared" si="7"/>
        <v>1348100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575531.76</v>
      </c>
      <c r="D139" s="23" t="s">
        <v>288</v>
      </c>
      <c r="E139" s="23" t="s">
        <v>288</v>
      </c>
      <c r="F139" s="23" t="s">
        <v>288</v>
      </c>
      <c r="G139" s="23" t="s">
        <v>288</v>
      </c>
      <c r="H139" s="13">
        <f t="shared" si="7"/>
        <v>575531.76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-25531.760000000009</v>
      </c>
      <c r="D141" s="23" t="s">
        <v>288</v>
      </c>
      <c r="E141" s="23" t="s">
        <v>288</v>
      </c>
      <c r="F141" s="23" t="s">
        <v>288</v>
      </c>
      <c r="G141" s="23" t="s">
        <v>288</v>
      </c>
      <c r="H141" s="13">
        <f t="shared" si="7"/>
        <v>-25531.760000000009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6147917.1399999997</v>
      </c>
      <c r="D144" s="98">
        <f>SUM(D130:D143)</f>
        <v>0</v>
      </c>
      <c r="E144" s="98">
        <f>SUM(E130:E143)</f>
        <v>12274.94</v>
      </c>
      <c r="F144" s="98">
        <f>SUM(F130:F143)</f>
        <v>0</v>
      </c>
      <c r="G144" s="98">
        <f>SUM(G130:G143)</f>
        <v>0</v>
      </c>
      <c r="H144" s="98">
        <f t="shared" si="7"/>
        <v>6160192.0800000001</v>
      </c>
    </row>
    <row r="145" spans="1:9" ht="12.75" thickTop="1" thickBot="1" x14ac:dyDescent="0.25">
      <c r="A145" s="32" t="s">
        <v>244</v>
      </c>
      <c r="C145" s="68">
        <f>(C115+C128+C144)</f>
        <v>60203434.796999998</v>
      </c>
      <c r="D145" s="68">
        <f>(D115+D128+D144)</f>
        <v>1096122.1600000001</v>
      </c>
      <c r="E145" s="68">
        <f>(E115+E128+E144)</f>
        <v>1669918.91</v>
      </c>
      <c r="F145" s="68">
        <f>(F115+F128+F144)</f>
        <v>0</v>
      </c>
      <c r="G145" s="68">
        <f>(G115+G128+G144)</f>
        <v>0</v>
      </c>
      <c r="H145" s="68">
        <f t="shared" si="7"/>
        <v>62969475.866999999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11</v>
      </c>
      <c r="C151" s="110">
        <f>'DOE25'!G491</f>
        <v>20</v>
      </c>
      <c r="D151" s="110">
        <f>'DOE25'!H491</f>
        <v>0</v>
      </c>
      <c r="E151" s="110">
        <f>'DOE25'!I491</f>
        <v>0</v>
      </c>
      <c r="F151" s="110">
        <f>'DOE25'!J491</f>
        <v>0</v>
      </c>
      <c r="G151" s="23" t="s">
        <v>288</v>
      </c>
    </row>
    <row r="152" spans="1:9" x14ac:dyDescent="0.2">
      <c r="A152" s="21" t="s">
        <v>28</v>
      </c>
      <c r="B152" s="109" t="str">
        <f>'DOE25'!F492</f>
        <v>01/15</v>
      </c>
      <c r="C152" s="109" t="str">
        <f>'DOE25'!G492</f>
        <v>08/2017</v>
      </c>
      <c r="D152" s="109">
        <f>'DOE25'!H492</f>
        <v>0</v>
      </c>
      <c r="E152" s="109">
        <f>'DOE25'!I492</f>
        <v>0</v>
      </c>
      <c r="F152" s="109">
        <f>'DOE25'!J492</f>
        <v>0</v>
      </c>
      <c r="G152" s="23" t="s">
        <v>288</v>
      </c>
    </row>
    <row r="153" spans="1:9" x14ac:dyDescent="0.2">
      <c r="A153" s="21" t="s">
        <v>29</v>
      </c>
      <c r="B153" s="109" t="str">
        <f>'DOE25'!F493</f>
        <v>07/2025</v>
      </c>
      <c r="C153" s="109" t="str">
        <f>'DOE25'!G493</f>
        <v>08/2037</v>
      </c>
      <c r="D153" s="109">
        <f>'DOE25'!H493</f>
        <v>0</v>
      </c>
      <c r="E153" s="109">
        <f>'DOE25'!I493</f>
        <v>0</v>
      </c>
      <c r="F153" s="109">
        <f>'DOE25'!J493</f>
        <v>0</v>
      </c>
      <c r="G153" s="23" t="s">
        <v>288</v>
      </c>
    </row>
    <row r="154" spans="1:9" x14ac:dyDescent="0.2">
      <c r="A154" s="21" t="s">
        <v>30</v>
      </c>
      <c r="B154" s="19">
        <f>'DOE25'!F494</f>
        <v>19305000</v>
      </c>
      <c r="C154" s="19">
        <f>'DOE25'!G494</f>
        <v>38107102</v>
      </c>
      <c r="D154" s="19">
        <f>'DOE25'!H494</f>
        <v>0</v>
      </c>
      <c r="E154" s="19">
        <f>'DOE25'!I494</f>
        <v>0</v>
      </c>
      <c r="F154" s="19">
        <f>'DOE25'!J494</f>
        <v>0</v>
      </c>
      <c r="G154" s="23" t="s">
        <v>288</v>
      </c>
    </row>
    <row r="155" spans="1:9" x14ac:dyDescent="0.2">
      <c r="A155" s="21" t="s">
        <v>31</v>
      </c>
      <c r="B155" s="19">
        <f>'DOE25'!F495</f>
        <v>3</v>
      </c>
      <c r="C155" s="19">
        <f>'DOE25'!G495</f>
        <v>2.67</v>
      </c>
      <c r="D155" s="19">
        <f>'DOE25'!H495</f>
        <v>0</v>
      </c>
      <c r="E155" s="19">
        <f>'DOE25'!I495</f>
        <v>0</v>
      </c>
      <c r="F155" s="19">
        <f>'DOE25'!J495</f>
        <v>0</v>
      </c>
      <c r="G155" s="23" t="s">
        <v>288</v>
      </c>
    </row>
    <row r="156" spans="1:9" x14ac:dyDescent="0.2">
      <c r="A156" s="21" t="s">
        <v>32</v>
      </c>
      <c r="B156" s="19">
        <f>'DOE25'!F496</f>
        <v>6800000</v>
      </c>
      <c r="C156" s="19">
        <f>'DOE25'!G496</f>
        <v>27200000</v>
      </c>
      <c r="D156" s="19">
        <f>'DOE25'!H496</f>
        <v>0</v>
      </c>
      <c r="E156" s="19">
        <f>'DOE25'!I496</f>
        <v>0</v>
      </c>
      <c r="F156" s="19">
        <f>'DOE25'!J496</f>
        <v>0</v>
      </c>
      <c r="G156" s="96">
        <f>SUM(B156:F156)</f>
        <v>34000000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1700000</v>
      </c>
      <c r="C158" s="19">
        <f>'DOE25'!G498</f>
        <v>1700000</v>
      </c>
      <c r="D158" s="19">
        <f>'DOE25'!H498</f>
        <v>0</v>
      </c>
      <c r="E158" s="19">
        <f>'DOE25'!I498</f>
        <v>0</v>
      </c>
      <c r="F158" s="19">
        <f>'DOE25'!J498</f>
        <v>0</v>
      </c>
      <c r="G158" s="96">
        <f t="shared" si="8"/>
        <v>3400000</v>
      </c>
    </row>
    <row r="159" spans="1:9" x14ac:dyDescent="0.2">
      <c r="A159" s="21" t="s">
        <v>35</v>
      </c>
      <c r="B159" s="19">
        <f>'DOE25'!F499</f>
        <v>5100000</v>
      </c>
      <c r="C159" s="19">
        <f>'DOE25'!G499</f>
        <v>25500000</v>
      </c>
      <c r="D159" s="19">
        <f>'DOE25'!H499</f>
        <v>0</v>
      </c>
      <c r="E159" s="19">
        <f>'DOE25'!I499</f>
        <v>0</v>
      </c>
      <c r="F159" s="19">
        <f>'DOE25'!J499</f>
        <v>0</v>
      </c>
      <c r="G159" s="96">
        <f t="shared" si="8"/>
        <v>30600000</v>
      </c>
    </row>
    <row r="160" spans="1:9" x14ac:dyDescent="0.2">
      <c r="A160" s="21" t="s">
        <v>36</v>
      </c>
      <c r="B160" s="19">
        <f>'DOE25'!F500</f>
        <v>365500</v>
      </c>
      <c r="C160" s="19">
        <f>'DOE25'!G500</f>
        <v>7084750</v>
      </c>
      <c r="D160" s="19">
        <f>'DOE25'!H500</f>
        <v>0</v>
      </c>
      <c r="E160" s="19">
        <f>'DOE25'!I500</f>
        <v>0</v>
      </c>
      <c r="F160" s="19">
        <f>'DOE25'!J500</f>
        <v>0</v>
      </c>
      <c r="G160" s="96">
        <f t="shared" si="8"/>
        <v>7450250</v>
      </c>
    </row>
    <row r="161" spans="1:7" x14ac:dyDescent="0.2">
      <c r="A161" s="21" t="s">
        <v>37</v>
      </c>
      <c r="B161" s="19">
        <f>'DOE25'!F501</f>
        <v>5465500</v>
      </c>
      <c r="C161" s="19">
        <f>'DOE25'!G501</f>
        <v>32584750</v>
      </c>
      <c r="D161" s="19">
        <f>'DOE25'!H501</f>
        <v>0</v>
      </c>
      <c r="E161" s="19">
        <f>'DOE25'!I501</f>
        <v>0</v>
      </c>
      <c r="F161" s="19">
        <f>'DOE25'!J501</f>
        <v>0</v>
      </c>
      <c r="G161" s="96">
        <f t="shared" si="8"/>
        <v>38050250</v>
      </c>
    </row>
    <row r="162" spans="1:7" x14ac:dyDescent="0.2">
      <c r="A162" s="21" t="s">
        <v>38</v>
      </c>
      <c r="B162" s="19">
        <f>'DOE25'!F502</f>
        <v>1700000</v>
      </c>
      <c r="C162" s="19">
        <f>'DOE25'!G502</f>
        <v>1700000</v>
      </c>
      <c r="D162" s="19">
        <f>'DOE25'!H502</f>
        <v>0</v>
      </c>
      <c r="E162" s="19">
        <f>'DOE25'!I502</f>
        <v>0</v>
      </c>
      <c r="F162" s="19">
        <f>'DOE25'!J502</f>
        <v>0</v>
      </c>
      <c r="G162" s="96">
        <f t="shared" si="8"/>
        <v>3400000</v>
      </c>
    </row>
    <row r="163" spans="1:7" x14ac:dyDescent="0.2">
      <c r="A163" s="21" t="s">
        <v>39</v>
      </c>
      <c r="B163" s="19">
        <f>'DOE25'!F503</f>
        <v>195500</v>
      </c>
      <c r="C163" s="19">
        <f>'DOE25'!G503</f>
        <v>1019150</v>
      </c>
      <c r="D163" s="19">
        <f>'DOE25'!H503</f>
        <v>0</v>
      </c>
      <c r="E163" s="19">
        <f>'DOE25'!I503</f>
        <v>0</v>
      </c>
      <c r="F163" s="19">
        <f>'DOE25'!J503</f>
        <v>0</v>
      </c>
      <c r="G163" s="96">
        <f t="shared" si="8"/>
        <v>1214650</v>
      </c>
    </row>
    <row r="164" spans="1:7" x14ac:dyDescent="0.2">
      <c r="A164" s="21" t="s">
        <v>246</v>
      </c>
      <c r="B164" s="19">
        <f>'DOE25'!F504</f>
        <v>1895500</v>
      </c>
      <c r="C164" s="19">
        <f>'DOE25'!G504</f>
        <v>2719150</v>
      </c>
      <c r="D164" s="19">
        <f>'DOE25'!H504</f>
        <v>0</v>
      </c>
      <c r="E164" s="19">
        <f>'DOE25'!I504</f>
        <v>0</v>
      </c>
      <c r="F164" s="19">
        <f>'DOE25'!J504</f>
        <v>0</v>
      </c>
      <c r="G164" s="96">
        <f t="shared" si="8"/>
        <v>4614650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Q24" sqref="Q2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Windham</v>
      </c>
    </row>
    <row r="3" spans="1:4" x14ac:dyDescent="0.2">
      <c r="B3" s="137" t="s">
        <v>1799</v>
      </c>
    </row>
    <row r="4" spans="1:4" x14ac:dyDescent="0.2">
      <c r="B4" t="s">
        <v>61</v>
      </c>
      <c r="C4" s="129">
        <f>IF('DOE25'!F666+'DOE25'!F671=0,0,ROUND('DOE25'!F673,0))</f>
        <v>16507</v>
      </c>
    </row>
    <row r="5" spans="1:4" x14ac:dyDescent="0.2">
      <c r="B5" t="s">
        <v>700</v>
      </c>
      <c r="C5" s="129">
        <f>IF('DOE25'!G666+'DOE25'!G671=0,0,ROUND('DOE25'!G673,0))</f>
        <v>18556</v>
      </c>
    </row>
    <row r="6" spans="1:4" x14ac:dyDescent="0.2">
      <c r="B6" t="s">
        <v>62</v>
      </c>
      <c r="C6" s="129">
        <f>IF('DOE25'!H666+'DOE25'!H671=0,0,ROUND('DOE25'!H673,0))</f>
        <v>16932</v>
      </c>
    </row>
    <row r="7" spans="1:4" x14ac:dyDescent="0.2">
      <c r="B7" t="s">
        <v>701</v>
      </c>
      <c r="C7" s="129">
        <f>IF('DOE25'!I666+'DOE25'!I671=0,0,ROUND('DOE25'!I673,0))</f>
        <v>16962</v>
      </c>
    </row>
    <row r="9" spans="1:4" x14ac:dyDescent="0.2">
      <c r="A9" s="136" t="s">
        <v>94</v>
      </c>
      <c r="B9" s="137" t="s">
        <v>1800</v>
      </c>
      <c r="C9" s="131" t="s">
        <v>720</v>
      </c>
      <c r="D9" s="131" t="s">
        <v>721</v>
      </c>
    </row>
    <row r="10" spans="1:4" x14ac:dyDescent="0.2">
      <c r="A10">
        <v>1100</v>
      </c>
      <c r="B10" t="s">
        <v>702</v>
      </c>
      <c r="C10" s="129">
        <f>ROUND('DOE25'!L198+'DOE25'!L216+'DOE25'!L234+'DOE25'!L277+'DOE25'!L296+'DOE25'!L315,0)</f>
        <v>21188269</v>
      </c>
      <c r="D10" s="132">
        <f>ROUND((C10/$C$28)*100,1)</f>
        <v>36.9</v>
      </c>
    </row>
    <row r="11" spans="1:4" x14ac:dyDescent="0.2">
      <c r="A11">
        <v>1200</v>
      </c>
      <c r="B11" t="s">
        <v>703</v>
      </c>
      <c r="C11" s="129">
        <f>ROUND('DOE25'!L199+'DOE25'!L217+'DOE25'!L235+'DOE25'!L278+'DOE25'!L297+'DOE25'!L316,0)</f>
        <v>10525954</v>
      </c>
      <c r="D11" s="132">
        <f>ROUND((C11/$C$28)*100,1)</f>
        <v>18.3</v>
      </c>
    </row>
    <row r="12" spans="1:4" x14ac:dyDescent="0.2">
      <c r="A12">
        <v>1300</v>
      </c>
      <c r="B12" t="s">
        <v>704</v>
      </c>
      <c r="C12" s="129">
        <f>ROUND('DOE25'!L200+'DOE25'!L218+'DOE25'!L236+'DOE25'!L279+'DOE25'!L298+'DOE25'!L317,0)</f>
        <v>265555</v>
      </c>
      <c r="D12" s="132">
        <f>ROUND((C12/$C$28)*100,1)</f>
        <v>0.5</v>
      </c>
    </row>
    <row r="13" spans="1:4" x14ac:dyDescent="0.2">
      <c r="A13">
        <v>1400</v>
      </c>
      <c r="B13" t="s">
        <v>705</v>
      </c>
      <c r="C13" s="129">
        <f>ROUND('DOE25'!L201+'DOE25'!L219+'DOE25'!L237+'DOE25'!L280+'DOE25'!L299+'DOE25'!L318,0)</f>
        <v>1542415</v>
      </c>
      <c r="D13" s="132">
        <f>ROUND((C13/$C$28)*100,1)</f>
        <v>2.7</v>
      </c>
    </row>
    <row r="14" spans="1:4" x14ac:dyDescent="0.2">
      <c r="D14" s="132"/>
    </row>
    <row r="15" spans="1:4" x14ac:dyDescent="0.2">
      <c r="A15">
        <v>2100</v>
      </c>
      <c r="B15" t="s">
        <v>706</v>
      </c>
      <c r="C15" s="129">
        <f>ROUND('DOE25'!L203+'DOE25'!L221+'DOE25'!L239+'DOE25'!L282+'DOE25'!L301+'DOE25'!L320,0)</f>
        <v>4877651</v>
      </c>
      <c r="D15" s="132">
        <f t="shared" ref="D15:D27" si="0">ROUND((C15/$C$28)*100,1)</f>
        <v>8.5</v>
      </c>
    </row>
    <row r="16" spans="1:4" x14ac:dyDescent="0.2">
      <c r="A16">
        <v>2200</v>
      </c>
      <c r="B16" t="s">
        <v>707</v>
      </c>
      <c r="C16" s="129">
        <f>ROUND('DOE25'!L204+'DOE25'!L222+'DOE25'!L240+'DOE25'!L283+'DOE25'!L302+'DOE25'!L321,0)</f>
        <v>2603620</v>
      </c>
      <c r="D16" s="132">
        <f t="shared" si="0"/>
        <v>4.5</v>
      </c>
    </row>
    <row r="17" spans="1:4" x14ac:dyDescent="0.2">
      <c r="A17" s="133" t="s">
        <v>723</v>
      </c>
      <c r="B17" t="s">
        <v>738</v>
      </c>
      <c r="C17" s="129">
        <f>ROUND('DOE25'!L205+'DOE25'!L210+'DOE25'!L223+'DOE25'!L228+'DOE25'!L241+'DOE25'!L246+'DOE25'!L284+'DOE25'!L289+'DOE25'!L303+'DOE25'!L308+'DOE25'!L322+'DOE25'!L327,0)</f>
        <v>2968148</v>
      </c>
      <c r="D17" s="132">
        <f t="shared" si="0"/>
        <v>5.2</v>
      </c>
    </row>
    <row r="18" spans="1:4" x14ac:dyDescent="0.2">
      <c r="A18">
        <v>2400</v>
      </c>
      <c r="B18" t="s">
        <v>711</v>
      </c>
      <c r="C18" s="129">
        <f>ROUND('DOE25'!L206+'DOE25'!L224+'DOE25'!L242+'DOE25'!L285+'DOE25'!L304+'DOE25'!L323,0)</f>
        <v>2558881</v>
      </c>
      <c r="D18" s="132">
        <f t="shared" si="0"/>
        <v>4.5</v>
      </c>
    </row>
    <row r="19" spans="1:4" x14ac:dyDescent="0.2">
      <c r="A19">
        <v>2500</v>
      </c>
      <c r="B19" t="s">
        <v>708</v>
      </c>
      <c r="C19" s="129">
        <f>ROUND('DOE25'!L207+'DOE25'!L225+'DOE25'!L243+'DOE25'!L286+'DOE25'!L305+'DOE25'!L324,0)</f>
        <v>844953</v>
      </c>
      <c r="D19" s="132">
        <f t="shared" si="0"/>
        <v>1.5</v>
      </c>
    </row>
    <row r="20" spans="1:4" x14ac:dyDescent="0.2">
      <c r="A20">
        <v>2600</v>
      </c>
      <c r="B20" t="s">
        <v>709</v>
      </c>
      <c r="C20" s="129">
        <f>ROUND('DOE25'!L208+'DOE25'!L226+'DOE25'!L244+'DOE25'!L287+'DOE25'!L306+'DOE25'!L325,0)</f>
        <v>4992782</v>
      </c>
      <c r="D20" s="132">
        <f t="shared" si="0"/>
        <v>8.6999999999999993</v>
      </c>
    </row>
    <row r="21" spans="1:4" x14ac:dyDescent="0.2">
      <c r="A21">
        <v>2700</v>
      </c>
      <c r="B21" t="s">
        <v>710</v>
      </c>
      <c r="C21" s="129">
        <f>ROUND('DOE25'!L209+'DOE25'!L227+'DOE25'!L245+'DOE25'!L288+'DOE25'!L307+'DOE25'!L326,0)</f>
        <v>3344358</v>
      </c>
      <c r="D21" s="132">
        <f t="shared" si="0"/>
        <v>5.8</v>
      </c>
    </row>
    <row r="22" spans="1:4" x14ac:dyDescent="0.2">
      <c r="A22">
        <v>2900</v>
      </c>
      <c r="B22" t="s">
        <v>712</v>
      </c>
      <c r="C22" s="129">
        <v>0</v>
      </c>
      <c r="D22" s="132">
        <f t="shared" si="0"/>
        <v>0</v>
      </c>
    </row>
    <row r="23" spans="1:4" x14ac:dyDescent="0.2">
      <c r="A23">
        <v>1500</v>
      </c>
      <c r="B23" t="s">
        <v>714</v>
      </c>
      <c r="C23" s="129">
        <f>ROUND('DOE25'!L251+'DOE25'!L333,0)</f>
        <v>575</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1348100</v>
      </c>
      <c r="D25" s="132">
        <f t="shared" si="0"/>
        <v>2.2999999999999998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329755.94999999995</v>
      </c>
      <c r="D27" s="132">
        <f t="shared" si="0"/>
        <v>0.6</v>
      </c>
    </row>
    <row r="28" spans="1:4" x14ac:dyDescent="0.2">
      <c r="B28" s="136" t="s">
        <v>719</v>
      </c>
      <c r="C28" s="130">
        <f>SUM(C10:C27)</f>
        <v>57391016.950000003</v>
      </c>
      <c r="D28" s="134">
        <f>ROUND(SUM(D10:D27),0)</f>
        <v>100</v>
      </c>
    </row>
    <row r="29" spans="1:4" x14ac:dyDescent="0.2">
      <c r="A29">
        <v>4000</v>
      </c>
      <c r="B29" t="s">
        <v>724</v>
      </c>
      <c r="C29" s="129">
        <f>ROUND('DOE25'!L256+'DOE25'!L337+'DOE25'!L375+'DOE25'!L376+'DOE25'!L377+'DOE25'!L378+'DOE25'!L379+'DOE25'!L380+'DOE25'!L381,0)</f>
        <v>862092</v>
      </c>
    </row>
    <row r="30" spans="1:4" x14ac:dyDescent="0.2">
      <c r="B30" s="136" t="s">
        <v>725</v>
      </c>
      <c r="C30" s="130">
        <f>SUM(C28:C29)</f>
        <v>58253108.950000003</v>
      </c>
    </row>
    <row r="31" spans="1:4" x14ac:dyDescent="0.2">
      <c r="B31" s="32"/>
      <c r="C31" s="130"/>
    </row>
    <row r="32" spans="1:4" x14ac:dyDescent="0.2">
      <c r="A32">
        <v>5100</v>
      </c>
      <c r="B32" s="32" t="s">
        <v>726</v>
      </c>
      <c r="C32" s="130">
        <f>ROUND('DOE25'!L261+'DOE25'!L342,0)</f>
        <v>3400000</v>
      </c>
    </row>
    <row r="34" spans="1:4" x14ac:dyDescent="0.2">
      <c r="A34" s="136" t="s">
        <v>94</v>
      </c>
      <c r="B34" s="137" t="s">
        <v>1801</v>
      </c>
      <c r="C34" s="131" t="s">
        <v>720</v>
      </c>
      <c r="D34" s="131" t="s">
        <v>721</v>
      </c>
    </row>
    <row r="35" spans="1:4" x14ac:dyDescent="0.2">
      <c r="A35">
        <v>1100</v>
      </c>
      <c r="B35" s="71" t="s">
        <v>727</v>
      </c>
      <c r="C35" s="129">
        <f>ROUND('DOE25'!F60+'DOE25'!G60+'DOE25'!H60+'DOE25'!I60+'DOE25'!J60,0)</f>
        <v>44631565</v>
      </c>
      <c r="D35" s="132">
        <f t="shared" ref="D35:D40" si="1">ROUND((C35/$C$41)*100,1)</f>
        <v>73.599999999999994</v>
      </c>
    </row>
    <row r="36" spans="1:4" x14ac:dyDescent="0.2">
      <c r="B36" s="71" t="s">
        <v>739</v>
      </c>
      <c r="C36" s="129">
        <f>SUM('DOE25'!F112:J112)-SUM('DOE25'!G97:G110)+('DOE25'!F175+'DOE25'!F176+'DOE25'!I175+'DOE25'!I176)-C35</f>
        <v>724626.18999999762</v>
      </c>
      <c r="D36" s="132">
        <f t="shared" si="1"/>
        <v>1.2</v>
      </c>
    </row>
    <row r="37" spans="1:4" x14ac:dyDescent="0.2">
      <c r="A37" s="133" t="s">
        <v>834</v>
      </c>
      <c r="B37" s="71" t="s">
        <v>728</v>
      </c>
      <c r="C37" s="129">
        <f>ROUND('DOE25'!F117+'DOE25'!F118,0)</f>
        <v>12562478</v>
      </c>
      <c r="D37" s="132">
        <f t="shared" si="1"/>
        <v>20.7</v>
      </c>
    </row>
    <row r="38" spans="1:4" x14ac:dyDescent="0.2">
      <c r="A38" s="133" t="s">
        <v>734</v>
      </c>
      <c r="B38" s="71" t="s">
        <v>729</v>
      </c>
      <c r="C38" s="129">
        <f>ROUND(SUM('DOE25'!F140:J140)-SUM('DOE25'!F117:F119),0)</f>
        <v>1308830</v>
      </c>
      <c r="D38" s="132">
        <f t="shared" si="1"/>
        <v>2.2000000000000002</v>
      </c>
    </row>
    <row r="39" spans="1:4" x14ac:dyDescent="0.2">
      <c r="A39">
        <v>4000</v>
      </c>
      <c r="B39" s="71" t="s">
        <v>730</v>
      </c>
      <c r="C39" s="129">
        <f>ROUND('DOE25'!F170+'DOE25'!G170+'DOE25'!H170+'DOE25'!I170,0)</f>
        <v>1418792</v>
      </c>
      <c r="D39" s="132">
        <f t="shared" si="1"/>
        <v>2.2999999999999998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60646291.189999998</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Windham</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100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70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319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f>IF('School Level Expenditures'!$B$2='School Tables'!L73,'School Tables'!S73,"")</f>
        <v>70</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f>IF('School Level Expenditures'!$B$2='School Tables'!W97,'School Tables'!AD97,"")</f>
        <v>94</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f>IF('School Level Expenditures'!$B$2=A103,'School Tables'!H103,"")</f>
        <v>100</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f>IF('School Level Expenditures'!$B$2=A322,'School Tables'!H322,"")</f>
        <v>319</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2023-09-27T17:20:23Z</cp:lastPrinted>
  <dcterms:created xsi:type="dcterms:W3CDTF">1997-12-04T19:04:30Z</dcterms:created>
  <dcterms:modified xsi:type="dcterms:W3CDTF">2023-12-29T15:11:55Z</dcterms:modified>
</cp:coreProperties>
</file>