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https://nhgov-my.sharepoint.com/personal/brian_e_eaton_doe_nh_gov/Documents/Finance/Website layout/DOE-25 Form/DOE-25 FY21-23/"/>
    </mc:Choice>
  </mc:AlternateContent>
  <xr:revisionPtr revIDLastSave="0" documentId="13_ncr:1_{89E1554E-A0A6-4251-8BC2-02ABC26EB854}"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76" i="1" l="1"/>
  <c r="G576" i="1"/>
  <c r="F576" i="1"/>
  <c r="D37" i="14"/>
  <c r="D25" i="14"/>
  <c r="D5" i="14"/>
  <c r="J469" i="1"/>
  <c r="F470" i="1" l="1"/>
  <c r="F473" i="1"/>
  <c r="F57" i="1" l="1"/>
  <c r="H241" i="1"/>
  <c r="H223" i="1"/>
  <c r="H205" i="1"/>
  <c r="H245" i="1"/>
  <c r="H227" i="1"/>
  <c r="H209" i="1"/>
  <c r="F44" i="1" l="1"/>
  <c r="P2" i="14"/>
  <c r="O2" i="14"/>
  <c r="N2" i="14"/>
  <c r="M2" i="14"/>
  <c r="Q43" i="14"/>
  <c r="P43" i="14"/>
  <c r="O43" i="14"/>
  <c r="N43" i="14"/>
  <c r="M43" i="14"/>
  <c r="L43" i="14"/>
  <c r="K43" i="14"/>
  <c r="Q33" i="14"/>
  <c r="P33" i="14"/>
  <c r="O33" i="14"/>
  <c r="N33" i="14"/>
  <c r="M33" i="14"/>
  <c r="L33" i="14"/>
  <c r="K33" i="14"/>
  <c r="Q21" i="14"/>
  <c r="P21" i="14"/>
  <c r="P3" i="14" s="1"/>
  <c r="O21" i="14"/>
  <c r="N21" i="14"/>
  <c r="N3" i="14" s="1"/>
  <c r="M21" i="14"/>
  <c r="M3" i="14" s="1"/>
  <c r="L21" i="14"/>
  <c r="L3" i="14" s="1"/>
  <c r="K21" i="14"/>
  <c r="L2" i="14"/>
  <c r="I662" i="1"/>
  <c r="C2" i="1"/>
  <c r="B2" i="1"/>
  <c r="O3" i="14" l="1"/>
  <c r="G42" i="13"/>
  <c r="H135" i="2"/>
  <c r="H136" i="2"/>
  <c r="H137" i="2"/>
  <c r="H138" i="2"/>
  <c r="H140" i="2"/>
  <c r="H142" i="2"/>
  <c r="H143" i="2"/>
  <c r="H134" i="2"/>
  <c r="H132" i="2"/>
  <c r="H131" i="2"/>
  <c r="H127" i="2"/>
  <c r="H119" i="2"/>
  <c r="H121" i="2"/>
  <c r="H122" i="2"/>
  <c r="H123" i="2"/>
  <c r="H125" i="2"/>
  <c r="H118" i="2"/>
  <c r="H111" i="2"/>
  <c r="H112" i="2"/>
  <c r="H113" i="2"/>
  <c r="H114" i="2"/>
  <c r="H97" i="2"/>
  <c r="H98" i="2"/>
  <c r="H99" i="2"/>
  <c r="H100" i="2"/>
  <c r="H101" i="2"/>
  <c r="H102" i="2"/>
  <c r="H94" i="2"/>
  <c r="H93" i="2"/>
  <c r="H88" i="2"/>
  <c r="H89" i="2"/>
  <c r="H90" i="2"/>
  <c r="H91" i="2"/>
  <c r="H87" i="2"/>
  <c r="H85" i="2"/>
  <c r="H73" i="2"/>
  <c r="H74" i="2"/>
  <c r="H75" i="2"/>
  <c r="H76" i="2"/>
  <c r="H77" i="2"/>
  <c r="H78" i="2"/>
  <c r="H79" i="2"/>
  <c r="H80" i="2"/>
  <c r="H72" i="2"/>
  <c r="H69" i="2"/>
  <c r="H57" i="2"/>
  <c r="H58" i="2"/>
  <c r="H60" i="2"/>
  <c r="H61" i="2"/>
  <c r="H48" i="2"/>
  <c r="H44" i="2"/>
  <c r="H42" i="2"/>
  <c r="H40" i="2"/>
  <c r="H39" i="2"/>
  <c r="H38" i="2"/>
  <c r="H36" i="2"/>
  <c r="H35" i="2"/>
  <c r="H34" i="2"/>
  <c r="H22" i="2"/>
  <c r="H23" i="2"/>
  <c r="H24" i="2"/>
  <c r="H25" i="2"/>
  <c r="H26" i="2"/>
  <c r="H27" i="2"/>
  <c r="H28" i="2"/>
  <c r="H29" i="2"/>
  <c r="H30" i="2"/>
  <c r="H31" i="2"/>
  <c r="H21" i="2"/>
  <c r="H9" i="2"/>
  <c r="H10" i="2"/>
  <c r="H11" i="2"/>
  <c r="H12"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G663" i="1" s="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C61" i="2"/>
  <c r="D61" i="2"/>
  <c r="E61" i="2"/>
  <c r="F61" i="2"/>
  <c r="C66" i="2"/>
  <c r="H66" i="2" s="1"/>
  <c r="C67" i="2"/>
  <c r="H67" i="2" s="1"/>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G477" i="1" s="1"/>
  <c r="H471" i="1"/>
  <c r="I471" i="1"/>
  <c r="J471"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9" i="1"/>
  <c r="H630" i="1"/>
  <c r="H631" i="1"/>
  <c r="H632" i="1"/>
  <c r="H634" i="1"/>
  <c r="H636" i="1"/>
  <c r="H637" i="1"/>
  <c r="H638" i="1"/>
  <c r="H639" i="1"/>
  <c r="G644" i="1"/>
  <c r="G645" i="1"/>
  <c r="G646" i="1"/>
  <c r="G651" i="1"/>
  <c r="G652" i="1"/>
  <c r="H653" i="1"/>
  <c r="G654" i="1"/>
  <c r="H654" i="1"/>
  <c r="H655" i="1"/>
  <c r="H656" i="1"/>
  <c r="I170" i="1"/>
  <c r="J652" i="1" l="1"/>
  <c r="H8" i="2"/>
  <c r="G409" i="1"/>
  <c r="H646" i="1" s="1"/>
  <c r="C120" i="2"/>
  <c r="H120" i="2" s="1"/>
  <c r="D15" i="13"/>
  <c r="C15" i="13" s="1"/>
  <c r="K2" i="14"/>
  <c r="K3" i="14" s="1"/>
  <c r="E119" i="2"/>
  <c r="H409" i="1"/>
  <c r="H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H18" i="2" s="1"/>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H103" i="2" s="1"/>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0" i="2" l="1"/>
  <c r="C81" i="2"/>
  <c r="H81" i="2" s="1"/>
  <c r="F194" i="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C115" i="2"/>
  <c r="C63" i="2"/>
  <c r="C39" i="10"/>
  <c r="G33" i="13"/>
  <c r="C128" i="2"/>
  <c r="H128" i="2" s="1"/>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51" i="2" l="1"/>
  <c r="C144" i="2"/>
  <c r="H141" i="2"/>
  <c r="G628" i="1"/>
  <c r="F469" i="1"/>
  <c r="L272" i="1"/>
  <c r="G633" i="1" s="1"/>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F471" i="1"/>
  <c r="J628" i="1"/>
  <c r="H633" i="1"/>
  <c r="F475" i="1"/>
  <c r="H145" i="2"/>
  <c r="J633" i="1"/>
  <c r="I670" i="1"/>
  <c r="I673" i="1" s="1"/>
  <c r="C7" i="10" s="1"/>
  <c r="F673" i="1"/>
  <c r="C4" i="10" s="1"/>
  <c r="I668" i="1"/>
  <c r="D28" i="10"/>
  <c r="D37" i="10"/>
  <c r="D36" i="10"/>
  <c r="D35" i="10"/>
  <c r="D40" i="10"/>
  <c r="D39" i="10"/>
  <c r="F477" i="1" l="1"/>
  <c r="H623" i="1" s="1"/>
  <c r="J623" i="1" s="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<sst xmlns="http://schemas.openxmlformats.org/spreadsheetml/2006/main" count="6561" uniqueCount="1816">
  <si>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</si>
  <si>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</si>
  <si>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</si>
  <si>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</si>
  <si>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</si>
  <si>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</si>
  <si>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</si>
  <si>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</si>
  <si>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</si>
  <si>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</si>
  <si>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</si>
  <si>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</si>
  <si>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</si>
  <si>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</si>
  <si>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</si>
  <si>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</si>
  <si>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</si>
  <si>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</si>
  <si>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</si>
  <si>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</si>
  <si>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</si>
  <si>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</si>
  <si>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</si>
  <si>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</si>
  <si>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</si>
  <si>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</si>
  <si>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</si>
  <si>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</si>
  <si>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</si>
  <si>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</si>
  <si>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</si>
  <si>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</si>
  <si>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</si>
  <si>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</si>
  <si>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</si>
  <si>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</si>
  <si>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</si>
  <si>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</si>
  <si>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</si>
  <si>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</si>
  <si>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</si>
  <si>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</si>
  <si>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</si>
  <si>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</si>
  <si>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</si>
  <si>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</si>
  <si>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</si>
  <si>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</si>
  <si>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</si>
  <si>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</si>
  <si>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</si>
  <si>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</si>
  <si>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</si>
  <si>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</si>
  <si>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</si>
  <si>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</si>
  <si>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</si>
  <si>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</si>
  <si>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</si>
  <si>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</si>
  <si>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</si>
  <si>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</si>
  <si>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</si>
  <si>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</si>
  <si>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</si>
  <si>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</si>
  <si>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</si>
  <si>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</si>
  <si>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</si>
  <si>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</si>
  <si>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</si>
  <si>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</si>
  <si>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</si>
  <si>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</si>
  <si>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</si>
  <si>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</si>
  <si>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</si>
  <si>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</si>
  <si>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</si>
  <si>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</si>
  <si>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</si>
  <si>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</si>
  <si>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</si>
  <si>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</si>
  <si>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</si>
  <si>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</si>
  <si>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</si>
  <si>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</si>
  <si>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</si>
  <si>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</si>
  <si>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</si>
  <si>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</si>
  <si>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</si>
  <si>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</si>
  <si>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</si>
  <si>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</si>
  <si>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</si>
  <si>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</si>
  <si>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</si>
  <si>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</si>
  <si>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</si>
  <si>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</si>
  <si>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</si>
  <si>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</si>
  <si>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</si>
  <si>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</si>
  <si>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</si>
  <si>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</si>
  <si>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</si>
  <si>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</si>
  <si>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</si>
  <si>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</si>
  <si>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</si>
  <si>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</si>
  <si>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</si>
  <si>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</si>
  <si>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</si>
  <si>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</si>
  <si>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</si>
  <si>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</si>
  <si>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</si>
  <si>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</si>
  <si>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</si>
  <si>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</si>
  <si>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</si>
  <si>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</si>
  <si>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</si>
  <si>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</si>
  <si>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</si>
  <si>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</si>
  <si>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</si>
  <si>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</si>
  <si>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</si>
  <si>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</si>
  <si>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</si>
  <si>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</si>
  <si>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</si>
  <si>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</si>
  <si>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</si>
  <si>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</si>
  <si>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</si>
  <si>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</si>
  <si>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</si>
  <si>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</si>
  <si>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</si>
  <si>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</si>
  <si>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</si>
  <si>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</si>
  <si>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</si>
  <si>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</si>
  <si>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</si>
  <si>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</si>
  <si>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</si>
  <si>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</si>
  <si>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</si>
  <si>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</si>
  <si>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</si>
  <si>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</si>
  <si>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</si>
  <si>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</si>
  <si>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</si>
  <si>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</si>
  <si>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</si>
  <si>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</si>
  <si>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</si>
  <si>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</si>
  <si>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</si>
  <si>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</si>
  <si>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</si>
  <si>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</si>
  <si>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</si>
  <si>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</si>
  <si>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</si>
  <si>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</si>
  <si>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</si>
  <si>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</si>
  <si>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</si>
  <si>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</si>
  <si>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</si>
  <si>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</si>
  <si>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</si>
  <si>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</si>
  <si>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</si>
  <si>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</si>
  <si>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</si>
  <si>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</si>
  <si>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</si>
  <si>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</si>
  <si>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</si>
  <si>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</si>
  <si>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</si>
  <si>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</si>
  <si>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</si>
  <si>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</si>
  <si>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</si>
  <si>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</si>
  <si>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</si>
  <si>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</si>
  <si>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</si>
  <si>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</si>
  <si>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</si>
  <si>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</si>
  <si>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</si>
  <si>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</si>
  <si>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</si>
  <si>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</si>
  <si>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</si>
  <si>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</si>
  <si>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</si>
  <si>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</si>
  <si>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</si>
  <si>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</si>
  <si>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</si>
  <si>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</si>
  <si>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</si>
  <si>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</si>
  <si>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</si>
  <si>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</si>
  <si>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</si>
  <si>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</si>
  <si>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</si>
  <si>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</si>
  <si>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</si>
  <si>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</si>
  <si>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</si>
  <si>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</si>
  <si>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</si>
  <si>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</si>
  <si>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</si>
  <si>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</si>
  <si>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</si>
  <si>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</si>
  <si>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</si>
  <si>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</si>
  <si>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</si>
  <si>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</si>
  <si>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</si>
  <si>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</si>
  <si>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</si>
  <si>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</si>
  <si>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</si>
  <si>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</si>
  <si>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</si>
  <si>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</si>
  <si>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</si>
  <si>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</si>
  <si>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</si>
  <si>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</si>
  <si>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</si>
  <si>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</si>
  <si>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</si>
  <si>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</si>
  <si>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</si>
  <si>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</si>
  <si>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</si>
  <si>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</si>
  <si>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</si>
  <si>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</si>
  <si>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</si>
  <si>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</si>
  <si>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</si>
  <si>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</si>
  <si>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</si>
  <si>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</si>
  <si>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</si>
  <si>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</si>
  <si>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</si>
  <si>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</si>
  <si>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</si>
  <si>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</si>
  <si>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</si>
  <si>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</si>
  <si>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</si>
  <si>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</si>
  <si>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</si>
  <si>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</si>
  <si>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</si>
  <si>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</si>
  <si>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</si>
  <si>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</si>
  <si>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</si>
  <si>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</si>
  <si>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</si>
  <si>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</si>
  <si>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</si>
  <si>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</si>
  <si>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</si>
  <si>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</si>
  <si>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</si>
  <si>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</si>
  <si>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</si>
  <si>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</si>
  <si>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</si>
  <si>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</si>
  <si>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</si>
  <si>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</si>
  <si>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</si>
  <si>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</si>
  <si>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</si>
  <si>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</si>
  <si>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</si>
  <si>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</si>
  <si>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</si>
  <si>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</si>
  <si>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</si>
  <si>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</si>
  <si>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</si>
  <si>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</si>
  <si>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</si>
  <si>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</si>
  <si>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</si>
  <si>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</si>
  <si>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</si>
  <si>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</si>
  <si>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</si>
  <si>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</si>
  <si>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</si>
  <si>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</si>
  <si>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</si>
  <si>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</si>
  <si>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</si>
  <si>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</si>
  <si>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</si>
  <si>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</si>
  <si>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</si>
  <si>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</si>
  <si>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</si>
  <si>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</si>
  <si>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</si>
  <si>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</si>
  <si>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</si>
  <si>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</si>
  <si>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</si>
  <si>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</si>
  <si>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</si>
  <si>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</si>
  <si>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</si>
  <si>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</si>
  <si>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</si>
  <si>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</si>
  <si>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</si>
  <si>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</si>
  <si>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</si>
  <si>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</si>
  <si>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</si>
  <si>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</si>
  <si>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</si>
  <si>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</si>
  <si>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</si>
  <si>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</si>
  <si>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</si>
  <si>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</si>
  <si>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</si>
  <si>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</si>
  <si>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</si>
  <si>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</si>
  <si>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</si>
  <si>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</si>
  <si>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</si>
  <si>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</si>
  <si>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</si>
  <si>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</si>
  <si>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</si>
  <si>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</si>
  <si>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</si>
  <si>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</si>
  <si>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</si>
  <si>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</si>
  <si>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</si>
  <si>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</si>
  <si>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</si>
  <si>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</si>
  <si>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</si>
  <si>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</si>
  <si>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</si>
  <si>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</si>
  <si>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</si>
  <si>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</si>
  <si>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</si>
  <si>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</si>
  <si>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</si>
  <si>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</si>
  <si>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</si>
  <si>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</si>
  <si>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</si>
  <si>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</si>
  <si>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</si>
  <si>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</si>
  <si>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</si>
  <si>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</si>
  <si>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</si>
  <si>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</si>
  <si>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</si>
  <si>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</si>
  <si>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</si>
  <si>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</si>
  <si>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</si>
  <si>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</si>
  <si>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</si>
  <si>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</si>
  <si>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</si>
  <si>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</si>
  <si>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</si>
  <si>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</si>
  <si>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</si>
  <si>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</si>
  <si>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</si>
  <si>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</si>
  <si>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</si>
  <si>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</si>
  <si>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</si>
  <si>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</si>
  <si>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</si>
  <si>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</si>
  <si>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</si>
  <si>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</si>
  <si>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</si>
  <si>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</si>
  <si>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</si>
  <si>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</si>
  <si>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</si>
  <si>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</si>
  <si>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</si>
  <si>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</si>
  <si>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</si>
  <si>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</si>
  <si>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</si>
  <si>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</si>
  <si>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</si>
  <si>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</si>
  <si>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</si>
  <si>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</si>
  <si>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</si>
  <si>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</si>
  <si>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</si>
  <si>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</si>
  <si>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</si>
  <si>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</si>
  <si>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</si>
  <si>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</si>
  <si>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</si>
  <si>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</si>
  <si>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</si>
  <si>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</si>
  <si>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</si>
  <si>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</si>
  <si>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</si>
  <si>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</si>
  <si>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</si>
  <si>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</si>
  <si>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</si>
  <si>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</si>
  <si>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</si>
  <si>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</si>
  <si>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</si>
  <si>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</si>
  <si>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</si>
  <si>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</si>
  <si>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</si>
  <si>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</si>
  <si>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</si>
  <si>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</si>
  <si>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</si>
  <si>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</si>
  <si>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</si>
  <si>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</si>
  <si>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</si>
  <si>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</si>
  <si>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</si>
  <si>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</si>
  <si>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</si>
  <si>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</si>
  <si>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</si>
  <si>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</si>
  <si>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</si>
  <si>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</si>
  <si>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</si>
  <si>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</si>
  <si>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</si>
  <si>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</si>
  <si>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</si>
  <si>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</si>
  <si>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</si>
  <si>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</si>
  <si>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</si>
  <si>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</si>
  <si>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</si>
  <si>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</si>
  <si>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</si>
  <si>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</si>
  <si>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</si>
  <si>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</si>
  <si>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</si>
  <si>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</si>
  <si>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</si>
  <si>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</si>
  <si>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</si>
  <si>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</si>
  <si>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</si>
  <si>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</si>
  <si>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</si>
  <si>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</si>
  <si>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</si>
  <si>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</si>
  <si>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</si>
  <si>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</si>
  <si>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</si>
  <si>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</si>
  <si>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</si>
  <si>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</si>
  <si>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</si>
  <si>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</si>
  <si>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</si>
  <si>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</si>
  <si>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</si>
  <si>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</si>
  <si>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</si>
  <si>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</si>
  <si>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</si>
  <si>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</si>
  <si>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</si>
  <si>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</si>
  <si>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</si>
  <si>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</si>
  <si>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</si>
  <si>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</si>
  <si>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</si>
  <si>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</si>
  <si>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</si>
  <si>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</si>
  <si>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</si>
  <si>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</si>
  <si>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</si>
  <si>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</si>
  <si>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</si>
  <si>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</si>
  <si>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</si>
  <si>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</si>
  <si>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</si>
  <si>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</si>
  <si>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</si>
  <si>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</si>
  <si>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</si>
  <si>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</si>
  <si>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</si>
  <si>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</si>
  <si>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</si>
  <si>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</si>
  <si>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</si>
  <si>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</si>
  <si>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</si>
  <si>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</si>
  <si>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</si>
  <si>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</si>
  <si>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</si>
  <si>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</si>
  <si>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</si>
  <si>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</si>
  <si>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</si>
  <si>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</si>
  <si>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</si>
  <si>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</si>
  <si>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</si>
  <si>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</si>
  <si>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</si>
  <si>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</si>
  <si>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</si>
  <si>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</si>
  <si>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</si>
  <si>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</si>
  <si>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</si>
  <si>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</si>
  <si>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</si>
  <si>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</si>
  <si>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</si>
  <si>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</si>
  <si>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</si>
  <si>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</si>
  <si>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</si>
  <si>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</si>
  <si>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</si>
  <si>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</si>
  <si>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</si>
  <si>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</si>
  <si>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</si>
  <si>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</si>
  <si>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</si>
  <si>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</si>
  <si>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</si>
  <si>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</si>
  <si>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</si>
  <si>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</si>
  <si>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</si>
  <si>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</si>
  <si>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</si>
  <si>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</si>
  <si>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</si>
  <si>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</si>
  <si>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</si>
  <si>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</si>
  <si>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</si>
  <si>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</si>
  <si>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</si>
  <si>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</si>
  <si>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</si>
  <si>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</si>
  <si>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</si>
  <si>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</si>
  <si>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</si>
  <si>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</si>
  <si>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</si>
  <si>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</si>
  <si>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</si>
  <si>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</si>
  <si>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</si>
  <si>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</si>
  <si>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</si>
  <si>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</si>
  <si>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</si>
  <si>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</si>
  <si>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</si>
  <si>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</si>
  <si>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</si>
  <si>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</si>
  <si>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</si>
  <si>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</si>
  <si>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</si>
  <si>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</si>
  <si>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</si>
  <si>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</si>
  <si>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</si>
  <si>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</si>
  <si>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</si>
  <si>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</si>
  <si>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</si>
  <si>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</si>
  <si>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</si>
  <si>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</si>
  <si>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</si>
  <si>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</si>
  <si>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</si>
  <si>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</si>
  <si>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</si>
  <si>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</si>
  <si>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</si>
  <si>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</si>
  <si>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</si>
  <si>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</si>
  <si>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</si>
  <si>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</si>
  <si>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</si>
  <si>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</si>
  <si>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</si>
  <si>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</si>
  <si>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</si>
  <si>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</si>
  <si>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</si>
  <si>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</si>
  <si>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</si>
  <si>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</si>
  <si>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</si>
  <si>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</si>
  <si>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</si>
  <si>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</si>
  <si>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</si>
  <si>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</si>
  <si>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</si>
  <si>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</si>
  <si>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</si>
  <si>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</si>
  <si>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</si>
  <si>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</si>
  <si>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</si>
  <si>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</si>
  <si>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</si>
  <si>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</si>
  <si>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</si>
  <si>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</si>
  <si>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</si>
  <si>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</si>
  <si>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</si>
  <si>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</si>
  <si>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</si>
  <si>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</si>
  <si>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</si>
  <si>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</si>
  <si>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</si>
  <si>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</si>
  <si>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</si>
  <si>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</si>
  <si>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</si>
  <si>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</si>
  <si>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</si>
  <si>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</si>
  <si>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</si>
  <si>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</si>
  <si>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</si>
  <si>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</si>
  <si>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</si>
  <si>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</si>
  <si>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</si>
  <si>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</si>
  <si>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</si>
  <si>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</si>
  <si>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</si>
  <si>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</si>
  <si>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</si>
  <si>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</si>
  <si>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</si>
  <si>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</si>
  <si>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</si>
  <si>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</si>
  <si>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</si>
  <si>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</si>
  <si>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</si>
  <si>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</si>
  <si>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</si>
  <si>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</si>
  <si>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</si>
  <si>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</si>
  <si>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</si>
  <si>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</si>
  <si>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</si>
  <si>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</si>
  <si>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</si>
  <si>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</si>
  <si>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</si>
  <si>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</si>
  <si>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</si>
  <si>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</si>
  <si>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</si>
  <si>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</si>
  <si>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</si>
  <si>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</si>
  <si>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</si>
  <si>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</si>
  <si>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</si>
  <si>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</si>
  <si>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</si>
  <si>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</si>
  <si>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</si>
  <si>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</si>
  <si>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</si>
  <si>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</si>
  <si>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</si>
  <si>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</si>
  <si>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</si>
  <si>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</si>
  <si>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</si>
  <si>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</si>
  <si>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</si>
  <si>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</si>
  <si>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</si>
  <si>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</si>
  <si>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</si>
  <si>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</si>
  <si>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</si>
  <si>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</si>
  <si>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</si>
  <si>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</si>
  <si>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</si>
  <si>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</si>
  <si>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</si>
  <si>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</si>
  <si>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</si>
  <si>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</si>
  <si>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</si>
  <si>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</si>
  <si>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</si>
  <si>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</si>
  <si>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</si>
  <si>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</si>
  <si>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</si>
  <si>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</si>
  <si>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</si>
  <si>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</si>
  <si>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</si>
  <si>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</si>
  <si>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</si>
  <si>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</si>
  <si>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</si>
  <si>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</si>
  <si>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</si>
  <si>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</si>
  <si>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</si>
  <si>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</si>
  <si>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</si>
  <si>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</si>
  <si>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</si>
  <si>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</si>
  <si>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</si>
  <si>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</si>
  <si>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</si>
  <si>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</si>
  <si>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</si>
  <si>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</si>
  <si>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</si>
  <si>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</si>
  <si>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</si>
  <si>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</si>
  <si>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</si>
  <si>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</si>
  <si>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</si>
  <si>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</si>
  <si>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</si>
  <si>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</si>
  <si>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</si>
  <si>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</si>
  <si>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</si>
  <si>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</si>
  <si>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</si>
  <si>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</si>
  <si>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</si>
  <si>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</si>
  <si>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</si>
  <si>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</si>
  <si>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</si>
  <si>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</si>
  <si>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</si>
  <si>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</si>
  <si>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</si>
  <si>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</si>
  <si>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</si>
  <si>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</si>
  <si>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</si>
  <si>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</si>
  <si>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</si>
  <si>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</si>
  <si>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</si>
  <si>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</si>
  <si>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</si>
  <si>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</si>
  <si>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</si>
  <si>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</si>
  <si>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</si>
  <si>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</si>
  <si>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</si>
  <si>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</si>
  <si>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</si>
  <si>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</si>
  <si>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</si>
  <si>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</si>
  <si>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</si>
  <si>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</si>
  <si>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</si>
  <si>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</si>
  <si>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</si>
  <si>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</si>
  <si>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</si>
  <si>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</si>
  <si>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</si>
  <si>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</si>
  <si>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</si>
  <si>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</si>
  <si>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</si>
  <si>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</si>
  <si>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</si>
  <si>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</si>
  <si>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</si>
  <si>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</si>
  <si>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</si>
  <si>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</si>
  <si>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</si>
  <si>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</si>
  <si>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</si>
  <si>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</si>
  <si>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</si>
  <si>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</si>
  <si>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</si>
  <si>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</si>
  <si>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</si>
  <si>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</si>
  <si>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</si>
  <si>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</si>
  <si>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</si>
  <si>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</si>
  <si>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</si>
  <si>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</si>
  <si>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</si>
  <si>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</si>
  <si>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</si>
  <si>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</si>
  <si>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</si>
  <si>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</si>
  <si>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</si>
  <si>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</si>
  <si>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</si>
  <si>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</si>
  <si>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</si>
  <si>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</si>
  <si>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</si>
  <si>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</si>
  <si>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</si>
  <si>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</si>
  <si>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</si>
  <si>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</si>
  <si>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</si>
  <si>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</si>
  <si>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</si>
  <si>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</si>
  <si>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</si>
  <si>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</si>
  <si>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</si>
  <si>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</si>
  <si>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</si>
  <si>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</si>
  <si>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</si>
  <si>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</si>
  <si>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</si>
  <si>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</si>
  <si>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</si>
  <si>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</si>
  <si>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</si>
  <si>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</si>
  <si>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</si>
  <si>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</si>
  <si>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</si>
  <si>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</si>
  <si>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</si>
  <si>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</si>
  <si>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</si>
  <si>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</si>
  <si>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</si>
  <si>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</si>
  <si>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</si>
  <si>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</si>
  <si>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</si>
  <si>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</si>
  <si>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</si>
  <si>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</si>
  <si>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</si>
  <si>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</si>
  <si>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</si>
  <si>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</si>
  <si>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</si>
  <si>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</si>
  <si>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</si>
  <si>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</si>
  <si>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</si>
  <si>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</si>
  <si>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</si>
  <si>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</si>
  <si>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</si>
  <si>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</si>
  <si>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</si>
  <si>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</si>
  <si>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</si>
  <si>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</si>
  <si>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</si>
  <si>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</si>
  <si>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</si>
  <si>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</si>
  <si>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</si>
  <si>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</si>
  <si>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</si>
  <si>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</si>
  <si>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</si>
  <si>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</si>
  <si>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</si>
  <si>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</si>
  <si>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</si>
  <si>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</si>
  <si>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</si>
  <si>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</si>
  <si>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</si>
  <si>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</si>
  <si>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</si>
  <si>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</si>
  <si>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</si>
  <si>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</si>
  <si>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</si>
  <si>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</si>
  <si>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</si>
  <si>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</si>
  <si>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</si>
  <si>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</si>
  <si>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</si>
  <si>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</si>
  <si>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</si>
  <si>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</si>
  <si>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</si>
  <si>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</si>
  <si>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</si>
  <si>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</si>
  <si>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</si>
  <si>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</si>
  <si>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</si>
  <si>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</si>
  <si>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</si>
  <si>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</si>
  <si>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</si>
  <si>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</si>
  <si>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</si>
  <si>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</si>
  <si>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</si>
  <si>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</si>
  <si>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</si>
  <si>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</si>
  <si>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</si>
  <si>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</si>
  <si>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</si>
  <si>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</si>
  <si>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</si>
  <si>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</si>
  <si>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</si>
  <si>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</si>
  <si>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</si>
  <si>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</si>
  <si>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</si>
  <si>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</si>
  <si>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</si>
  <si>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</si>
  <si>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</si>
  <si>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</si>
  <si>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</si>
  <si>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</si>
  <si>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</si>
  <si>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</si>
  <si>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</si>
  <si>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</si>
  <si>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</si>
  <si>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</si>
  <si>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</si>
  <si>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</si>
  <si>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</si>
  <si>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</si>
  <si>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</si>
  <si>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</si>
  <si>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</si>
  <si>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</si>
  <si>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</si>
  <si>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</si>
  <si>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</si>
  <si>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</si>
  <si>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</si>
  <si>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</si>
  <si>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</si>
  <si>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</si>
  <si>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</si>
  <si>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</si>
  <si>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</si>
  <si>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</si>
  <si>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</si>
  <si>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</si>
  <si>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</si>
  <si>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</si>
  <si>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</si>
  <si>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</si>
  <si>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</si>
  <si>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</si>
  <si>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</si>
  <si>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</si>
  <si>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</si>
  <si>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</si>
  <si>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</si>
  <si>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</si>
  <si>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</si>
  <si>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</si>
  <si>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</si>
  <si>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</si>
  <si>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</si>
  <si>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</si>
  <si>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</si>
  <si>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</si>
  <si>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</si>
  <si>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</si>
  <si>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</si>
  <si>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</si>
  <si>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</si>
  <si>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</si>
  <si>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</si>
  <si>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</si>
  <si>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</si>
  <si>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</si>
  <si>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</si>
  <si>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</si>
  <si>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</si>
  <si>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</si>
  <si>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</si>
  <si>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</si>
  <si>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</si>
  <si>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</si>
  <si>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</si>
  <si>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</si>
  <si>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</si>
  <si>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</si>
  <si>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</si>
  <si>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</si>
  <si>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</si>
  <si>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</si>
  <si>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</si>
  <si>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</si>
  <si>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</si>
  <si>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</si>
  <si>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</si>
  <si>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</si>
  <si>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</si>
  <si>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</si>
  <si>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</si>
  <si>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</si>
  <si>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</si>
  <si>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</si>
  <si>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</si>
  <si>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</si>
  <si>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</si>
  <si>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</si>
  <si>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</si>
  <si>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</si>
  <si>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</si>
  <si>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</si>
  <si>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</si>
  <si>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</si>
  <si>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</si>
  <si>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</si>
  <si>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</si>
  <si>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</si>
  <si>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</si>
  <si>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</si>
  <si>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</si>
  <si>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</si>
  <si>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</si>
  <si>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</si>
  <si>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</si>
  <si>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</si>
  <si>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</si>
  <si>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</si>
  <si>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</si>
  <si>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</si>
  <si>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</si>
  <si>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</si>
  <si>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</si>
  <si>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</si>
  <si>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</si>
  <si>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</si>
  <si>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</si>
  <si>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</si>
  <si>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</si>
  <si>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</si>
  <si>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</si>
  <si>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</si>
  <si>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</si>
  <si>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</si>
  <si>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</si>
  <si>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</si>
  <si>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</si>
  <si>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</si>
  <si>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</si>
  <si>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</si>
  <si>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</si>
  <si>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</si>
  <si>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</si>
  <si>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</si>
  <si>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</si>
  <si>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</si>
  <si>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</si>
  <si>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</si>
  <si>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</si>
  <si>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</si>
  <si>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</si>
  <si>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</si>
  <si>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</si>
  <si>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</si>
  <si>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</si>
  <si>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</si>
  <si>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</si>
  <si>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</si>
  <si>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</si>
  <si>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</si>
  <si>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</si>
  <si>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</si>
  <si>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</si>
  <si>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</si>
  <si>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</si>
  <si>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</si>
  <si>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</si>
  <si>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</si>
  <si>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</si>
  <si>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</si>
  <si>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</si>
  <si>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</si>
  <si>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</si>
  <si>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</si>
  <si>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</si>
  <si>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</si>
  <si>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</si>
  <si>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</si>
  <si>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</si>
  <si>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</si>
  <si>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</si>
  <si>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</si>
  <si>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</si>
  <si>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</si>
  <si>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</si>
  <si>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</si>
  <si>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</si>
  <si>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</si>
  <si>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</si>
  <si>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</si>
  <si>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</si>
  <si>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</si>
  <si>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</si>
  <si>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</si>
  <si>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</si>
  <si>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</si>
  <si>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</si>
  <si>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</si>
  <si>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</si>
  <si>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</si>
  <si>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</si>
  <si>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</si>
  <si>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</si>
  <si>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</si>
  <si>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</si>
  <si>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</si>
  <si>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</si>
  <si>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</si>
  <si>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</si>
  <si>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</si>
  <si>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</si>
  <si>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</si>
  <si>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</si>
  <si>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</si>
  <si>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</si>
  <si>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</si>
  <si>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</si>
  <si>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</si>
  <si>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</si>
  <si>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</si>
  <si>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</si>
  <si>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</si>
  <si>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</si>
  <si>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</si>
  <si>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</si>
  <si>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</si>
  <si>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</si>
  <si>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</si>
  <si>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</si>
  <si>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</si>
  <si>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</si>
  <si>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</si>
  <si>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</si>
  <si>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</si>
  <si>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</si>
  <si>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</si>
  <si>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</si>
  <si>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</si>
  <si>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</si>
  <si>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</si>
  <si>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</si>
  <si>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</si>
  <si>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</si>
  <si>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</si>
  <si>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</si>
  <si>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</si>
  <si>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</si>
  <si>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</si>
  <si>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</si>
  <si>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</si>
  <si>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</si>
  <si>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</si>
  <si>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</si>
  <si>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</si>
  <si>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</si>
  <si>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</si>
  <si>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</si>
  <si>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</si>
  <si>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</si>
  <si>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</si>
  <si>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</si>
  <si>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</si>
  <si>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</si>
  <si>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</si>
  <si>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</si>
  <si>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</si>
  <si>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</si>
  <si>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</si>
  <si>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</si>
  <si>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</si>
  <si>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</si>
  <si>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</si>
  <si>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</si>
  <si>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</si>
  <si>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</si>
  <si>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</si>
  <si>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</si>
  <si>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</si>
  <si>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</si>
  <si>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</si>
  <si>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</si>
  <si>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</si>
  <si>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</si>
  <si>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</si>
  <si>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</si>
  <si>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</si>
  <si>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</si>
  <si>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</si>
  <si>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</si>
  <si>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</si>
  <si>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</si>
  <si>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</si>
  <si>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</si>
  <si>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</si>
  <si>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</si>
  <si>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</si>
  <si>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</si>
  <si>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</si>
  <si>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</si>
  <si>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</si>
  <si>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</si>
  <si>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</si>
  <si>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</si>
  <si>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</si>
  <si>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</si>
  <si>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</si>
  <si>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</si>
  <si>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</si>
  <si>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</si>
  <si>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</si>
  <si>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</si>
  <si>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</si>
  <si>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</si>
  <si>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</si>
  <si>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</si>
  <si>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</si>
  <si>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</si>
  <si>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</si>
  <si>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</si>
  <si>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</si>
  <si>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</si>
  <si>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</si>
  <si>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</si>
  <si>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</si>
  <si>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</si>
  <si>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</si>
  <si>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</si>
  <si>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</si>
  <si>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</si>
  <si>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</si>
  <si>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</si>
  <si>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</si>
  <si>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</si>
  <si>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</si>
  <si>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</si>
  <si>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</si>
  <si>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</si>
  <si>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</si>
  <si>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</si>
  <si>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</si>
  <si>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</si>
  <si>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</si>
  <si>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</si>
  <si>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</si>
  <si>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</si>
  <si>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</si>
  <si>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</si>
  <si>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</si>
  <si>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</si>
  <si>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</si>
  <si>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</si>
  <si>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</si>
  <si>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</si>
  <si>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</si>
  <si>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</si>
  <si>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</si>
  <si>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</si>
  <si>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</si>
  <si>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</si>
  <si>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</si>
  <si>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</si>
  <si>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</si>
  <si>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</si>
  <si>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</si>
  <si>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</si>
  <si>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</si>
  <si>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</si>
  <si>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</si>
  <si>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</si>
  <si>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</si>
  <si>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</si>
  <si>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</si>
  <si>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</si>
  <si>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</si>
  <si>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</si>
  <si>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</si>
  <si>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</si>
  <si>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</si>
  <si>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</si>
  <si>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</si>
  <si>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</si>
  <si>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</si>
  <si>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</si>
  <si>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</si>
  <si>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</si>
  <si>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</si>
  <si>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</si>
  <si>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</si>
  <si>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</si>
  <si>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</si>
  <si>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</si>
  <si>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</si>
  <si>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</si>
  <si>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</si>
  <si>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</si>
  <si>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</si>
  <si>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</si>
  <si>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</si>
  <si>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</si>
  <si>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</si>
  <si>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</si>
  <si>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</si>
  <si>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</si>
  <si>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</si>
  <si>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</si>
  <si>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</si>
  <si>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</si>
  <si>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</si>
  <si>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</si>
  <si>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</si>
  <si>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</si>
  <si>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</si>
  <si>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</si>
  <si>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</si>
  <si>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</si>
  <si>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</si>
  <si>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</si>
  <si>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</si>
  <si>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</si>
  <si>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</si>
  <si>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</si>
  <si>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</si>
  <si>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</si>
  <si>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</si>
  <si>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</si>
  <si>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</si>
  <si>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</si>
  <si>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</si>
  <si>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</si>
  <si>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</si>
  <si>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</si>
  <si>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</si>
  <si>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</si>
  <si>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</si>
  <si>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</si>
  <si>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</si>
  <si>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</si>
  <si>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</si>
  <si>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</si>
  <si>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</si>
  <si>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</si>
  <si>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</si>
  <si>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</si>
  <si>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</si>
  <si>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</si>
  <si>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</si>
  <si>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</si>
  <si>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</si>
  <si>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</si>
  <si>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</si>
  <si>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</si>
  <si>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</si>
  <si>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</si>
  <si>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</si>
  <si>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</si>
  <si>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</si>
  <si>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</si>
  <si>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</si>
  <si>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</si>
  <si>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</si>
  <si>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</si>
  <si>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</si>
  <si>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</si>
  <si>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</si>
  <si>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</si>
  <si>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</si>
  <si>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</si>
  <si>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</si>
  <si>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</si>
  <si>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</si>
  <si>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</si>
  <si>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</si>
  <si>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</si>
  <si>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</si>
  <si>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</si>
  <si>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</si>
  <si>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</si>
  <si>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</si>
  <si>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</si>
  <si>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</si>
  <si>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</si>
  <si>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</si>
  <si>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</si>
  <si>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</si>
  <si>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</si>
  <si>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</si>
  <si>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</si>
  <si>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</si>
  <si>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</si>
  <si>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</si>
  <si>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</si>
  <si>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</si>
  <si>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</si>
  <si>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</si>
  <si>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</si>
  <si>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</si>
  <si>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</si>
  <si>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</si>
  <si>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</si>
  <si>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</si>
  <si>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</si>
  <si>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</si>
  <si>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</si>
  <si>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</si>
  <si>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</si>
  <si>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</si>
  <si>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</si>
  <si>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</si>
  <si>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</si>
  <si>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</si>
  <si>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</si>
  <si>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</si>
  <si>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</si>
  <si>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</si>
  <si>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</si>
  <si>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</si>
  <si>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</si>
  <si>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</si>
  <si>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</si>
  <si>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</si>
  <si>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</si>
  <si>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</si>
  <si>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</si>
  <si>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</si>
  <si>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</si>
  <si>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</si>
  <si>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</si>
  <si>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</si>
  <si>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</si>
  <si>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</si>
  <si>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</si>
  <si>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</si>
  <si>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</si>
  <si>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</si>
  <si>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</si>
  <si>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</si>
  <si>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</si>
  <si>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</si>
  <si>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</si>
  <si>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</si>
  <si>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</si>
  <si>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</si>
  <si>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</si>
  <si>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</si>
  <si>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</si>
  <si>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</si>
  <si>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</si>
  <si>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</si>
  <si>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</si>
  <si>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</si>
  <si>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</si>
  <si>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</si>
  <si>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</si>
  <si>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</si>
  <si>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</si>
  <si>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</si>
  <si>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</si>
  <si>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</si>
  <si>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</si>
  <si>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</si>
  <si>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</si>
  <si>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</si>
  <si>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</si>
  <si>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</si>
  <si>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</si>
  <si>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</si>
  <si>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</si>
  <si>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</si>
  <si>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</si>
  <si>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</si>
  <si>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</si>
  <si>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</si>
  <si>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</si>
  <si>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</si>
  <si>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</si>
  <si>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</si>
  <si>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</si>
  <si>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</si>
  <si>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</si>
  <si>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</si>
  <si>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</si>
  <si>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</si>
  <si>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</si>
  <si>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</si>
  <si>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</si>
  <si>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</si>
  <si>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</si>
  <si>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</si>
  <si>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</si>
  <si>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</si>
  <si>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</si>
  <si>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</si>
  <si>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</si>
  <si>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</si>
  <si>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</si>
  <si>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</si>
  <si>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</si>
  <si>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</si>
  <si>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</si>
  <si>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</si>
  <si>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</si>
  <si>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</si>
  <si>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</si>
  <si>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</si>
  <si>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</si>
  <si>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</si>
  <si>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</si>
  <si>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</si>
  <si>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</si>
  <si>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</si>
  <si>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</si>
  <si>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</si>
  <si>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</si>
  <si>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</si>
  <si>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</si>
  <si>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</si>
  <si>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</si>
  <si>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</si>
  <si>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</si>
  <si>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</si>
  <si>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</si>
  <si>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</si>
  <si>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</si>
  <si>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</si>
  <si>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</si>
  <si>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</si>
  <si>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</si>
  <si>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</si>
  <si>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</si>
  <si>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</si>
  <si>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</si>
  <si>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</si>
  <si>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</si>
  <si>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</si>
  <si>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</si>
  <si>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</si>
  <si>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</si>
  <si>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</si>
  <si>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</si>
  <si>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</si>
  <si>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</si>
  <si>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</si>
  <si>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</si>
  <si>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</si>
  <si>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</si>
  <si>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</si>
  <si>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</si>
  <si>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</si>
  <si>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</si>
  <si>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</si>
  <si>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</si>
  <si>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</si>
  <si>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</si>
  <si>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</si>
  <si>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</si>
  <si>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</si>
  <si>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</si>
  <si>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</si>
  <si>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</si>
  <si>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</si>
  <si>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</si>
  <si>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</si>
  <si>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</si>
  <si>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</si>
  <si>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</si>
  <si>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</si>
  <si>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</si>
  <si>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</si>
  <si>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</si>
  <si>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</si>
  <si>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</si>
  <si>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</si>
  <si>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</si>
  <si>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</si>
  <si>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</si>
  <si>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</si>
  <si>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</si>
  <si>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</si>
  <si>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</si>
  <si>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</si>
  <si>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</si>
  <si>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</si>
  <si>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</si>
  <si>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</si>
  <si>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</si>
  <si>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</si>
  <si>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</si>
  <si>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</si>
  <si>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</si>
  <si>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</si>
  <si>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</si>
  <si>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</si>
  <si>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</si>
  <si>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</si>
  <si>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</si>
  <si>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</si>
  <si>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</si>
  <si>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</si>
  <si>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</si>
  <si>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</si>
  <si>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</si>
  <si>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</si>
  <si>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</si>
  <si>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</si>
  <si>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</si>
  <si>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</si>
  <si>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</si>
  <si>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</si>
  <si>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</si>
  <si>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</si>
  <si>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</si>
  <si>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</si>
  <si>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</si>
  <si>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</si>
  <si>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</si>
  <si>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</si>
  <si>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</si>
  <si>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</si>
  <si>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</si>
  <si>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</si>
  <si>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</si>
  <si>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</si>
  <si>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</si>
  <si>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</si>
  <si>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</si>
  <si>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</si>
  <si>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</si>
  <si>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</si>
  <si>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</si>
  <si>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</si>
  <si>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</si>
  <si>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</si>
  <si>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</si>
  <si>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</si>
  <si>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</si>
  <si>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</si>
  <si>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</si>
  <si>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</si>
  <si>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</si>
  <si>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</si>
  <si>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</si>
  <si>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</si>
  <si>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</si>
  <si>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</si>
  <si>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</si>
  <si>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</si>
  <si>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</si>
  <si>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</si>
  <si>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</si>
  <si>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</si>
  <si>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</si>
  <si>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</si>
  <si>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</si>
  <si>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</si>
  <si>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</si>
  <si>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</si>
  <si>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</si>
  <si>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</si>
  <si>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</si>
  <si>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</si>
  <si>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</si>
  <si>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</si>
  <si>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</si>
  <si>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</si>
  <si>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</si>
  <si>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</si>
  <si>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</si>
  <si>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</si>
  <si>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</si>
  <si>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</si>
  <si>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</si>
  <si>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</si>
  <si>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</si>
  <si>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</si>
  <si>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</si>
  <si>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</si>
  <si>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</si>
  <si>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</si>
  <si>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</si>
  <si>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</si>
  <si>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</si>
  <si>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</si>
  <si>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</si>
  <si>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</si>
  <si>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</si>
  <si>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</si>
  <si>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</si>
  <si>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</si>
  <si>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</si>
  <si>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</si>
  <si>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</si>
  <si>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</si>
  <si>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</si>
  <si>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</si>
  <si>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</si>
  <si>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</si>
  <si>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</si>
  <si>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</si>
  <si>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</si>
  <si>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</si>
  <si>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</si>
  <si>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</si>
  <si>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</si>
  <si>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</si>
  <si>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We did not pay the net tax assessment, nor did we received the SWEPT amount ($68,985-$34,923)</t>
  </si>
  <si>
    <t>1 &amp; 19</t>
  </si>
  <si>
    <t>For some reason, trust information has never been reported on the DOE-25. Data shows up in other areas such as Page 1,</t>
  </si>
  <si>
    <t>Line 1(5); Page 19, Line 1. I apologize for the errors in prior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</si>
</sst>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A11" sqref="A1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1775</v>
      </c>
      <c r="B2">
        <f>INDEX('School Tables'!$AH$3:$AH$209,MATCH('DOE25'!A2,'School Tables'!$AJ$3:$AJ$209,0))</f>
        <v>579</v>
      </c>
      <c r="C2">
        <f>INDEX('School Tables'!$AI$3:$AI$209,MATCH('DOE25'!A2,'School Tables'!$AJ$3:$AJ$209,0))</f>
        <v>579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15182.37</v>
      </c>
      <c r="G9" s="18"/>
      <c r="H9" s="18"/>
      <c r="I9" s="18"/>
      <c r="J9" s="13">
        <f>SUM(I440)</f>
        <v>81092</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15182.37</v>
      </c>
      <c r="G19" s="38">
        <f>SUM(G9:G18)</f>
        <v>0</v>
      </c>
      <c r="H19" s="38">
        <f>SUM(H9:H18)</f>
        <v>0</v>
      </c>
      <c r="I19" s="38">
        <f>SUM(I9:I18)</f>
        <v>0</v>
      </c>
      <c r="J19" s="38">
        <f>SUM(J9:J18)</f>
        <v>81092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0</v>
      </c>
      <c r="G32" s="38">
        <f>SUM(G22:G31)</f>
        <v>0</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f>15182.37-F46</f>
        <v>15182.37</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81092</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15182.37</v>
      </c>
      <c r="G51" s="38">
        <f>SUM(G35:G50)</f>
        <v>0</v>
      </c>
      <c r="H51" s="38">
        <f>SUM(H35:H50)</f>
        <v>0</v>
      </c>
      <c r="I51" s="38">
        <f>SUM(I35:I50)</f>
        <v>0</v>
      </c>
      <c r="J51" s="38">
        <f>SUM(J35:J50)</f>
        <v>81092</v>
      </c>
      <c r="K51" s="42" t="s">
        <v>288</v>
      </c>
      <c r="L51" s="42" t="s">
        <v>288</v>
      </c>
      <c r="N51" s="131"/>
    </row>
    <row r="52" spans="1:14" s="3" customFormat="1" ht="12.2" customHeight="1" thickTop="1" x14ac:dyDescent="0.15">
      <c r="A52" s="35" t="s">
        <v>455</v>
      </c>
      <c r="B52" s="36" t="s">
        <v>289</v>
      </c>
      <c r="C52" s="6">
        <v>37</v>
      </c>
      <c r="D52" s="36" t="s">
        <v>653</v>
      </c>
      <c r="E52" s="36"/>
      <c r="F52" s="38">
        <f>F51+F32</f>
        <v>15182.37</v>
      </c>
      <c r="G52" s="38">
        <f>G51+G32</f>
        <v>0</v>
      </c>
      <c r="H52" s="38">
        <f>H51+H32</f>
        <v>0</v>
      </c>
      <c r="I52" s="38">
        <f>I51+I32</f>
        <v>0</v>
      </c>
      <c r="J52" s="38">
        <f>J51+J32</f>
        <v>81092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f>-68985</f>
        <v>-68985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-68985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15.97</v>
      </c>
      <c r="G96" s="18"/>
      <c r="H96" s="18"/>
      <c r="I96" s="18"/>
      <c r="J96" s="18"/>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15.97</v>
      </c>
      <c r="G111" s="38">
        <f>SUM(G96:G110)</f>
        <v>0</v>
      </c>
      <c r="H111" s="38">
        <f>SUM(H96:H110)</f>
        <v>0</v>
      </c>
      <c r="I111" s="38">
        <f>SUM(I96:I110)</f>
        <v>0</v>
      </c>
      <c r="J111" s="38">
        <f>SUM(J96:J110)</f>
        <v>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-68969.03</v>
      </c>
      <c r="G112" s="38">
        <f>G60+G111</f>
        <v>0</v>
      </c>
      <c r="H112" s="38">
        <f>H60+H79+H94+H111</f>
        <v>0</v>
      </c>
      <c r="I112" s="38">
        <f>I60+I111</f>
        <v>0</v>
      </c>
      <c r="J112" s="38">
        <f>J60+J111</f>
        <v>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78878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34923</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113801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113801</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0</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0</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30000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30000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44831.97</v>
      </c>
      <c r="G194" s="38">
        <f>G112+G140+G170+G193</f>
        <v>0</v>
      </c>
      <c r="H194" s="38">
        <f>H112+H140+H170+H193</f>
        <v>0</v>
      </c>
      <c r="I194" s="38">
        <f>I112+I140+I170+I193</f>
        <v>0</v>
      </c>
      <c r="J194" s="38">
        <f>J112+J140+J193</f>
        <v>30000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v>200711.61</v>
      </c>
      <c r="I198" s="18"/>
      <c r="J198" s="18"/>
      <c r="K198" s="18"/>
      <c r="L198" s="13">
        <f>SUM(F198:K198)</f>
        <v>200711.61</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f>ROUND((935.25+14332+1000+355)*0.75,2)</f>
        <v>12466.69</v>
      </c>
      <c r="I205" s="18"/>
      <c r="J205" s="18"/>
      <c r="K205" s="18"/>
      <c r="L205" s="13">
        <f t="shared" si="0"/>
        <v>12466.69</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f>9388*0.75</f>
        <v>7041</v>
      </c>
      <c r="I209" s="18"/>
      <c r="J209" s="18"/>
      <c r="K209" s="18"/>
      <c r="L209" s="13">
        <f t="shared" si="0"/>
        <v>7041</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220219.3</v>
      </c>
      <c r="I212" s="38">
        <f t="shared" si="1"/>
        <v>0</v>
      </c>
      <c r="J212" s="38">
        <f t="shared" si="1"/>
        <v>0</v>
      </c>
      <c r="K212" s="38">
        <f t="shared" si="1"/>
        <v>0</v>
      </c>
      <c r="L212" s="38">
        <f t="shared" si="1"/>
        <v>220219.3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0</v>
      </c>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f>ROUND((935.25+14332+1000+355)*0,2)</f>
        <v>0</v>
      </c>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f>9388*0</f>
        <v>0</v>
      </c>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63752.1</v>
      </c>
      <c r="I234" s="18"/>
      <c r="J234" s="18"/>
      <c r="K234" s="18"/>
      <c r="L234" s="13">
        <f>SUM(F234:K234)</f>
        <v>63752.1</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f>ROUND((935.25+14332+1000+355)*0.25,2)</f>
        <v>4155.5600000000004</v>
      </c>
      <c r="I241" s="18"/>
      <c r="J241" s="18"/>
      <c r="K241" s="18"/>
      <c r="L241" s="13">
        <f t="shared" si="4"/>
        <v>4155.5600000000004</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9388*0.25</f>
        <v>2347</v>
      </c>
      <c r="I245" s="18"/>
      <c r="J245" s="18"/>
      <c r="K245" s="18"/>
      <c r="L245" s="13">
        <f t="shared" si="4"/>
        <v>2347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70254.66</v>
      </c>
      <c r="I248" s="38">
        <f t="shared" si="5"/>
        <v>0</v>
      </c>
      <c r="J248" s="38">
        <f t="shared" si="5"/>
        <v>0</v>
      </c>
      <c r="K248" s="38">
        <f t="shared" si="5"/>
        <v>0</v>
      </c>
      <c r="L248" s="38">
        <f t="shared" si="5"/>
        <v>70254.66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0</v>
      </c>
      <c r="G258" s="38">
        <f t="shared" si="8"/>
        <v>0</v>
      </c>
      <c r="H258" s="38">
        <f t="shared" si="8"/>
        <v>290473.95999999996</v>
      </c>
      <c r="I258" s="38">
        <f t="shared" si="8"/>
        <v>0</v>
      </c>
      <c r="J258" s="38">
        <f t="shared" si="8"/>
        <v>0</v>
      </c>
      <c r="K258" s="38">
        <f t="shared" si="8"/>
        <v>0</v>
      </c>
      <c r="L258" s="38">
        <f t="shared" si="8"/>
        <v>290473.95999999996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30000</v>
      </c>
      <c r="L271" s="38">
        <f t="shared" si="9"/>
        <v>30000</v>
      </c>
      <c r="M271" s="8"/>
      <c r="N271" s="165"/>
    </row>
    <row r="272" spans="1:14" s="33" customFormat="1" ht="12.2" customHeight="1" thickTop="1" x14ac:dyDescent="0.2">
      <c r="A272" s="40" t="s">
        <v>464</v>
      </c>
      <c r="B272" s="37">
        <v>10</v>
      </c>
      <c r="C272" s="37">
        <v>18</v>
      </c>
      <c r="D272" s="36" t="s">
        <v>431</v>
      </c>
      <c r="E272" s="37"/>
      <c r="F272" s="39">
        <f t="shared" ref="F272:L272" si="11">F258+F271</f>
        <v>0</v>
      </c>
      <c r="G272" s="39">
        <f t="shared" si="11"/>
        <v>0</v>
      </c>
      <c r="H272" s="39">
        <f t="shared" si="11"/>
        <v>290473.95999999996</v>
      </c>
      <c r="I272" s="39">
        <f t="shared" si="11"/>
        <v>0</v>
      </c>
      <c r="J272" s="39">
        <f t="shared" si="11"/>
        <v>0</v>
      </c>
      <c r="K272" s="39">
        <f t="shared" si="11"/>
        <v>30000</v>
      </c>
      <c r="L272" s="39">
        <f t="shared" si="11"/>
        <v>320473.95999999996</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0</v>
      </c>
      <c r="I339" s="38">
        <f t="shared" si="20"/>
        <v>0</v>
      </c>
      <c r="J339" s="38">
        <f t="shared" si="20"/>
        <v>0</v>
      </c>
      <c r="K339" s="38">
        <f t="shared" si="20"/>
        <v>0</v>
      </c>
      <c r="L339" s="38">
        <f t="shared" si="20"/>
        <v>0</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0</v>
      </c>
      <c r="I353" s="38">
        <f>I339</f>
        <v>0</v>
      </c>
      <c r="J353" s="38">
        <f>J339</f>
        <v>0</v>
      </c>
      <c r="K353" s="38">
        <f>K339+K352</f>
        <v>0</v>
      </c>
      <c r="L353" s="38">
        <f>L339+L352</f>
        <v>0</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v>30000</v>
      </c>
      <c r="H399" s="18"/>
      <c r="I399" s="18"/>
      <c r="J399" s="23" t="s">
        <v>288</v>
      </c>
      <c r="K399" s="23" t="s">
        <v>288</v>
      </c>
      <c r="L399" s="13">
        <f t="shared" si="26"/>
        <v>30000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0</v>
      </c>
      <c r="I402" s="38">
        <f>SUM(I396:I401)</f>
        <v>0</v>
      </c>
      <c r="J402" s="42" t="s">
        <v>288</v>
      </c>
      <c r="K402" s="42" t="s">
        <v>288</v>
      </c>
      <c r="L402" s="38">
        <f>SUM(L396:L401)</f>
        <v>30000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30000</v>
      </c>
      <c r="H409" s="38">
        <f>H394+H402+H408</f>
        <v>0</v>
      </c>
      <c r="I409" s="38">
        <f>I394+I402+I408</f>
        <v>0</v>
      </c>
      <c r="J409" s="23" t="s">
        <v>288</v>
      </c>
      <c r="K409" s="23" t="s">
        <v>288</v>
      </c>
      <c r="L409" s="38">
        <f>L394+L402+L408</f>
        <v>30000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v>81092</v>
      </c>
      <c r="H440" s="18"/>
      <c r="I440" s="13">
        <f t="shared" ref="I440:I446" si="33">SUM(F440:H440)</f>
        <v>81092</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81092</v>
      </c>
      <c r="H447" s="13">
        <f>SUM(H440:H446)</f>
        <v>0</v>
      </c>
      <c r="I447" s="13">
        <f>SUM(I440:I446)</f>
        <v>81092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81092</v>
      </c>
      <c r="H460" s="18"/>
      <c r="I460" s="13">
        <f t="shared" si="34"/>
        <v>81092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81092</v>
      </c>
      <c r="H461" s="65">
        <f>SUM(H455:H460)</f>
        <v>0</v>
      </c>
      <c r="I461" s="65">
        <f>SUM(I455:I460)</f>
        <v>81092</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81092</v>
      </c>
      <c r="H462" s="39">
        <f>H453+H461</f>
        <v>0</v>
      </c>
      <c r="I462" s="39">
        <f>I453+I461</f>
        <v>81092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256762.36</v>
      </c>
      <c r="G466" s="18"/>
      <c r="H466" s="18"/>
      <c r="I466" s="18"/>
      <c r="J466" s="18">
        <v>51092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44831.97</v>
      </c>
      <c r="G469" s="18"/>
      <c r="H469" s="18"/>
      <c r="I469" s="18"/>
      <c r="J469" s="18">
        <f>L409</f>
        <v>30000</v>
      </c>
      <c r="K469" s="23" t="s">
        <v>288</v>
      </c>
      <c r="L469" s="23" t="s">
        <v>288</v>
      </c>
      <c r="N469" s="131"/>
    </row>
    <row r="470" spans="1:14" ht="12.2" customHeight="1" x14ac:dyDescent="0.2">
      <c r="A470" s="71" t="s">
        <v>611</v>
      </c>
      <c r="B470" s="22">
        <v>19</v>
      </c>
      <c r="C470" s="31">
        <v>3</v>
      </c>
      <c r="D470" s="2" t="s">
        <v>432</v>
      </c>
      <c r="E470" s="31"/>
      <c r="F470" s="18">
        <f>68985-34923</f>
        <v>34062</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78893.97</v>
      </c>
      <c r="G471" s="19">
        <f>SUM(G469:G470)</f>
        <v>0</v>
      </c>
      <c r="H471" s="19">
        <f>SUM(H469:H470)</f>
        <v>0</v>
      </c>
      <c r="I471" s="19">
        <f>SUM(I469:I470)</f>
        <v>0</v>
      </c>
      <c r="J471" s="19">
        <f>SUM(J469:J470)</f>
        <v>30000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320473.95999999996</v>
      </c>
      <c r="G473" s="18"/>
      <c r="H473" s="18"/>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320473.95999999996</v>
      </c>
      <c r="G475" s="19">
        <f>SUM(G473:G474)</f>
        <v>0</v>
      </c>
      <c r="H475" s="19">
        <f>SUM(H473:H474)</f>
        <v>0</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15182.369999999995</v>
      </c>
      <c r="G477" s="19">
        <f>(G466+G471)- G475</f>
        <v>0</v>
      </c>
      <c r="H477" s="19">
        <f>(H466+H471)- H475</f>
        <v>0</v>
      </c>
      <c r="I477" s="19">
        <f>(I466+I471)- I475</f>
        <v>0</v>
      </c>
      <c r="J477" s="19">
        <f>(J466+J471)- J475</f>
        <v>81092</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0</v>
      </c>
      <c r="I525" s="81">
        <f t="shared" si="36"/>
        <v>0</v>
      </c>
      <c r="J525" s="81">
        <f t="shared" si="36"/>
        <v>0</v>
      </c>
      <c r="K525" s="81">
        <f t="shared" si="36"/>
        <v>0</v>
      </c>
      <c r="L525" s="70">
        <f t="shared" si="36"/>
        <v>0</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0</v>
      </c>
      <c r="I546" s="70">
        <f t="shared" si="41"/>
        <v>0</v>
      </c>
      <c r="J546" s="70">
        <f t="shared" si="41"/>
        <v>0</v>
      </c>
      <c r="K546" s="70">
        <f t="shared" si="41"/>
        <v>0</v>
      </c>
      <c r="L546" s="70">
        <f t="shared" si="41"/>
        <v>0</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0</v>
      </c>
      <c r="G553" s="70">
        <f t="shared" si="42"/>
        <v>0</v>
      </c>
      <c r="H553" s="70">
        <f t="shared" si="42"/>
        <v>0</v>
      </c>
      <c r="I553" s="70">
        <f t="shared" si="42"/>
        <v>0</v>
      </c>
      <c r="J553" s="70">
        <f t="shared" si="42"/>
        <v>0</v>
      </c>
      <c r="K553" s="70">
        <f t="shared" si="42"/>
        <v>0</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f>H198</f>
        <v>200711.61</v>
      </c>
      <c r="G576" s="18">
        <f>H296</f>
        <v>0</v>
      </c>
      <c r="H576" s="18">
        <f>H234</f>
        <v>63752.1</v>
      </c>
      <c r="I576" s="69">
        <f>SUM(F576:H576)</f>
        <v>264463.70999999996</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7041</v>
      </c>
      <c r="I592" s="18">
        <v>0</v>
      </c>
      <c r="J592" s="18">
        <v>2347</v>
      </c>
      <c r="K592" s="80">
        <f t="shared" ref="K592:K598" si="48">SUM(H592:J592)</f>
        <v>9388</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7041</v>
      </c>
      <c r="I599" s="81">
        <f>SUM(I592:I598)</f>
        <v>0</v>
      </c>
      <c r="J599" s="81">
        <f>SUM(J592:J598)</f>
        <v>2347</v>
      </c>
      <c r="K599" s="81">
        <f>SUM(K592:K598)</f>
        <v>9388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15182.37</v>
      </c>
      <c r="H618" s="80">
        <f>SUM(F52)</f>
        <v>15182.37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81092</v>
      </c>
      <c r="H622" s="80">
        <f>SUM(J52)</f>
        <v>81092</v>
      </c>
      <c r="I622" s="87" t="s">
        <v>878</v>
      </c>
      <c r="J622" s="80">
        <f>G622-H622</f>
        <v>0</v>
      </c>
      <c r="K622" s="80"/>
      <c r="L622" s="80"/>
      <c r="M622" s="8"/>
    </row>
    <row r="623" spans="1:14" s="3" customFormat="1" ht="12.2" customHeight="1" x14ac:dyDescent="0.15">
      <c r="A623" s="74"/>
      <c r="B623" s="22"/>
      <c r="C623" s="22"/>
      <c r="D623" s="22"/>
      <c r="E623" s="22"/>
      <c r="F623" s="87" t="s">
        <v>864</v>
      </c>
      <c r="G623" s="80">
        <f>F51</f>
        <v>15182.37</v>
      </c>
      <c r="H623" s="80">
        <f>F477</f>
        <v>15182.369999999995</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81092</v>
      </c>
      <c r="H627" s="80">
        <f>J477</f>
        <v>81092</v>
      </c>
      <c r="I627" s="87" t="s">
        <v>105</v>
      </c>
      <c r="J627" s="80">
        <f t="shared" si="50"/>
        <v>0</v>
      </c>
      <c r="K627" s="67"/>
      <c r="L627" s="69"/>
      <c r="M627" s="8"/>
    </row>
    <row r="628" spans="1:13" s="3" customFormat="1" ht="12.2" customHeight="1" x14ac:dyDescent="0.15">
      <c r="A628" s="21"/>
      <c r="B628" s="22"/>
      <c r="C628" s="22"/>
      <c r="D628" s="22"/>
      <c r="E628" s="22"/>
      <c r="F628" s="86" t="s">
        <v>658</v>
      </c>
      <c r="G628" s="80">
        <f>F194</f>
        <v>44831.97</v>
      </c>
      <c r="H628" s="80">
        <f>SUM(F469)</f>
        <v>44831.97</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0</v>
      </c>
      <c r="H630" s="80">
        <f>SUM(H469)</f>
        <v>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30000</v>
      </c>
      <c r="H632" s="80">
        <f>SUM(J469)</f>
        <v>30000</v>
      </c>
      <c r="I632" s="87" t="s">
        <v>110</v>
      </c>
      <c r="J632" s="80">
        <f>G632-H632</f>
        <v>0</v>
      </c>
      <c r="K632" s="67"/>
      <c r="L632" s="69"/>
      <c r="M632" s="8"/>
    </row>
    <row r="633" spans="1:13" s="3" customFormat="1" ht="12.2" customHeight="1" x14ac:dyDescent="0.15">
      <c r="A633" s="21"/>
      <c r="B633" s="22"/>
      <c r="C633" s="22"/>
      <c r="D633" s="22"/>
      <c r="E633" s="22"/>
      <c r="F633" s="86" t="s">
        <v>394</v>
      </c>
      <c r="G633" s="80">
        <f>SUM(L272)</f>
        <v>320473.95999999996</v>
      </c>
      <c r="H633" s="80">
        <f>SUM(F473)</f>
        <v>320473.95999999996</v>
      </c>
      <c r="I633" s="87" t="s">
        <v>111</v>
      </c>
      <c r="J633" s="80">
        <f t="shared" si="50"/>
        <v>0</v>
      </c>
      <c r="K633" s="67"/>
      <c r="L633" s="69"/>
      <c r="M633" s="8"/>
    </row>
    <row r="634" spans="1:13" s="3" customFormat="1" ht="12.2" customHeight="1" x14ac:dyDescent="0.15">
      <c r="A634" s="21"/>
      <c r="B634" s="22"/>
      <c r="C634" s="22"/>
      <c r="D634" s="22"/>
      <c r="E634" s="22"/>
      <c r="F634" s="86" t="s">
        <v>395</v>
      </c>
      <c r="G634" s="80">
        <f>SUM(L353)</f>
        <v>0</v>
      </c>
      <c r="H634" s="80">
        <f>SUM(H473)</f>
        <v>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30000</v>
      </c>
      <c r="H638" s="108">
        <f>SUM(J469)</f>
        <v>30000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81092</v>
      </c>
      <c r="H641" s="80">
        <f>SUM(G462)</f>
        <v>81092</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81092</v>
      </c>
      <c r="H643" s="80">
        <f>SUM(I462)</f>
        <v>81092</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0"/>
        <v>0</v>
      </c>
      <c r="K646" s="67"/>
      <c r="L646" s="69"/>
      <c r="M646" s="8"/>
    </row>
    <row r="647" spans="1:13" s="3" customFormat="1" ht="12.2" customHeight="1" x14ac:dyDescent="0.15">
      <c r="A647" s="21"/>
      <c r="B647" s="22"/>
      <c r="C647" s="22"/>
      <c r="D647" s="22"/>
      <c r="E647" s="22"/>
      <c r="F647" s="86" t="s">
        <v>662</v>
      </c>
      <c r="G647" s="80">
        <f>J194</f>
        <v>30000</v>
      </c>
      <c r="H647" s="80">
        <f>L409</f>
        <v>30000</v>
      </c>
      <c r="I647" s="87" t="s">
        <v>477</v>
      </c>
      <c r="J647" s="80">
        <f t="shared" si="50"/>
        <v>0</v>
      </c>
      <c r="K647" s="67"/>
      <c r="L647" s="69"/>
      <c r="M647" s="8"/>
    </row>
    <row r="648" spans="1:13" s="3" customFormat="1" ht="12.2" customHeight="1" x14ac:dyDescent="0.15">
      <c r="A648" s="21"/>
      <c r="B648" s="22"/>
      <c r="C648" s="22"/>
      <c r="D648" s="22"/>
      <c r="E648" s="22"/>
      <c r="F648" s="86" t="s">
        <v>51</v>
      </c>
      <c r="G648" s="80">
        <f>K599</f>
        <v>9388</v>
      </c>
      <c r="H648" s="80">
        <f>L209+L227+L245</f>
        <v>9388</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7041</v>
      </c>
      <c r="H650" s="80">
        <f>H599</f>
        <v>7041</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2347</v>
      </c>
      <c r="H652" s="80">
        <f>J599</f>
        <v>2347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220219.3</v>
      </c>
      <c r="G661" s="13">
        <f>(L230+L310+L360)</f>
        <v>0</v>
      </c>
      <c r="H661" s="13">
        <f>(L248+L329+L361)</f>
        <v>70254.66</v>
      </c>
      <c r="I661" s="13">
        <f>SUM(F661:H661)</f>
        <v>290473.95999999996</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7041</v>
      </c>
      <c r="G663" s="13">
        <f>(L227+L307)-(J227+J307)</f>
        <v>0</v>
      </c>
      <c r="H663" s="13">
        <f>(L245+L326)-(J245+J326)</f>
        <v>2347</v>
      </c>
      <c r="I663" s="13">
        <f>SUM(F663:H663)</f>
        <v>9388</v>
      </c>
      <c r="J663"/>
      <c r="K663" s="13"/>
      <c r="L663" s="13"/>
      <c r="M663" s="9"/>
    </row>
    <row r="664" spans="1:13" s="3" customFormat="1" ht="12.2" customHeight="1" x14ac:dyDescent="0.15">
      <c r="A664" s="142" t="s">
        <v>129</v>
      </c>
      <c r="B664" s="124"/>
      <c r="C664" s="124"/>
      <c r="D664" s="124"/>
      <c r="E664" s="124"/>
      <c r="F664" s="143">
        <f>SUM(F576:F588)+SUM(H603:H605)+SUM(L612)</f>
        <v>200711.61</v>
      </c>
      <c r="G664" s="143">
        <f>SUM(G576:G588)+SUM(I603:I605)+L613</f>
        <v>0</v>
      </c>
      <c r="H664" s="143">
        <f>SUM(H576:H588)+SUM(J603:J605)+L614</f>
        <v>63752.1</v>
      </c>
      <c r="I664" s="13">
        <f>SUM(F664:H664)</f>
        <v>264463.70999999996</v>
      </c>
      <c r="J664" s="13"/>
      <c r="K664" s="13"/>
      <c r="L664" s="13"/>
      <c r="M664" s="9"/>
    </row>
    <row r="665" spans="1:13" s="3" customFormat="1" ht="12.2" customHeight="1" x14ac:dyDescent="0.15">
      <c r="A665" s="1" t="s">
        <v>130</v>
      </c>
      <c r="F665" s="13">
        <f>F661-SUM(F662:F664)</f>
        <v>12466.690000000002</v>
      </c>
      <c r="G665" s="13">
        <f>G661-SUM(G662:G664)</f>
        <v>0</v>
      </c>
      <c r="H665" s="13">
        <f>H661-SUM(H662:H664)</f>
        <v>4155.5599999999977</v>
      </c>
      <c r="I665" s="13">
        <f>I661-SUM(I662:I664)</f>
        <v>16622.25</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-12466.690000000002</v>
      </c>
      <c r="G670" s="73" t="str">
        <f t="shared" si="51"/>
        <v/>
      </c>
      <c r="H670" s="73">
        <f t="shared" si="51"/>
        <v>-4155.5599999999977</v>
      </c>
      <c r="I670" s="13">
        <f>SUM(F670:H670)</f>
        <v>-16622.25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1" sqref="C21"/>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Windsor</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A28" sqref="A2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Windsor</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Windsor</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264463.70999999996</v>
      </c>
      <c r="D5" s="19">
        <f>SUM('DOE25'!L198:L201)+SUM('DOE25'!L216:L219)+SUM('DOE25'!L234:L237)-F5-G5-H5</f>
        <v>264463.70999999996</v>
      </c>
      <c r="E5" s="180"/>
      <c r="F5" s="181"/>
      <c r="G5" s="19">
        <f>SUM('DOE25'!J198:J201)+SUM('DOE25'!J216:J219)+SUM('DOE25'!J234:J237)</f>
        <v>0</v>
      </c>
      <c r="H5" s="19">
        <f>SUM('DOE25'!K198:K201)+SUM('DOE25'!K216:K219)+SUM('DOE25'!K234:K237)</f>
        <v>0</v>
      </c>
      <c r="I5" s="192"/>
    </row>
    <row r="6" spans="1:9" x14ac:dyDescent="0.2">
      <c r="A6" s="31">
        <v>2100</v>
      </c>
      <c r="B6" t="s">
        <v>796</v>
      </c>
      <c r="C6" s="206">
        <f t="shared" si="0"/>
        <v>0</v>
      </c>
      <c r="D6" s="19">
        <f>'DOE25'!L203+'DOE25'!L221+'DOE25'!L239-F6-G6-H6</f>
        <v>0</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16622.25</v>
      </c>
      <c r="D8" s="180"/>
      <c r="E8" s="19">
        <f>'DOE25'!L205+'DOE25'!L223+'DOE25'!L241-F8-G8-H8-D9-D11</f>
        <v>16622.25</v>
      </c>
      <c r="F8" s="181"/>
      <c r="G8" s="19">
        <f>'DOE25'!J205+'DOE25'!J223+'DOE25'!J241</f>
        <v>0</v>
      </c>
      <c r="H8" s="19">
        <f>'DOE25'!K205+'DOE25'!K223+'DOE25'!K241</f>
        <v>0</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9388</v>
      </c>
      <c r="D15" s="19">
        <f>'DOE25'!L209+'DOE25'!L227+'DOE25'!L245-F15-G15-H15</f>
        <v>9388</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0</v>
      </c>
      <c r="D31" s="19">
        <f>'DOE25'!L291+'DOE25'!L310+'DOE25'!L329+'DOE25'!L334+'DOE25'!L335+'DOE25'!L336-F31-G31-H31</f>
        <v>0</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273851.70999999996</v>
      </c>
      <c r="E33" s="182">
        <f t="shared" si="1"/>
        <v>16622.25</v>
      </c>
      <c r="F33" s="182">
        <f t="shared" si="1"/>
        <v>0</v>
      </c>
      <c r="G33" s="182">
        <f t="shared" si="1"/>
        <v>0</v>
      </c>
      <c r="H33" s="182">
        <f t="shared" si="1"/>
        <v>0</v>
      </c>
      <c r="I33" s="182">
        <f t="shared" si="1"/>
        <v>0</v>
      </c>
    </row>
    <row r="34" spans="1:9" ht="12" thickBot="1" x14ac:dyDescent="0.25"/>
    <row r="35" spans="1:9" ht="12" thickBot="1" x14ac:dyDescent="0.25">
      <c r="B35" s="188" t="s">
        <v>830</v>
      </c>
      <c r="D35" s="189">
        <f>E33</f>
        <v>16622.25</v>
      </c>
      <c r="E35" s="185"/>
      <c r="F35" s="295" t="s">
        <v>1608</v>
      </c>
      <c r="G35" s="296"/>
      <c r="H35" s="296"/>
      <c r="I35" s="297"/>
    </row>
    <row r="36" spans="1:9" ht="12" thickTop="1" x14ac:dyDescent="0.2">
      <c r="B36" t="s">
        <v>810</v>
      </c>
      <c r="D36" s="19">
        <f>D33</f>
        <v>273851.70999999996</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U725"/>
  <sheetViews>
    <sheetView zoomScale="80" zoomScaleNormal="80" workbookViewId="0">
      <selection activeCell="A6" sqref="A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Windsor</v>
      </c>
      <c r="B2">
        <f>'DOE25'!B2</f>
        <v>579</v>
      </c>
      <c r="J2" s="224" t="s">
        <v>1808</v>
      </c>
      <c r="K2" s="309">
        <f>SUM('DOE25'!L198:L201)+SUM('DOE25'!L216:L219)+SUM('DOE25'!L234:L237)+SUM('DOE25'!L277:L280)+SUM('DOE25'!L296:L299)+SUM('DOE25'!L315:L318)</f>
        <v>264463.70999999996</v>
      </c>
      <c r="L2" s="309">
        <f>'DOE25'!L203+'DOE25'!L221+'DOE25'!L239+'DOE25'!L282+'DOE25'!L301+'DOE25'!L320</f>
        <v>0</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-264463.70999999996</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220219.3</v>
      </c>
      <c r="G4" s="229">
        <f>'DOE25'!L212+'DOE25'!L291</f>
        <v>220219.3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+'DOE25'!H212</f>
        <v>220219.3</v>
      </c>
      <c r="E5" s="220"/>
      <c r="F5" s="232">
        <f>D5+E5</f>
        <v>220219.3</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220219.3</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+'DOE25'!H230</f>
        <v>0</v>
      </c>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70254.66</v>
      </c>
      <c r="G36" s="229">
        <f>'DOE25'!L248+'DOE25'!L329</f>
        <v>70254.66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+'DOE25'!H248</f>
        <v>70254.66</v>
      </c>
      <c r="E37" s="220"/>
      <c r="F37" s="232">
        <f t="shared" ref="F37:F42" si="7">D37+E37</f>
        <v>70254.66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70254.66</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topLeftCell="A106" zoomScaleNormal="80" workbookViewId="0">
      <selection activeCell="F140" sqref="F14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Windsor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15182.37</v>
      </c>
      <c r="D8" s="73">
        <f>'DOE25'!G9</f>
        <v>0</v>
      </c>
      <c r="E8" s="73">
        <f>'DOE25'!H9</f>
        <v>0</v>
      </c>
      <c r="F8" s="73">
        <f>'DOE25'!I9</f>
        <v>0</v>
      </c>
      <c r="G8" s="73">
        <f>'DOE25'!J9</f>
        <v>81092</v>
      </c>
      <c r="H8" s="90">
        <f>SUM(C8:G8)</f>
        <v>96274.37</v>
      </c>
      <c r="I8" s="90"/>
    </row>
    <row r="9" spans="1:9" x14ac:dyDescent="0.2">
      <c r="A9" s="1" t="s">
        <v>140</v>
      </c>
      <c r="B9" s="6">
        <v>110</v>
      </c>
      <c r="C9" s="73">
        <f>'DOE25'!F10</f>
        <v>0</v>
      </c>
      <c r="D9" s="73">
        <f>'DOE25'!G10</f>
        <v>0</v>
      </c>
      <c r="E9" s="73">
        <f>'DOE25'!H10</f>
        <v>0</v>
      </c>
      <c r="F9" s="73">
        <f>'DOE25'!I10</f>
        <v>0</v>
      </c>
      <c r="G9" s="73">
        <f>'DOE25'!J10</f>
        <v>0</v>
      </c>
      <c r="H9" s="90">
        <f t="shared" ref="H9:H18" si="0">SUM(C9:G9)</f>
        <v>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0</v>
      </c>
      <c r="D11" s="73">
        <f>'DOE25'!G12</f>
        <v>0</v>
      </c>
      <c r="E11" s="73">
        <f>'DOE25'!H12</f>
        <v>0</v>
      </c>
      <c r="F11" s="73">
        <f>'DOE25'!I12</f>
        <v>0</v>
      </c>
      <c r="G11" s="73">
        <f>'DOE25'!J12</f>
        <v>0</v>
      </c>
      <c r="H11" s="90">
        <f t="shared" si="0"/>
        <v>0</v>
      </c>
      <c r="I11" s="90"/>
    </row>
    <row r="12" spans="1:9" x14ac:dyDescent="0.2">
      <c r="A12" s="1" t="s">
        <v>143</v>
      </c>
      <c r="B12" s="6">
        <v>140</v>
      </c>
      <c r="C12" s="73">
        <f>'DOE25'!F13</f>
        <v>0</v>
      </c>
      <c r="D12" s="73">
        <f>'DOE25'!G13</f>
        <v>0</v>
      </c>
      <c r="E12" s="73">
        <f>'DOE25'!H13</f>
        <v>0</v>
      </c>
      <c r="F12" s="73">
        <f>'DOE25'!I13</f>
        <v>0</v>
      </c>
      <c r="G12" s="73">
        <f>'DOE25'!J13</f>
        <v>0</v>
      </c>
      <c r="H12" s="90">
        <f t="shared" si="0"/>
        <v>0</v>
      </c>
      <c r="I12" s="90"/>
    </row>
    <row r="13" spans="1:9" x14ac:dyDescent="0.2">
      <c r="A13" s="1" t="s">
        <v>144</v>
      </c>
      <c r="B13" s="6">
        <v>150</v>
      </c>
      <c r="C13" s="73">
        <f>'DOE25'!F14</f>
        <v>0</v>
      </c>
      <c r="D13" s="73">
        <f>'DOE25'!G14</f>
        <v>0</v>
      </c>
      <c r="E13" s="73">
        <f>'DOE25'!H14</f>
        <v>0</v>
      </c>
      <c r="F13" s="73">
        <f>'DOE25'!I14</f>
        <v>0</v>
      </c>
      <c r="G13" s="73">
        <f>'DOE25'!J14</f>
        <v>0</v>
      </c>
      <c r="H13" s="90">
        <f t="shared" si="0"/>
        <v>0</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0</v>
      </c>
      <c r="D16" s="73">
        <f>'DOE25'!G17</f>
        <v>0</v>
      </c>
      <c r="E16" s="73">
        <f>'DOE25'!H17</f>
        <v>0</v>
      </c>
      <c r="F16" s="73">
        <f>'DOE25'!I17</f>
        <v>0</v>
      </c>
      <c r="G16" s="73">
        <f>'DOE25'!J17</f>
        <v>0</v>
      </c>
      <c r="H16" s="90">
        <f t="shared" si="0"/>
        <v>0</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15182.37</v>
      </c>
      <c r="D18" s="38">
        <f>SUM(D8:D17)</f>
        <v>0</v>
      </c>
      <c r="E18" s="38">
        <f>SUM(E8:E17)</f>
        <v>0</v>
      </c>
      <c r="F18" s="38">
        <f>SUM(F8:F17)</f>
        <v>0</v>
      </c>
      <c r="G18" s="38">
        <f>SUM(G8:G17)</f>
        <v>81092</v>
      </c>
      <c r="H18" s="38">
        <f t="shared" si="0"/>
        <v>96274.37</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90">
        <f t="shared" ref="H21:H31" si="1">SUM(C21:G21)</f>
        <v>0</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0</v>
      </c>
      <c r="D23" s="73">
        <f>'DOE25'!G24</f>
        <v>0</v>
      </c>
      <c r="E23" s="73">
        <f>'DOE25'!H24</f>
        <v>0</v>
      </c>
      <c r="F23" s="73">
        <f>'DOE25'!I24</f>
        <v>0</v>
      </c>
      <c r="G23" s="73">
        <f>'DOE25'!J24</f>
        <v>0</v>
      </c>
      <c r="H23" s="90">
        <f t="shared" si="1"/>
        <v>0</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0</v>
      </c>
      <c r="E29" s="73">
        <f>'DOE25'!H30</f>
        <v>0</v>
      </c>
      <c r="F29" s="73">
        <f>'DOE25'!I30</f>
        <v>0</v>
      </c>
      <c r="G29" s="23" t="s">
        <v>288</v>
      </c>
      <c r="H29" s="90">
        <f t="shared" si="1"/>
        <v>0</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0</v>
      </c>
      <c r="D31" s="38">
        <f>SUM(D21:D30)</f>
        <v>0</v>
      </c>
      <c r="E31" s="38">
        <f>SUM(E21:E30)</f>
        <v>0</v>
      </c>
      <c r="F31" s="38">
        <f>SUM(F21:F30)</f>
        <v>0</v>
      </c>
      <c r="G31" s="38">
        <f>SUM(G21:G30)</f>
        <v>0</v>
      </c>
      <c r="H31" s="38">
        <f t="shared" si="1"/>
        <v>0</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90">
        <f t="shared" ref="H34:H51" si="2">SUM(C34:G34)</f>
        <v>0</v>
      </c>
      <c r="I34" s="90"/>
    </row>
    <row r="35" spans="1:9" x14ac:dyDescent="0.2">
      <c r="A35" s="1" t="s">
        <v>849</v>
      </c>
      <c r="B35" s="6">
        <v>752</v>
      </c>
      <c r="C35" s="73">
        <f>'DOE25'!F36</f>
        <v>0</v>
      </c>
      <c r="D35" s="73">
        <f>'DOE25'!G36</f>
        <v>0</v>
      </c>
      <c r="E35" s="73">
        <f>'DOE25'!H36</f>
        <v>0</v>
      </c>
      <c r="F35" s="73">
        <f>'DOE25'!I36</f>
        <v>0</v>
      </c>
      <c r="G35" s="23" t="s">
        <v>288</v>
      </c>
      <c r="H35" s="90">
        <f t="shared" si="2"/>
        <v>0</v>
      </c>
      <c r="I35" s="90"/>
    </row>
    <row r="36" spans="1:9" x14ac:dyDescent="0.2">
      <c r="A36" s="1" t="s">
        <v>855</v>
      </c>
      <c r="B36" s="6">
        <v>756</v>
      </c>
      <c r="C36" s="73">
        <f>'DOE25'!F37</f>
        <v>0</v>
      </c>
      <c r="D36" s="73">
        <f>'DOE25'!G37</f>
        <v>0</v>
      </c>
      <c r="E36" s="73">
        <f>'DOE25'!H37</f>
        <v>0</v>
      </c>
      <c r="F36" s="73">
        <f>'DOE25'!I37</f>
        <v>0</v>
      </c>
      <c r="G36" s="73">
        <f>'DOE25'!J37</f>
        <v>0</v>
      </c>
      <c r="H36" s="90">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90">
        <f t="shared" si="2"/>
        <v>0</v>
      </c>
      <c r="I38" s="90"/>
    </row>
    <row r="39" spans="1:9" x14ac:dyDescent="0.2">
      <c r="A39" s="1" t="s">
        <v>860</v>
      </c>
      <c r="B39" s="6"/>
      <c r="C39" s="23" t="s">
        <v>288</v>
      </c>
      <c r="D39" s="73">
        <f>'DOE25'!G40</f>
        <v>0</v>
      </c>
      <c r="E39" s="23" t="s">
        <v>288</v>
      </c>
      <c r="F39" s="23" t="s">
        <v>288</v>
      </c>
      <c r="G39" s="23" t="s">
        <v>288</v>
      </c>
      <c r="H39" s="90">
        <f t="shared" si="2"/>
        <v>0</v>
      </c>
      <c r="I39" s="90"/>
    </row>
    <row r="40" spans="1:9" x14ac:dyDescent="0.2">
      <c r="A40" s="1" t="s">
        <v>870</v>
      </c>
      <c r="B40" s="6"/>
      <c r="C40" s="23" t="s">
        <v>288</v>
      </c>
      <c r="D40" s="23" t="s">
        <v>288</v>
      </c>
      <c r="E40" s="23" t="s">
        <v>288</v>
      </c>
      <c r="F40" s="73">
        <f>'DOE25'!I41</f>
        <v>0</v>
      </c>
      <c r="G40" s="23" t="s">
        <v>288</v>
      </c>
      <c r="H40" s="90">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90">
        <f t="shared" si="2"/>
        <v>0</v>
      </c>
      <c r="I42" s="90"/>
    </row>
    <row r="43" spans="1:9" x14ac:dyDescent="0.2">
      <c r="A43" s="1" t="s">
        <v>862</v>
      </c>
      <c r="B43" s="6">
        <v>755</v>
      </c>
      <c r="C43" s="73">
        <f>'DOE25'!F44</f>
        <v>15182.37</v>
      </c>
      <c r="D43" s="73">
        <f>'DOE25'!G44</f>
        <v>0</v>
      </c>
      <c r="E43" s="73">
        <f>'DOE25'!H44</f>
        <v>0</v>
      </c>
      <c r="F43" s="73">
        <f>'DOE25'!I44</f>
        <v>0</v>
      </c>
      <c r="G43" s="23" t="s">
        <v>288</v>
      </c>
      <c r="H43" s="90">
        <f t="shared" si="2"/>
        <v>15182.37</v>
      </c>
      <c r="I43" s="90"/>
    </row>
    <row r="44" spans="1:9" x14ac:dyDescent="0.2">
      <c r="A44" s="1" t="s">
        <v>863</v>
      </c>
      <c r="B44" s="6">
        <v>753</v>
      </c>
      <c r="C44" s="73">
        <f>'DOE25'!F45</f>
        <v>0</v>
      </c>
      <c r="D44" s="73">
        <f>'DOE25'!G45</f>
        <v>0</v>
      </c>
      <c r="E44" s="73">
        <f>'DOE25'!H45</f>
        <v>0</v>
      </c>
      <c r="F44" s="73">
        <f>'DOE25'!I45</f>
        <v>0</v>
      </c>
      <c r="G44" s="73">
        <f>'DOE25'!J45</f>
        <v>0</v>
      </c>
      <c r="H44" s="90">
        <f t="shared" si="2"/>
        <v>0</v>
      </c>
      <c r="I44" s="90"/>
    </row>
    <row r="45" spans="1:9" x14ac:dyDescent="0.2">
      <c r="A45" s="1" t="s">
        <v>879</v>
      </c>
      <c r="B45" s="6"/>
      <c r="C45" s="73">
        <f>'DOE25'!F46</f>
        <v>0</v>
      </c>
      <c r="D45" s="23" t="s">
        <v>288</v>
      </c>
      <c r="E45" s="23" t="s">
        <v>288</v>
      </c>
      <c r="F45" s="23" t="s">
        <v>288</v>
      </c>
      <c r="G45" s="23" t="s">
        <v>288</v>
      </c>
      <c r="H45" s="90">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81092</v>
      </c>
      <c r="H47" s="90">
        <f t="shared" si="2"/>
        <v>81092</v>
      </c>
      <c r="I47" s="90"/>
    </row>
    <row r="48" spans="1:9" x14ac:dyDescent="0.2">
      <c r="A48" s="1" t="s">
        <v>881</v>
      </c>
      <c r="B48" s="6">
        <v>753</v>
      </c>
      <c r="C48" s="73">
        <f>'DOE25'!F49</f>
        <v>0</v>
      </c>
      <c r="D48" s="73">
        <f>'DOE25'!G49</f>
        <v>0</v>
      </c>
      <c r="E48" s="73">
        <f>'DOE25'!H49</f>
        <v>0</v>
      </c>
      <c r="F48" s="73">
        <f>'DOE25'!I49</f>
        <v>0</v>
      </c>
      <c r="G48" s="73">
        <f>'DOE25'!J49</f>
        <v>0</v>
      </c>
      <c r="H48" s="90">
        <f t="shared" si="2"/>
        <v>0</v>
      </c>
      <c r="I48" s="90"/>
    </row>
    <row r="49" spans="1:9" ht="12" thickBot="1" x14ac:dyDescent="0.25">
      <c r="A49" s="28" t="s">
        <v>882</v>
      </c>
      <c r="B49" s="56">
        <v>770</v>
      </c>
      <c r="C49" s="73">
        <f>'DOE25'!F50</f>
        <v>0</v>
      </c>
      <c r="D49" s="23" t="s">
        <v>288</v>
      </c>
      <c r="E49" s="23" t="s">
        <v>288</v>
      </c>
      <c r="F49" s="23" t="s">
        <v>288</v>
      </c>
      <c r="G49" s="23" t="s">
        <v>288</v>
      </c>
      <c r="H49" s="90">
        <f t="shared" si="2"/>
        <v>0</v>
      </c>
      <c r="I49" s="90"/>
    </row>
    <row r="50" spans="1:9" ht="12.75" thickTop="1" thickBot="1" x14ac:dyDescent="0.25">
      <c r="A50" s="35" t="s">
        <v>883</v>
      </c>
      <c r="B50" s="44"/>
      <c r="C50" s="38">
        <f>SUM(C34:C49)</f>
        <v>15182.37</v>
      </c>
      <c r="D50" s="38">
        <f>SUM(D34:D49)</f>
        <v>0</v>
      </c>
      <c r="E50" s="38">
        <f>SUM(E34:E49)</f>
        <v>0</v>
      </c>
      <c r="F50" s="38">
        <f>SUM(F34:F49)</f>
        <v>0</v>
      </c>
      <c r="G50" s="38">
        <f>SUM(G34:G49)</f>
        <v>81092</v>
      </c>
      <c r="H50" s="38">
        <f t="shared" si="2"/>
        <v>96274.37</v>
      </c>
      <c r="I50" s="90"/>
    </row>
    <row r="51" spans="1:9" ht="12" thickTop="1" x14ac:dyDescent="0.2">
      <c r="A51" s="35" t="s">
        <v>884</v>
      </c>
      <c r="B51" s="2"/>
      <c r="C51" s="38">
        <f>C50+C31</f>
        <v>15182.37</v>
      </c>
      <c r="D51" s="38">
        <f>D50+D31</f>
        <v>0</v>
      </c>
      <c r="E51" s="38">
        <f>E50+E31</f>
        <v>0</v>
      </c>
      <c r="F51" s="38">
        <f>F50+F31</f>
        <v>0</v>
      </c>
      <c r="G51" s="38">
        <f>G50+G31</f>
        <v>81092</v>
      </c>
      <c r="H51" s="38">
        <f t="shared" si="2"/>
        <v>96274.37</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-68985</v>
      </c>
      <c r="D56" s="73">
        <f>'DOE25'!G60</f>
        <v>0</v>
      </c>
      <c r="E56" s="73">
        <f>'DOE25'!H60</f>
        <v>0</v>
      </c>
      <c r="F56" s="73">
        <f>'DOE25'!I60</f>
        <v>0</v>
      </c>
      <c r="G56" s="73">
        <f>'DOE25'!J60</f>
        <v>0</v>
      </c>
      <c r="H56" s="90">
        <f t="shared" ref="H56:H63" si="3">SUM(C56:G56)</f>
        <v>-68985</v>
      </c>
      <c r="I56"/>
    </row>
    <row r="57" spans="1:9" x14ac:dyDescent="0.2">
      <c r="A57" s="1" t="s">
        <v>164</v>
      </c>
      <c r="B57" s="6" t="s">
        <v>165</v>
      </c>
      <c r="C57" s="73">
        <f>'DOE25'!F79</f>
        <v>0</v>
      </c>
      <c r="D57" s="23" t="s">
        <v>288</v>
      </c>
      <c r="E57" s="73">
        <f>'DOE25'!H79</f>
        <v>0</v>
      </c>
      <c r="F57" s="23" t="s">
        <v>288</v>
      </c>
      <c r="G57" s="23" t="s">
        <v>288</v>
      </c>
      <c r="H57" s="90">
        <f t="shared" si="3"/>
        <v>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15.97</v>
      </c>
      <c r="D59" s="73">
        <f>'DOE25'!G96</f>
        <v>0</v>
      </c>
      <c r="E59" s="73">
        <f>'DOE25'!H96</f>
        <v>0</v>
      </c>
      <c r="F59" s="73">
        <f>'DOE25'!I96</f>
        <v>0</v>
      </c>
      <c r="G59" s="73">
        <f>'DOE25'!J96</f>
        <v>0</v>
      </c>
      <c r="H59" s="90">
        <f t="shared" si="3"/>
        <v>15.97</v>
      </c>
      <c r="I59"/>
    </row>
    <row r="60" spans="1:9" x14ac:dyDescent="0.2">
      <c r="A60" s="1" t="s">
        <v>170</v>
      </c>
      <c r="B60" s="22" t="s">
        <v>171</v>
      </c>
      <c r="C60" s="23" t="s">
        <v>288</v>
      </c>
      <c r="D60" s="73">
        <f>'DOE25'!G97</f>
        <v>0</v>
      </c>
      <c r="E60" s="23" t="s">
        <v>288</v>
      </c>
      <c r="F60" s="23" t="s">
        <v>288</v>
      </c>
      <c r="G60" s="23" t="s">
        <v>288</v>
      </c>
      <c r="H60" s="90">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90">
        <f t="shared" si="3"/>
        <v>0</v>
      </c>
      <c r="I61"/>
    </row>
    <row r="62" spans="1:9" ht="12.75" thickTop="1" thickBot="1" x14ac:dyDescent="0.25">
      <c r="A62" s="28" t="s">
        <v>174</v>
      </c>
      <c r="B62" s="6"/>
      <c r="C62" s="93">
        <f>SUM(C57:C61)</f>
        <v>15.97</v>
      </c>
      <c r="D62" s="93">
        <f>SUM(D57:D61)</f>
        <v>0</v>
      </c>
      <c r="E62" s="93">
        <f>SUM(E57:E61)</f>
        <v>0</v>
      </c>
      <c r="F62" s="93">
        <f>SUM(F57:F61)</f>
        <v>0</v>
      </c>
      <c r="G62" s="93">
        <f>SUM(G57:G61)</f>
        <v>0</v>
      </c>
      <c r="H62" s="90">
        <f t="shared" si="3"/>
        <v>15.97</v>
      </c>
      <c r="I62"/>
    </row>
    <row r="63" spans="1:9" ht="12" thickTop="1" x14ac:dyDescent="0.2">
      <c r="A63" s="28" t="s">
        <v>175</v>
      </c>
      <c r="B63" s="6"/>
      <c r="C63" s="21">
        <f>C56+C62</f>
        <v>-68969.03</v>
      </c>
      <c r="D63" s="21">
        <f>D56+D62</f>
        <v>0</v>
      </c>
      <c r="E63" s="21">
        <f>E56+E62</f>
        <v>0</v>
      </c>
      <c r="F63" s="21">
        <f>F56+F62</f>
        <v>0</v>
      </c>
      <c r="G63" s="21">
        <f>G56+G62</f>
        <v>0</v>
      </c>
      <c r="H63" s="90">
        <f t="shared" si="3"/>
        <v>-68969.03</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78878</v>
      </c>
      <c r="D66" s="23" t="s">
        <v>288</v>
      </c>
      <c r="E66" s="23" t="s">
        <v>288</v>
      </c>
      <c r="F66" s="23" t="s">
        <v>288</v>
      </c>
      <c r="G66" s="23" t="s">
        <v>288</v>
      </c>
      <c r="H66" s="90">
        <f t="shared" ref="H66:H81" si="4">SUM(C66:G66)</f>
        <v>78878</v>
      </c>
      <c r="I66"/>
    </row>
    <row r="67" spans="1:9" x14ac:dyDescent="0.2">
      <c r="A67" s="1" t="s">
        <v>770</v>
      </c>
      <c r="B67" s="6">
        <v>3112</v>
      </c>
      <c r="C67" s="73">
        <f>'DOE25'!F118</f>
        <v>34923</v>
      </c>
      <c r="D67" s="23"/>
      <c r="E67" s="23"/>
      <c r="F67" s="23"/>
      <c r="G67" s="23"/>
      <c r="H67" s="90">
        <f t="shared" si="4"/>
        <v>34923</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90">
        <f t="shared" si="4"/>
        <v>0</v>
      </c>
      <c r="I69"/>
    </row>
    <row r="70" spans="1:9" ht="12" thickTop="1" x14ac:dyDescent="0.2">
      <c r="A70" s="28" t="s">
        <v>252</v>
      </c>
      <c r="B70" s="2"/>
      <c r="C70" s="97">
        <f>SUM(C66:C69)</f>
        <v>113801</v>
      </c>
      <c r="D70" s="97">
        <f>D69</f>
        <v>0</v>
      </c>
      <c r="E70" s="97">
        <f>E69</f>
        <v>0</v>
      </c>
      <c r="F70" s="97">
        <f>F69</f>
        <v>0</v>
      </c>
      <c r="G70" s="97">
        <f>G69</f>
        <v>0</v>
      </c>
      <c r="H70" s="90">
        <f t="shared" si="4"/>
        <v>113801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0</v>
      </c>
      <c r="D75" s="23" t="s">
        <v>288</v>
      </c>
      <c r="E75" s="23" t="s">
        <v>288</v>
      </c>
      <c r="F75" s="23" t="s">
        <v>288</v>
      </c>
      <c r="G75" s="23" t="s">
        <v>288</v>
      </c>
      <c r="H75" s="90">
        <f t="shared" si="4"/>
        <v>0</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90">
        <f t="shared" si="4"/>
        <v>0</v>
      </c>
      <c r="I77"/>
    </row>
    <row r="78" spans="1:9" ht="12.75" thickTop="1" thickBot="1" x14ac:dyDescent="0.25">
      <c r="A78" s="28" t="s">
        <v>259</v>
      </c>
      <c r="B78" s="6"/>
      <c r="C78" s="93">
        <f>SUM(C72:C77)</f>
        <v>0</v>
      </c>
      <c r="D78" s="93">
        <f>SUM(D72:D77)</f>
        <v>0</v>
      </c>
      <c r="E78" s="93">
        <f>SUM(E72:E77)</f>
        <v>0</v>
      </c>
      <c r="F78" s="93">
        <f>SUM(F72:F77)</f>
        <v>0</v>
      </c>
      <c r="G78" s="93">
        <f>SUM(G72:G77)</f>
        <v>0</v>
      </c>
      <c r="H78" s="90">
        <f t="shared" si="4"/>
        <v>0</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885</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113801</v>
      </c>
      <c r="D81" s="93">
        <f>SUM(D79:D80)+D78+D70</f>
        <v>0</v>
      </c>
      <c r="E81" s="93">
        <f>SUM(E79:E80)+E78+E70</f>
        <v>0</v>
      </c>
      <c r="F81" s="93">
        <f>SUM(F79:F80)+F78+F70</f>
        <v>0</v>
      </c>
      <c r="G81" s="93">
        <f>SUM(G79:G80)+G78+G70</f>
        <v>0</v>
      </c>
      <c r="H81" s="93">
        <f t="shared" si="4"/>
        <v>113801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90">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0</v>
      </c>
      <c r="D88" s="253">
        <f>SUM('DOE25'!G153:G162)</f>
        <v>0</v>
      </c>
      <c r="E88" s="253">
        <f>SUM('DOE25'!H153:H162)</f>
        <v>0</v>
      </c>
      <c r="F88" s="253">
        <f>SUM('DOE25'!I153:I162)</f>
        <v>0</v>
      </c>
      <c r="G88" s="23" t="s">
        <v>288</v>
      </c>
      <c r="H88" s="90">
        <f t="shared" si="5"/>
        <v>0</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0</v>
      </c>
      <c r="D91" s="94">
        <f>SUM(D85:D90)</f>
        <v>0</v>
      </c>
      <c r="E91" s="94">
        <f>SUM(E85:E90)</f>
        <v>0</v>
      </c>
      <c r="F91" s="94">
        <f>SUM(F85:F90)</f>
        <v>0</v>
      </c>
      <c r="G91" s="23" t="s">
        <v>288</v>
      </c>
      <c r="H91" s="90">
        <f t="shared" si="5"/>
        <v>0</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30000</v>
      </c>
      <c r="H96" s="90">
        <f t="shared" si="5"/>
        <v>30000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90">
        <f t="shared" si="5"/>
        <v>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0</v>
      </c>
      <c r="D103" s="68">
        <f>SUM(D93:D102)</f>
        <v>0</v>
      </c>
      <c r="E103" s="68">
        <f>SUM(E93:E102)</f>
        <v>0</v>
      </c>
      <c r="F103" s="68">
        <f>SUM(F93:F102)</f>
        <v>0</v>
      </c>
      <c r="G103" s="68">
        <f>SUM(G93:G102)</f>
        <v>30000</v>
      </c>
      <c r="H103" s="68">
        <f t="shared" si="5"/>
        <v>30000</v>
      </c>
    </row>
    <row r="104" spans="1:8" ht="12.75" thickTop="1" thickBot="1" x14ac:dyDescent="0.25">
      <c r="A104" s="32" t="s">
        <v>761</v>
      </c>
      <c r="C104" s="68">
        <f>C63+C81+C91+C103</f>
        <v>44831.97</v>
      </c>
      <c r="D104" s="68">
        <f>D63+D81+D91+D103</f>
        <v>0</v>
      </c>
      <c r="E104" s="68">
        <f>E63+E81+E91+E103</f>
        <v>0</v>
      </c>
      <c r="F104" s="68">
        <f>F63+F81+F91+F103</f>
        <v>0</v>
      </c>
      <c r="G104" s="68">
        <f>G63+G81+G103</f>
        <v>30000</v>
      </c>
      <c r="H104" s="68">
        <f t="shared" si="5"/>
        <v>74831.97</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264463.70999999996</v>
      </c>
      <c r="D109" s="23" t="s">
        <v>288</v>
      </c>
      <c r="E109" s="73">
        <f>('DOE25'!L277)+('DOE25'!L296)+('DOE25'!L315)</f>
        <v>0</v>
      </c>
      <c r="F109" s="23" t="s">
        <v>288</v>
      </c>
      <c r="G109" s="23" t="s">
        <v>288</v>
      </c>
      <c r="H109" s="90">
        <f t="shared" ref="H109:H115" si="6">SUM(C109:G109)</f>
        <v>264463.70999999996</v>
      </c>
    </row>
    <row r="110" spans="1:8" x14ac:dyDescent="0.2">
      <c r="A110" t="s">
        <v>198</v>
      </c>
      <c r="B110" s="31" t="s">
        <v>199</v>
      </c>
      <c r="C110" s="73">
        <f>('DOE25'!L199)+('DOE25'!L217)+('DOE25'!L235)</f>
        <v>0</v>
      </c>
      <c r="D110" s="23" t="s">
        <v>288</v>
      </c>
      <c r="E110" s="73">
        <f>('DOE25'!L278)+('DOE25'!L297)+('DOE25'!L316)</f>
        <v>0</v>
      </c>
      <c r="F110" s="23" t="s">
        <v>288</v>
      </c>
      <c r="G110" s="23" t="s">
        <v>288</v>
      </c>
      <c r="H110" s="90">
        <f t="shared" si="6"/>
        <v>0</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0</v>
      </c>
      <c r="D112" s="23" t="s">
        <v>288</v>
      </c>
      <c r="E112" s="73">
        <f>+('DOE25'!L280)+('DOE25'!L299)+('DOE25'!L318)</f>
        <v>0</v>
      </c>
      <c r="F112" s="23" t="s">
        <v>288</v>
      </c>
      <c r="G112" s="23" t="s">
        <v>288</v>
      </c>
      <c r="H112" s="90">
        <f t="shared" si="6"/>
        <v>0</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264463.70999999996</v>
      </c>
      <c r="D115" s="68">
        <f>SUM(D109:D114)</f>
        <v>0</v>
      </c>
      <c r="E115" s="68">
        <f>SUM(E109:E114)</f>
        <v>0</v>
      </c>
      <c r="F115" s="68">
        <f>SUM(F109:F114)</f>
        <v>0</v>
      </c>
      <c r="G115" s="68">
        <f>SUM(G109:G114)</f>
        <v>0</v>
      </c>
      <c r="H115" s="68">
        <f t="shared" si="6"/>
        <v>264463.70999999996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0</v>
      </c>
      <c r="D118" s="23" t="s">
        <v>288</v>
      </c>
      <c r="E118" s="73">
        <f>+('DOE25'!L282)+('DOE25'!L301)+('DOE25'!L320)</f>
        <v>0</v>
      </c>
      <c r="F118" s="23" t="s">
        <v>288</v>
      </c>
      <c r="G118" s="23" t="s">
        <v>288</v>
      </c>
      <c r="H118" s="90">
        <f t="shared" ref="H118:H145" si="7">SUM(C118:G118)</f>
        <v>0</v>
      </c>
    </row>
    <row r="119" spans="1:8" x14ac:dyDescent="0.2">
      <c r="A119" t="s">
        <v>208</v>
      </c>
      <c r="B119" s="31" t="s">
        <v>209</v>
      </c>
      <c r="C119" s="73">
        <f>('DOE25'!L204)+('DOE25'!L222)+('DOE25'!L240)</f>
        <v>0</v>
      </c>
      <c r="D119" s="23" t="s">
        <v>288</v>
      </c>
      <c r="E119" s="73">
        <f>+('DOE25'!L283)+('DOE25'!L302)+('DOE25'!L321)</f>
        <v>0</v>
      </c>
      <c r="F119" s="23" t="s">
        <v>288</v>
      </c>
      <c r="G119" s="23" t="s">
        <v>288</v>
      </c>
      <c r="H119" s="90">
        <f t="shared" si="7"/>
        <v>0</v>
      </c>
    </row>
    <row r="120" spans="1:8" x14ac:dyDescent="0.2">
      <c r="A120" t="s">
        <v>210</v>
      </c>
      <c r="B120" s="31" t="s">
        <v>211</v>
      </c>
      <c r="C120" s="73">
        <f>('DOE25'!L205)+('DOE25'!L223)+('DOE25'!L241)</f>
        <v>16622.25</v>
      </c>
      <c r="D120" s="23" t="s">
        <v>288</v>
      </c>
      <c r="E120" s="73">
        <f>+('DOE25'!L284)+('DOE25'!L303)+('DOE25'!L322)</f>
        <v>0</v>
      </c>
      <c r="F120" s="23" t="s">
        <v>288</v>
      </c>
      <c r="G120" s="23" t="s">
        <v>288</v>
      </c>
      <c r="H120" s="90">
        <f t="shared" si="7"/>
        <v>16622.25</v>
      </c>
    </row>
    <row r="121" spans="1:8" x14ac:dyDescent="0.2">
      <c r="A121" t="s">
        <v>212</v>
      </c>
      <c r="B121" s="31" t="s">
        <v>213</v>
      </c>
      <c r="C121" s="73">
        <f>('DOE25'!L206)+('DOE25'!L224)+('DOE25'!L242)</f>
        <v>0</v>
      </c>
      <c r="D121" s="23" t="s">
        <v>288</v>
      </c>
      <c r="E121" s="73">
        <f>+('DOE25'!L285)+('DOE25'!L304)+('DOE25'!L323)</f>
        <v>0</v>
      </c>
      <c r="F121" s="23" t="s">
        <v>288</v>
      </c>
      <c r="G121" s="23" t="s">
        <v>288</v>
      </c>
      <c r="H121" s="90">
        <f t="shared" si="7"/>
        <v>0</v>
      </c>
    </row>
    <row r="122" spans="1:8" x14ac:dyDescent="0.2">
      <c r="A122" t="s">
        <v>214</v>
      </c>
      <c r="B122" s="31" t="s">
        <v>215</v>
      </c>
      <c r="C122" s="73">
        <f>('DOE25'!L207)+('DOE25'!L225)+('DOE25'!L243)</f>
        <v>0</v>
      </c>
      <c r="D122" s="23" t="s">
        <v>288</v>
      </c>
      <c r="E122" s="73">
        <f>+('DOE25'!L286)+('DOE25'!L305)+('DOE25'!L324)</f>
        <v>0</v>
      </c>
      <c r="F122" s="23" t="s">
        <v>288</v>
      </c>
      <c r="G122" s="23" t="s">
        <v>288</v>
      </c>
      <c r="H122" s="90">
        <f t="shared" si="7"/>
        <v>0</v>
      </c>
    </row>
    <row r="123" spans="1:8" x14ac:dyDescent="0.2">
      <c r="A123" t="s">
        <v>216</v>
      </c>
      <c r="B123" s="31" t="s">
        <v>217</v>
      </c>
      <c r="C123" s="73">
        <f>('DOE25'!L208)+('DOE25'!L226)+('DOE25'!L244)</f>
        <v>0</v>
      </c>
      <c r="D123" s="23" t="s">
        <v>288</v>
      </c>
      <c r="E123" s="73">
        <f>+('DOE25'!L287)+('DOE25'!L306)+('DOE25'!L325)</f>
        <v>0</v>
      </c>
      <c r="F123" s="23" t="s">
        <v>288</v>
      </c>
      <c r="G123" s="23" t="s">
        <v>288</v>
      </c>
      <c r="H123" s="90">
        <f t="shared" si="7"/>
        <v>0</v>
      </c>
    </row>
    <row r="124" spans="1:8" x14ac:dyDescent="0.2">
      <c r="A124" t="s">
        <v>218</v>
      </c>
      <c r="B124" s="31" t="s">
        <v>219</v>
      </c>
      <c r="C124" s="73">
        <f>('DOE25'!L209)+('DOE25'!L227)+('DOE25'!L245+'DOE25'!L255)</f>
        <v>9388</v>
      </c>
      <c r="D124" s="23" t="s">
        <v>288</v>
      </c>
      <c r="E124" s="73">
        <f>+('DOE25'!L288)+('DOE25'!L307)+('DOE25'!L326)</f>
        <v>0</v>
      </c>
      <c r="F124" s="23" t="s">
        <v>288</v>
      </c>
      <c r="G124" s="23" t="s">
        <v>288</v>
      </c>
      <c r="H124" s="90">
        <f t="shared" si="7"/>
        <v>9388</v>
      </c>
    </row>
    <row r="125" spans="1:8" x14ac:dyDescent="0.2">
      <c r="A125" t="s">
        <v>220</v>
      </c>
      <c r="B125" s="31" t="s">
        <v>221</v>
      </c>
      <c r="C125" s="73">
        <f>('DOE25'!L210)+('DOE25'!L228)+('DOE25'!L246)</f>
        <v>0</v>
      </c>
      <c r="D125" s="23" t="s">
        <v>288</v>
      </c>
      <c r="E125" s="73">
        <f>+('DOE25'!L289)+('DOE25'!L308)+('DOE25'!L327)</f>
        <v>0</v>
      </c>
      <c r="F125" s="23" t="s">
        <v>288</v>
      </c>
      <c r="G125" s="23" t="s">
        <v>288</v>
      </c>
      <c r="H125" s="90">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90">
        <f t="shared" si="7"/>
        <v>0</v>
      </c>
    </row>
    <row r="128" spans="1:8" ht="12.75" thickTop="1" thickBot="1" x14ac:dyDescent="0.25">
      <c r="A128" s="32" t="s">
        <v>226</v>
      </c>
      <c r="C128" s="68">
        <f>SUM(C118:C127)</f>
        <v>26010.25</v>
      </c>
      <c r="D128" s="68">
        <f>SUM(D118:D127)</f>
        <v>0</v>
      </c>
      <c r="E128" s="68">
        <f>SUM(E118:E127)</f>
        <v>0</v>
      </c>
      <c r="F128" s="68">
        <f>SUM(F118:F127)</f>
        <v>0</v>
      </c>
      <c r="G128" s="68">
        <f>SUM(G118:G127)</f>
        <v>0</v>
      </c>
      <c r="H128" s="68">
        <f t="shared" si="7"/>
        <v>26010.25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0</v>
      </c>
      <c r="D131" s="23" t="s">
        <v>288</v>
      </c>
      <c r="E131" s="92">
        <f>'DOE25'!L342</f>
        <v>0</v>
      </c>
      <c r="F131" s="23" t="s">
        <v>288</v>
      </c>
      <c r="G131" s="23" t="s">
        <v>288</v>
      </c>
      <c r="H131" s="90">
        <f t="shared" si="7"/>
        <v>0</v>
      </c>
    </row>
    <row r="132" spans="1:8" x14ac:dyDescent="0.2">
      <c r="A132" t="s">
        <v>230</v>
      </c>
      <c r="B132" s="31">
        <v>5120</v>
      </c>
      <c r="C132" s="73">
        <f>'DOE25'!L262</f>
        <v>0</v>
      </c>
      <c r="D132" s="23" t="s">
        <v>288</v>
      </c>
      <c r="E132" s="92">
        <f>'DOE25'!L343</f>
        <v>0</v>
      </c>
      <c r="F132" s="23" t="s">
        <v>288</v>
      </c>
      <c r="G132" s="23" t="s">
        <v>288</v>
      </c>
      <c r="H132" s="90">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0</v>
      </c>
      <c r="D138" s="23" t="s">
        <v>288</v>
      </c>
      <c r="E138" s="23" t="s">
        <v>288</v>
      </c>
      <c r="F138" s="23" t="s">
        <v>288</v>
      </c>
      <c r="G138" s="23" t="s">
        <v>288</v>
      </c>
      <c r="H138" s="90">
        <f t="shared" si="7"/>
        <v>0</v>
      </c>
    </row>
    <row r="139" spans="1:8" x14ac:dyDescent="0.2">
      <c r="A139" t="s">
        <v>239</v>
      </c>
      <c r="B139" s="31">
        <v>5252</v>
      </c>
      <c r="C139" s="73">
        <f>'DOE25'!L402</f>
        <v>30000</v>
      </c>
      <c r="D139" s="23" t="s">
        <v>288</v>
      </c>
      <c r="E139" s="23" t="s">
        <v>288</v>
      </c>
      <c r="F139" s="23" t="s">
        <v>288</v>
      </c>
      <c r="G139" s="23" t="s">
        <v>288</v>
      </c>
      <c r="H139" s="90">
        <f t="shared" si="7"/>
        <v>30000</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0</v>
      </c>
      <c r="D141" s="23" t="s">
        <v>288</v>
      </c>
      <c r="E141" s="23" t="s">
        <v>288</v>
      </c>
      <c r="F141" s="23" t="s">
        <v>288</v>
      </c>
      <c r="G141" s="23" t="s">
        <v>288</v>
      </c>
      <c r="H141" s="90">
        <f t="shared" si="7"/>
        <v>0</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30000</v>
      </c>
      <c r="D144" s="98">
        <f>SUM(D130:D143)</f>
        <v>0</v>
      </c>
      <c r="E144" s="98">
        <f>SUM(E130:E143)</f>
        <v>0</v>
      </c>
      <c r="F144" s="98">
        <f>SUM(F130:F143)</f>
        <v>0</v>
      </c>
      <c r="G144" s="98">
        <f>SUM(G130:G143)</f>
        <v>0</v>
      </c>
      <c r="H144" s="98">
        <f t="shared" si="7"/>
        <v>30000</v>
      </c>
    </row>
    <row r="145" spans="1:9" ht="12.75" thickTop="1" thickBot="1" x14ac:dyDescent="0.25">
      <c r="A145" s="32" t="s">
        <v>244</v>
      </c>
      <c r="C145" s="68">
        <f>(C115+C128+C144)</f>
        <v>320473.95999999996</v>
      </c>
      <c r="D145" s="68">
        <f>(D115+D128+D144)</f>
        <v>0</v>
      </c>
      <c r="E145" s="68">
        <f>(E115+E128+E144)</f>
        <v>0</v>
      </c>
      <c r="F145" s="68">
        <f>(F115+F128+F144)</f>
        <v>0</v>
      </c>
      <c r="G145" s="68">
        <f>(G115+G128+G144)</f>
        <v>0</v>
      </c>
      <c r="H145" s="68">
        <f t="shared" si="7"/>
        <v>320473.95999999996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pY9Ko+89n6vxnYC7GTovM6ZxeRnOgX3TkuMWnbYnXtzP3z5ZTV+tlICXFCC2exdGCfQiiHtzfKRBYloHqkgWjA==" saltValue="Pfh0/U6NfMusUQy04FJ2nQ=="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9" zoomScaleNormal="100" workbookViewId="0">
      <selection activeCell="A43" sqref="A4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Windsor</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264464</v>
      </c>
      <c r="D10" s="132">
        <f>ROUND((C10/$C$28)*100,1)</f>
        <v>91</v>
      </c>
    </row>
    <row r="11" spans="1:4" x14ac:dyDescent="0.2">
      <c r="A11">
        <v>1200</v>
      </c>
      <c r="B11" t="s">
        <v>703</v>
      </c>
      <c r="C11" s="129">
        <f>ROUND('DOE25'!L199+'DOE25'!L217+'DOE25'!L235+'DOE25'!L278+'DOE25'!L297+'DOE25'!L316,0)</f>
        <v>0</v>
      </c>
      <c r="D11" s="132">
        <f>ROUND((C11/$C$28)*100,1)</f>
        <v>0</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0</v>
      </c>
      <c r="D15" s="132">
        <f t="shared" ref="D15:D27" si="0">ROUND((C15/$C$28)*100,1)</f>
        <v>0</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16622</v>
      </c>
      <c r="D17" s="132">
        <f t="shared" si="0"/>
        <v>5.7</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9388</v>
      </c>
      <c r="D21" s="132">
        <f t="shared" si="0"/>
        <v>3.2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290474</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290474</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-68985</v>
      </c>
      <c r="D35" s="132">
        <f t="shared" ref="D35:D40" si="1">ROUND((C35/$C$41)*100,1)</f>
        <v>-153.9</v>
      </c>
    </row>
    <row r="36" spans="1:4" x14ac:dyDescent="0.2">
      <c r="B36" s="71" t="s">
        <v>739</v>
      </c>
      <c r="C36" s="129">
        <f>SUM('DOE25'!F112:J112)-SUM('DOE25'!G97:G110)+('DOE25'!F175+'DOE25'!F176+'DOE25'!I175+'DOE25'!I176)-C35</f>
        <v>15.970000000001164</v>
      </c>
      <c r="D36" s="132">
        <f t="shared" si="1"/>
        <v>0</v>
      </c>
    </row>
    <row r="37" spans="1:4" x14ac:dyDescent="0.2">
      <c r="A37" s="133" t="s">
        <v>834</v>
      </c>
      <c r="B37" s="71" t="s">
        <v>728</v>
      </c>
      <c r="C37" s="129">
        <f>ROUND('DOE25'!F117+'DOE25'!F118,0)</f>
        <v>113801</v>
      </c>
      <c r="D37" s="132">
        <f t="shared" si="1"/>
        <v>253.8</v>
      </c>
    </row>
    <row r="38" spans="1:4" x14ac:dyDescent="0.2">
      <c r="A38" s="133" t="s">
        <v>734</v>
      </c>
      <c r="B38" s="71" t="s">
        <v>729</v>
      </c>
      <c r="C38" s="129">
        <f>ROUND(SUM('DOE25'!F140:J140)-SUM('DOE25'!F117:F119),0)</f>
        <v>0</v>
      </c>
      <c r="D38" s="132">
        <f t="shared" si="1"/>
        <v>0</v>
      </c>
    </row>
    <row r="39" spans="1:4" x14ac:dyDescent="0.2">
      <c r="A39">
        <v>4000</v>
      </c>
      <c r="B39" s="71" t="s">
        <v>730</v>
      </c>
      <c r="C39" s="129">
        <f>ROUND('DOE25'!F170+'DOE25'!G170+'DOE25'!H170+'DOE25'!I170,0)</f>
        <v>0</v>
      </c>
      <c r="D39" s="132">
        <f t="shared" si="1"/>
        <v>0</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44831.97</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0" sqref="C10:M10"/>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Windsor</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19</v>
      </c>
      <c r="B4" s="150">
        <v>3</v>
      </c>
      <c r="C4" s="327" t="s">
        <v>1812</v>
      </c>
      <c r="D4" s="327"/>
      <c r="E4" s="327"/>
      <c r="F4" s="327"/>
      <c r="G4" s="327"/>
      <c r="H4" s="327"/>
      <c r="I4" s="327"/>
      <c r="J4" s="327"/>
      <c r="K4" s="327"/>
      <c r="L4" s="327"/>
      <c r="M4" s="328"/>
    </row>
    <row r="5" spans="1:13" x14ac:dyDescent="0.2">
      <c r="A5" s="159">
        <v>18</v>
      </c>
      <c r="B5" s="150" t="s">
        <v>1813</v>
      </c>
      <c r="C5" s="327" t="s">
        <v>1814</v>
      </c>
      <c r="D5" s="327"/>
      <c r="E5" s="327"/>
      <c r="F5" s="327"/>
      <c r="G5" s="327"/>
      <c r="H5" s="327"/>
      <c r="I5" s="327"/>
      <c r="J5" s="327"/>
      <c r="K5" s="327"/>
      <c r="L5" s="327"/>
      <c r="M5" s="328"/>
    </row>
    <row r="6" spans="1:13" x14ac:dyDescent="0.2">
      <c r="A6" s="159"/>
      <c r="B6" s="150"/>
      <c r="C6" s="327" t="s">
        <v>1815</v>
      </c>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2023-09-06T12:24:20Z</cp:lastPrinted>
  <dcterms:created xsi:type="dcterms:W3CDTF">1997-12-04T19:04:30Z</dcterms:created>
  <dcterms:modified xsi:type="dcterms:W3CDTF">2024-03-22T17:34:30Z</dcterms:modified>
</cp:coreProperties>
</file>