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A843D7D2-670A-4D2F-89FD-C650B76260F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4" l="1"/>
  <c r="E7" i="14"/>
  <c r="D6" i="14"/>
  <c r="D7" i="14"/>
  <c r="D37" i="14"/>
  <c r="D25" i="14"/>
  <c r="F31" i="13"/>
  <c r="F5" i="13"/>
  <c r="F15" i="13"/>
  <c r="G524" i="1" l="1"/>
  <c r="K524" i="1"/>
  <c r="K523" i="1"/>
  <c r="K522" i="1"/>
  <c r="G523" i="1"/>
  <c r="G533" i="1"/>
  <c r="G522" i="1"/>
  <c r="G532" i="1"/>
  <c r="G534" i="1"/>
  <c r="F534" i="1"/>
  <c r="F532" i="1"/>
  <c r="I524" i="1"/>
  <c r="I523" i="1"/>
  <c r="I522" i="1"/>
  <c r="H205" i="1" l="1"/>
  <c r="G240" i="1"/>
  <c r="K240" i="1"/>
  <c r="I240" i="1"/>
  <c r="H240" i="1"/>
  <c r="F240" i="1"/>
  <c r="K222" i="1"/>
  <c r="I222" i="1"/>
  <c r="H222" i="1"/>
  <c r="G222" i="1"/>
  <c r="F222" i="1"/>
  <c r="K204" i="1"/>
  <c r="I204" i="1"/>
  <c r="H204" i="1"/>
  <c r="G204" i="1"/>
  <c r="F204" i="1"/>
  <c r="G203" i="1"/>
  <c r="I239" i="1"/>
  <c r="H239" i="1"/>
  <c r="G239" i="1"/>
  <c r="F239" i="1"/>
  <c r="I221" i="1"/>
  <c r="H221" i="1"/>
  <c r="G221" i="1"/>
  <c r="F221" i="1"/>
  <c r="I203" i="1"/>
  <c r="H203" i="1"/>
  <c r="F203" i="1"/>
  <c r="K203" i="1"/>
  <c r="G217" i="1"/>
  <c r="K235" i="1"/>
  <c r="I235" i="1"/>
  <c r="H235" i="1"/>
  <c r="G235" i="1"/>
  <c r="F235" i="1"/>
  <c r="K217" i="1"/>
  <c r="I217" i="1"/>
  <c r="H217" i="1"/>
  <c r="F217" i="1"/>
  <c r="K199" i="1"/>
  <c r="I199" i="1"/>
  <c r="H199" i="1"/>
  <c r="G199" i="1"/>
  <c r="F199" i="1"/>
  <c r="J235" i="1"/>
  <c r="G198" i="1"/>
  <c r="G216" i="1"/>
  <c r="F499" i="1" l="1"/>
  <c r="I596" i="1"/>
  <c r="H596" i="1"/>
  <c r="I595" i="1"/>
  <c r="J595" i="1"/>
  <c r="G243" i="1"/>
  <c r="F243" i="1"/>
  <c r="G225" i="1"/>
  <c r="F225" i="1"/>
  <c r="G207" i="1"/>
  <c r="F207" i="1"/>
  <c r="K241" i="1"/>
  <c r="J241" i="1"/>
  <c r="I241" i="1"/>
  <c r="H241" i="1"/>
  <c r="G241" i="1"/>
  <c r="F241" i="1"/>
  <c r="K223" i="1"/>
  <c r="J223" i="1"/>
  <c r="I223" i="1"/>
  <c r="H223" i="1"/>
  <c r="G223" i="1"/>
  <c r="F223" i="1"/>
  <c r="K205" i="1"/>
  <c r="J205" i="1"/>
  <c r="I205" i="1"/>
  <c r="G205" i="1"/>
  <c r="F205" i="1"/>
  <c r="I245" i="1"/>
  <c r="H245" i="1"/>
  <c r="I227" i="1"/>
  <c r="H227" i="1"/>
  <c r="I209" i="1"/>
  <c r="H209" i="1"/>
  <c r="K244" i="1"/>
  <c r="J244" i="1"/>
  <c r="I244" i="1"/>
  <c r="H244" i="1"/>
  <c r="G244" i="1"/>
  <c r="F244" i="1"/>
  <c r="K226" i="1"/>
  <c r="J226" i="1"/>
  <c r="I226" i="1"/>
  <c r="H226" i="1"/>
  <c r="G226" i="1"/>
  <c r="F226" i="1"/>
  <c r="K208" i="1"/>
  <c r="J208" i="1"/>
  <c r="I208" i="1"/>
  <c r="H208" i="1"/>
  <c r="G208" i="1"/>
  <c r="F208" i="1"/>
  <c r="J217" i="1"/>
  <c r="J199" i="1"/>
  <c r="K242" i="1"/>
  <c r="I242" i="1"/>
  <c r="H242" i="1"/>
  <c r="G242" i="1"/>
  <c r="F242" i="1"/>
  <c r="J240" i="1"/>
  <c r="K239" i="1"/>
  <c r="K237" i="1"/>
  <c r="J237" i="1"/>
  <c r="I237" i="1"/>
  <c r="H237" i="1"/>
  <c r="G237" i="1"/>
  <c r="F237" i="1"/>
  <c r="H236" i="1"/>
  <c r="G236" i="1"/>
  <c r="F236" i="1"/>
  <c r="K234" i="1"/>
  <c r="J234" i="1"/>
  <c r="I234" i="1"/>
  <c r="H234" i="1"/>
  <c r="G234" i="1"/>
  <c r="F234" i="1"/>
  <c r="I224" i="1"/>
  <c r="H224" i="1"/>
  <c r="G224" i="1"/>
  <c r="F224" i="1"/>
  <c r="J222" i="1"/>
  <c r="K221" i="1"/>
  <c r="G219" i="1"/>
  <c r="K219" i="1"/>
  <c r="J219" i="1"/>
  <c r="I219" i="1"/>
  <c r="H219" i="1"/>
  <c r="F219" i="1"/>
  <c r="K216" i="1"/>
  <c r="J216" i="1"/>
  <c r="I216" i="1"/>
  <c r="H216" i="1"/>
  <c r="F216" i="1"/>
  <c r="H198" i="1" l="1"/>
  <c r="J198" i="1"/>
  <c r="I198" i="1"/>
  <c r="K206" i="1"/>
  <c r="I206" i="1"/>
  <c r="H206" i="1"/>
  <c r="G206" i="1"/>
  <c r="F206" i="1"/>
  <c r="G201" i="1"/>
  <c r="F201" i="1"/>
  <c r="J204" i="1" l="1"/>
  <c r="F469" i="1"/>
  <c r="F110" i="1"/>
  <c r="F120" i="1"/>
  <c r="F102" i="1"/>
  <c r="K345" i="1"/>
  <c r="G321" i="1"/>
  <c r="F321" i="1"/>
  <c r="G302" i="1"/>
  <c r="F302" i="1"/>
  <c r="G283" i="1"/>
  <c r="F283" i="1"/>
  <c r="G301" i="1"/>
  <c r="F301" i="1"/>
  <c r="G320" i="1" l="1"/>
  <c r="F320" i="1"/>
  <c r="G282" i="1"/>
  <c r="F282" i="1"/>
  <c r="H154" i="1"/>
  <c r="F96" i="1" l="1"/>
  <c r="F68" i="1"/>
  <c r="F50" i="1"/>
  <c r="J473" i="1" l="1"/>
  <c r="K416" i="1"/>
  <c r="E9" i="17" l="1"/>
  <c r="H155" i="1"/>
  <c r="I301" i="1" l="1"/>
  <c r="H320" i="1"/>
  <c r="H301" i="1"/>
  <c r="I282" i="1"/>
  <c r="H282" i="1"/>
  <c r="I320" i="1"/>
  <c r="J304" i="1" l="1"/>
  <c r="J285" i="1"/>
  <c r="I284" i="1"/>
  <c r="H321" i="1"/>
  <c r="H283" i="1"/>
  <c r="H302" i="1"/>
  <c r="K321" i="1"/>
  <c r="K302" i="1"/>
  <c r="K283" i="1"/>
  <c r="I299" i="1"/>
  <c r="I280" i="1"/>
  <c r="H280" i="1"/>
  <c r="H299" i="1"/>
  <c r="I318" i="1"/>
  <c r="G280" i="1"/>
  <c r="G299" i="1"/>
  <c r="G318" i="1"/>
  <c r="F299" i="1"/>
  <c r="F280" i="1"/>
  <c r="H316" i="1"/>
  <c r="H278" i="1"/>
  <c r="H297" i="1"/>
  <c r="G297" i="1"/>
  <c r="G278" i="1"/>
  <c r="F278" i="1"/>
  <c r="F315" i="1"/>
  <c r="I277" i="1"/>
  <c r="I296" i="1"/>
  <c r="I315" i="1"/>
  <c r="J315" i="1"/>
  <c r="H315" i="1"/>
  <c r="J296" i="1"/>
  <c r="H161" i="1"/>
  <c r="G158" i="1" l="1"/>
  <c r="G97" i="1"/>
  <c r="G40" i="1"/>
  <c r="G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21" i="14" l="1"/>
  <c r="D21" i="14"/>
  <c r="G36" i="13" l="1"/>
  <c r="G29" i="13"/>
  <c r="B22" i="12" l="1"/>
  <c r="B5" i="14" l="1"/>
  <c r="C5" i="14" s="1"/>
  <c r="F88" i="2" l="1"/>
  <c r="E88" i="2"/>
  <c r="D88" i="2"/>
  <c r="C88" i="2"/>
  <c r="I163" i="1"/>
  <c r="H163" i="1"/>
  <c r="G163" i="1"/>
  <c r="F163" i="1"/>
  <c r="H88" i="2" l="1"/>
  <c r="B31" i="16"/>
  <c r="B27" i="16"/>
  <c r="B9" i="16"/>
  <c r="B5" i="16"/>
  <c r="F42" i="14" l="1"/>
  <c r="F39" i="14" l="1"/>
  <c r="F40" i="14"/>
  <c r="F41" i="14"/>
  <c r="F37" i="14"/>
  <c r="F27" i="14"/>
  <c r="F28" i="14"/>
  <c r="F29" i="14"/>
  <c r="F30" i="14"/>
  <c r="F31" i="14"/>
  <c r="F32" i="14"/>
  <c r="F6" i="14"/>
  <c r="F7" i="14"/>
  <c r="F8" i="14"/>
  <c r="F9" i="14"/>
  <c r="F10" i="14"/>
  <c r="F11" i="14"/>
  <c r="F12" i="14"/>
  <c r="F13" i="14"/>
  <c r="F14" i="14"/>
  <c r="F15" i="14"/>
  <c r="F16" i="14"/>
  <c r="F17" i="14"/>
  <c r="F18" i="14"/>
  <c r="F19" i="14"/>
  <c r="F20" i="14"/>
  <c r="F25" i="14"/>
  <c r="F5" i="14"/>
  <c r="F4"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J652" i="1" s="1"/>
  <c r="G17" i="13"/>
  <c r="H17" i="13"/>
  <c r="L252" i="1"/>
  <c r="G18" i="13"/>
  <c r="H18" i="13"/>
  <c r="L253" i="1"/>
  <c r="G19" i="13"/>
  <c r="H19" i="13"/>
  <c r="L254" i="1"/>
  <c r="H29" i="13"/>
  <c r="L359" i="1"/>
  <c r="L360" i="1"/>
  <c r="L361" i="1"/>
  <c r="I368" i="1"/>
  <c r="J291" i="1"/>
  <c r="J310" i="1"/>
  <c r="I605" i="1" s="1"/>
  <c r="I606" i="1" s="1"/>
  <c r="J329" i="1"/>
  <c r="K291" i="1"/>
  <c r="K310" i="1"/>
  <c r="K329" i="1"/>
  <c r="L277" i="1"/>
  <c r="L278" i="1"/>
  <c r="L279" i="1"/>
  <c r="L280" i="1"/>
  <c r="L282" i="1"/>
  <c r="L283" i="1"/>
  <c r="L284" i="1"/>
  <c r="L285" i="1"/>
  <c r="L286" i="1"/>
  <c r="L287" i="1"/>
  <c r="L288" i="1"/>
  <c r="E124" i="2" s="1"/>
  <c r="L289" i="1"/>
  <c r="L296" i="1"/>
  <c r="L297" i="1"/>
  <c r="L298" i="1"/>
  <c r="L299" i="1"/>
  <c r="L301" i="1"/>
  <c r="L302" i="1"/>
  <c r="L303" i="1"/>
  <c r="E120" i="2" s="1"/>
  <c r="L304" i="1"/>
  <c r="L305" i="1"/>
  <c r="L306" i="1"/>
  <c r="L307" i="1"/>
  <c r="L308" i="1"/>
  <c r="L315" i="1"/>
  <c r="L316" i="1"/>
  <c r="L317" i="1"/>
  <c r="E111" i="2" s="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61" i="2"/>
  <c r="F2" i="11"/>
  <c r="L614" i="1"/>
  <c r="L613" i="1"/>
  <c r="L612" i="1"/>
  <c r="C40" i="10"/>
  <c r="F60" i="1"/>
  <c r="G60" i="1"/>
  <c r="D56" i="2" s="1"/>
  <c r="H60" i="1"/>
  <c r="E56" i="2" s="1"/>
  <c r="I60" i="1"/>
  <c r="F79" i="1"/>
  <c r="C57" i="2" s="1"/>
  <c r="F94" i="1"/>
  <c r="F111" i="1"/>
  <c r="G111" i="1"/>
  <c r="H79" i="1"/>
  <c r="H94" i="1"/>
  <c r="H111" i="1"/>
  <c r="I111" i="1"/>
  <c r="I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H79" i="2" s="1"/>
  <c r="D79" i="2"/>
  <c r="E79" i="2"/>
  <c r="C80" i="2"/>
  <c r="H80" i="2" s="1"/>
  <c r="E80" i="2"/>
  <c r="C85" i="2"/>
  <c r="F85" i="2"/>
  <c r="C87" i="2"/>
  <c r="E87" i="2"/>
  <c r="F87" i="2"/>
  <c r="C89" i="2"/>
  <c r="D89" i="2"/>
  <c r="E89" i="2"/>
  <c r="F89" i="2"/>
  <c r="C90" i="2"/>
  <c r="H90" i="2" s="1"/>
  <c r="C93" i="2"/>
  <c r="F93" i="2"/>
  <c r="C94" i="2"/>
  <c r="F94" i="2"/>
  <c r="D96" i="2"/>
  <c r="E96" i="2"/>
  <c r="F96" i="2"/>
  <c r="G96" i="2"/>
  <c r="H96" i="2" s="1"/>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D115" i="2"/>
  <c r="F115" i="2"/>
  <c r="G115" i="2"/>
  <c r="E125"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J605" i="1" s="1"/>
  <c r="J606"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J96" i="1" s="1"/>
  <c r="J111" i="1" s="1"/>
  <c r="J112" i="1" s="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H471" i="1"/>
  <c r="I471" i="1"/>
  <c r="F475" i="1"/>
  <c r="H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F615" i="1"/>
  <c r="G615" i="1"/>
  <c r="H615" i="1"/>
  <c r="I615" i="1"/>
  <c r="J615" i="1"/>
  <c r="K615" i="1"/>
  <c r="G619" i="1"/>
  <c r="G623" i="1"/>
  <c r="G624" i="1"/>
  <c r="H628" i="1"/>
  <c r="H630" i="1"/>
  <c r="H631" i="1"/>
  <c r="H633" i="1"/>
  <c r="H634" i="1"/>
  <c r="H637" i="1"/>
  <c r="G641" i="1"/>
  <c r="G644" i="1"/>
  <c r="G645" i="1"/>
  <c r="H653" i="1"/>
  <c r="G654" i="1"/>
  <c r="H654" i="1"/>
  <c r="H655" i="1"/>
  <c r="H656" i="1"/>
  <c r="I170" i="1"/>
  <c r="A40" i="12" l="1"/>
  <c r="H135" i="2"/>
  <c r="H97" i="2"/>
  <c r="H93" i="2"/>
  <c r="H87" i="2"/>
  <c r="H26" i="2"/>
  <c r="H22" i="2"/>
  <c r="G59" i="2"/>
  <c r="G62" i="2" s="1"/>
  <c r="G63" i="2" s="1"/>
  <c r="H38" i="2"/>
  <c r="H43" i="2"/>
  <c r="H30" i="2"/>
  <c r="H102" i="2"/>
  <c r="H100" i="2"/>
  <c r="H98" i="2"/>
  <c r="H73" i="2"/>
  <c r="H15" i="2"/>
  <c r="H11" i="2"/>
  <c r="D18" i="13"/>
  <c r="C18" i="13" s="1"/>
  <c r="C12" i="10"/>
  <c r="H47" i="2"/>
  <c r="H25" i="2"/>
  <c r="G651" i="1"/>
  <c r="I409" i="1"/>
  <c r="H29" i="2"/>
  <c r="G664" i="1"/>
  <c r="H132" i="2"/>
  <c r="H36" i="2"/>
  <c r="H42" i="2"/>
  <c r="H44" i="2"/>
  <c r="H48" i="2"/>
  <c r="H17" i="2"/>
  <c r="G646" i="1"/>
  <c r="H89" i="2"/>
  <c r="H34" i="2"/>
  <c r="H57" i="2"/>
  <c r="H664" i="1"/>
  <c r="H69" i="2"/>
  <c r="H28" i="2"/>
  <c r="H605" i="1"/>
  <c r="H137" i="2"/>
  <c r="H94" i="2"/>
  <c r="H27" i="2"/>
  <c r="H24" i="2"/>
  <c r="E13" i="13"/>
  <c r="C13" i="13" s="1"/>
  <c r="C120" i="2"/>
  <c r="H120" i="2" s="1"/>
  <c r="C119" i="2"/>
  <c r="C112" i="2"/>
  <c r="D15" i="13"/>
  <c r="C15" i="13" s="1"/>
  <c r="D6" i="13"/>
  <c r="C6" i="13" s="1"/>
  <c r="C110" i="2"/>
  <c r="C121" i="2"/>
  <c r="N2" i="14"/>
  <c r="N3" i="14" s="1"/>
  <c r="H61" i="2"/>
  <c r="H59" i="2"/>
  <c r="H23" i="2"/>
  <c r="G409" i="1"/>
  <c r="H646" i="1" s="1"/>
  <c r="J646" i="1" s="1"/>
  <c r="H477" i="1"/>
  <c r="H625" i="1" s="1"/>
  <c r="L2" i="14"/>
  <c r="L3" i="14" s="1"/>
  <c r="E121" i="2"/>
  <c r="M2" i="14"/>
  <c r="M3" i="14" s="1"/>
  <c r="E112" i="2"/>
  <c r="C13" i="10"/>
  <c r="K2" i="14"/>
  <c r="K3" i="14" s="1"/>
  <c r="H8" i="2"/>
  <c r="H12" i="2"/>
  <c r="G662" i="1"/>
  <c r="D29" i="13"/>
  <c r="C29" i="13" s="1"/>
  <c r="D78" i="2"/>
  <c r="H77" i="2"/>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E26" i="14" s="1"/>
  <c r="E33" i="14" s="1"/>
  <c r="I546" i="1"/>
  <c r="F462" i="1"/>
  <c r="H640" i="1" s="1"/>
  <c r="J640" i="1" s="1"/>
  <c r="H258" i="1"/>
  <c r="H272" i="1" s="1"/>
  <c r="I52" i="1"/>
  <c r="H621" i="1" s="1"/>
  <c r="J621" i="1" s="1"/>
  <c r="D31" i="2"/>
  <c r="E31" i="2"/>
  <c r="C18" i="2"/>
  <c r="F18" i="2"/>
  <c r="L271" i="1"/>
  <c r="F662" i="1"/>
  <c r="F572" i="1"/>
  <c r="L420" i="1"/>
  <c r="D91" i="2"/>
  <c r="E78" i="2"/>
  <c r="E81" i="2" s="1"/>
  <c r="G546" i="1"/>
  <c r="J644" i="1"/>
  <c r="F112" i="1"/>
  <c r="L394" i="1"/>
  <c r="L363" i="1"/>
  <c r="B28" i="16"/>
  <c r="L329" i="1"/>
  <c r="E38" i="14" s="1"/>
  <c r="E43" i="14" s="1"/>
  <c r="E122" i="2"/>
  <c r="L291" i="1"/>
  <c r="L615" i="1"/>
  <c r="K599" i="1"/>
  <c r="G648" i="1" s="1"/>
  <c r="K572" i="1"/>
  <c r="L571" i="1"/>
  <c r="H572" i="1"/>
  <c r="L566" i="1"/>
  <c r="L572" i="1" s="1"/>
  <c r="I572" i="1"/>
  <c r="K546" i="1"/>
  <c r="H52" i="1"/>
  <c r="H620" i="1" s="1"/>
  <c r="J620" i="1" s="1"/>
  <c r="C114" i="2"/>
  <c r="G112" i="1"/>
  <c r="B10" i="16" s="1"/>
  <c r="E118" i="2"/>
  <c r="L248" i="1"/>
  <c r="D38" i="14" s="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D26" i="14" s="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K605" i="1" l="1"/>
  <c r="K606" i="1" s="1"/>
  <c r="G649" i="1" s="1"/>
  <c r="H606" i="1"/>
  <c r="E144" i="2"/>
  <c r="D43" i="14"/>
  <c r="F38" i="14"/>
  <c r="F36" i="14" s="1"/>
  <c r="F664" i="1"/>
  <c r="I664" i="1" s="1"/>
  <c r="H85" i="2"/>
  <c r="D33" i="14"/>
  <c r="F26" i="14"/>
  <c r="F24" i="14" s="1"/>
  <c r="H21" i="2"/>
  <c r="H114" i="2"/>
  <c r="B17" i="16"/>
  <c r="B19" i="16" s="1"/>
  <c r="G473" i="1"/>
  <c r="H16" i="2"/>
  <c r="H119" i="2"/>
  <c r="H110" i="2"/>
  <c r="H112" i="2"/>
  <c r="H123" i="2"/>
  <c r="H121" i="2"/>
  <c r="H118" i="2"/>
  <c r="H103" i="2"/>
  <c r="H91" i="2"/>
  <c r="H78" i="2"/>
  <c r="C81" i="2"/>
  <c r="F194" i="1"/>
  <c r="G628" i="1" s="1"/>
  <c r="J628" i="1" s="1"/>
  <c r="H50" i="2"/>
  <c r="C138" i="2"/>
  <c r="H138" i="2" s="1"/>
  <c r="J469" i="1"/>
  <c r="H134" i="2"/>
  <c r="I663" i="1"/>
  <c r="E128" i="2"/>
  <c r="G24" i="14"/>
  <c r="H24" i="14" s="1"/>
  <c r="I24" i="14" s="1"/>
  <c r="H18" i="2"/>
  <c r="D128" i="2"/>
  <c r="H127" i="2"/>
  <c r="D81" i="2"/>
  <c r="I662" i="1"/>
  <c r="D63" i="2"/>
  <c r="H62" i="2"/>
  <c r="D51" i="2"/>
  <c r="H31" i="2"/>
  <c r="F661" i="1"/>
  <c r="E115" i="2"/>
  <c r="H109" i="2"/>
  <c r="F144" i="2"/>
  <c r="H130" i="2"/>
  <c r="H661" i="1"/>
  <c r="H665" i="1" s="1"/>
  <c r="H194" i="1"/>
  <c r="G630" i="1" s="1"/>
  <c r="J630" i="1" s="1"/>
  <c r="H649" i="1"/>
  <c r="J649" i="1" s="1"/>
  <c r="C141" i="2"/>
  <c r="F51" i="2"/>
  <c r="G36" i="14"/>
  <c r="E104" i="2"/>
  <c r="C36" i="10"/>
  <c r="L435" i="1"/>
  <c r="G104" i="2"/>
  <c r="L339" i="1"/>
  <c r="L353" i="1" s="1"/>
  <c r="G634" i="1" s="1"/>
  <c r="J634" i="1" s="1"/>
  <c r="I194" i="1"/>
  <c r="G631" i="1" s="1"/>
  <c r="J631" i="1" s="1"/>
  <c r="G636" i="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G194" i="1"/>
  <c r="G627" i="1"/>
  <c r="J52" i="1"/>
  <c r="H622" i="1" s="1"/>
  <c r="J622" i="1" s="1"/>
  <c r="C38" i="10"/>
  <c r="G629" i="1" l="1"/>
  <c r="G469" i="1"/>
  <c r="H36" i="14"/>
  <c r="G475" i="1"/>
  <c r="H636" i="1"/>
  <c r="J636" i="1"/>
  <c r="F665" i="1"/>
  <c r="F670" i="1" s="1"/>
  <c r="C104" i="2"/>
  <c r="H81" i="2"/>
  <c r="H63" i="2"/>
  <c r="H51" i="2"/>
  <c r="G639" i="1"/>
  <c r="J471" i="1"/>
  <c r="H638" i="1"/>
  <c r="H632" i="1"/>
  <c r="J632" i="1" s="1"/>
  <c r="C144" i="2"/>
  <c r="H144" i="2" s="1"/>
  <c r="H141" i="2"/>
  <c r="M24" i="14"/>
  <c r="D145" i="2"/>
  <c r="H128" i="2"/>
  <c r="D104" i="2"/>
  <c r="M36" i="14"/>
  <c r="I36" i="14"/>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G471" i="1" l="1"/>
  <c r="G477" i="1" s="1"/>
  <c r="H629" i="1"/>
  <c r="J629" i="1"/>
  <c r="C145" i="2"/>
  <c r="H145" i="2" s="1"/>
  <c r="H104" i="2"/>
  <c r="H639" i="1"/>
  <c r="J639" i="1" s="1"/>
  <c r="J475" i="1"/>
  <c r="J477" i="1"/>
  <c r="H627" i="1" s="1"/>
  <c r="J627" i="1" s="1"/>
  <c r="J638" i="1"/>
  <c r="I670" i="1"/>
  <c r="I673" i="1" s="1"/>
  <c r="C7" i="10" s="1"/>
  <c r="F673" i="1"/>
  <c r="C4" i="10" s="1"/>
  <c r="I668" i="1"/>
  <c r="D28" i="10"/>
  <c r="D37" i="10"/>
  <c r="D36" i="10"/>
  <c r="D35" i="10"/>
  <c r="D40" i="10"/>
  <c r="D39" i="10"/>
  <c r="H624" i="1" l="1"/>
  <c r="B33" i="16"/>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<sst xmlns="http://schemas.openxmlformats.org/spreadsheetml/2006/main" count="6559" uniqueCount="1814">
  <si>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</si>
  <si>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</si>
  <si>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</si>
  <si>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</si>
  <si>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</si>
  <si>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</si>
  <si>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</si>
  <si>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</si>
  <si>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</si>
  <si>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</si>
  <si>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</si>
  <si>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</si>
  <si>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</si>
  <si>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</si>
  <si>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</si>
  <si>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</si>
  <si>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</si>
  <si>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</si>
  <si>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</si>
  <si>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</si>
  <si>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</si>
  <si>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</si>
  <si>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</si>
  <si>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</si>
  <si>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</si>
  <si>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</si>
  <si>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</si>
  <si>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</si>
  <si>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</si>
  <si>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</si>
  <si>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</si>
  <si>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</si>
  <si>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</si>
  <si>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</si>
  <si>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</si>
  <si>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</si>
  <si>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</si>
  <si>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</si>
  <si>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</si>
  <si>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</si>
  <si>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</si>
  <si>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</si>
  <si>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</si>
  <si>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</si>
  <si>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</si>
  <si>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</si>
  <si>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</si>
  <si>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</si>
  <si>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</si>
  <si>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</si>
  <si>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</si>
  <si>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</si>
  <si>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</si>
  <si>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</si>
  <si>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</si>
  <si>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</si>
  <si>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</si>
  <si>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</si>
  <si>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</si>
  <si>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</si>
  <si>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</si>
  <si>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</si>
  <si>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</si>
  <si>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</si>
  <si>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</si>
  <si>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</si>
  <si>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</si>
  <si>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</si>
  <si>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</si>
  <si>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</si>
  <si>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</si>
  <si>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</si>
  <si>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</si>
  <si>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</si>
  <si>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</si>
  <si>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</si>
  <si>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</si>
  <si>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</si>
  <si>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</si>
  <si>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</si>
  <si>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</si>
  <si>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</si>
  <si>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</si>
  <si>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</si>
  <si>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</si>
  <si>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</si>
  <si>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</si>
  <si>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</si>
  <si>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</si>
  <si>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</si>
  <si>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</si>
  <si>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</si>
  <si>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</si>
  <si>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</si>
  <si>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</si>
  <si>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</si>
  <si>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</si>
  <si>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</si>
  <si>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</si>
  <si>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</si>
  <si>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</si>
  <si>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</si>
  <si>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</si>
  <si>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</si>
  <si>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</si>
  <si>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</si>
  <si>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</si>
  <si>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</si>
  <si>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</si>
  <si>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</si>
  <si>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</si>
  <si>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</si>
  <si>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</si>
  <si>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</si>
  <si>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</si>
  <si>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</si>
  <si>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</si>
  <si>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</si>
  <si>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</si>
  <si>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</si>
  <si>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</si>
  <si>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</si>
  <si>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</si>
  <si>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</si>
  <si>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</si>
  <si>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</si>
  <si>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</si>
  <si>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</si>
  <si>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</si>
  <si>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</si>
  <si>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</si>
  <si>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</si>
  <si>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</si>
  <si>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</si>
  <si>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</si>
  <si>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</si>
  <si>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</si>
  <si>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</si>
  <si>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</si>
  <si>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</si>
  <si>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</si>
  <si>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</si>
  <si>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</si>
  <si>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</si>
  <si>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</si>
  <si>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</si>
  <si>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</si>
  <si>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</si>
  <si>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</si>
  <si>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</si>
  <si>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</si>
  <si>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</si>
  <si>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</si>
  <si>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</si>
  <si>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</si>
  <si>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</si>
  <si>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</si>
  <si>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</si>
  <si>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</si>
  <si>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</si>
  <si>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</si>
  <si>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</si>
  <si>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</si>
  <si>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</si>
  <si>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</si>
  <si>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</si>
  <si>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</si>
  <si>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</si>
  <si>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</si>
  <si>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</si>
  <si>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</si>
  <si>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</si>
  <si>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</si>
  <si>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</si>
  <si>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</si>
  <si>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</si>
  <si>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</si>
  <si>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</si>
  <si>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</si>
  <si>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</si>
  <si>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</si>
  <si>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</si>
  <si>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</si>
  <si>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</si>
  <si>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</si>
  <si>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</si>
  <si>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</si>
  <si>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</si>
  <si>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</si>
  <si>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</si>
  <si>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</si>
  <si>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</si>
  <si>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</si>
  <si>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</si>
  <si>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</si>
  <si>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</si>
  <si>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</si>
  <si>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</si>
  <si>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</si>
  <si>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</si>
  <si>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</si>
  <si>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</si>
  <si>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</si>
  <si>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</si>
  <si>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</si>
  <si>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</si>
  <si>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</si>
  <si>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</si>
  <si>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</si>
  <si>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</si>
  <si>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</si>
  <si>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</si>
  <si>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</si>
  <si>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</si>
  <si>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</si>
  <si>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</si>
  <si>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</si>
  <si>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</si>
  <si>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</si>
  <si>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</si>
  <si>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</si>
  <si>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</si>
  <si>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</si>
  <si>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</si>
  <si>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</si>
  <si>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</si>
  <si>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</si>
  <si>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</si>
  <si>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</si>
  <si>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</si>
  <si>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</si>
  <si>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</si>
  <si>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</si>
  <si>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</si>
  <si>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</si>
  <si>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</si>
  <si>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</si>
  <si>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</si>
  <si>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</si>
  <si>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</si>
  <si>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</si>
  <si>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</si>
  <si>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</si>
  <si>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</si>
  <si>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</si>
  <si>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</si>
  <si>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</si>
  <si>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</si>
  <si>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</si>
  <si>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</si>
  <si>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</si>
  <si>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</si>
  <si>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</si>
  <si>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</si>
  <si>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</si>
  <si>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</si>
  <si>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</si>
  <si>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</si>
  <si>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</si>
  <si>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</si>
  <si>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</si>
  <si>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</si>
  <si>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</si>
  <si>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</si>
  <si>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</si>
  <si>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</si>
  <si>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</si>
  <si>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</si>
  <si>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</si>
  <si>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</si>
  <si>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</si>
  <si>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</si>
  <si>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</si>
  <si>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</si>
  <si>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</si>
  <si>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</si>
  <si>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</si>
  <si>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</si>
  <si>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</si>
  <si>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</si>
  <si>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</si>
  <si>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</si>
  <si>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</si>
  <si>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</si>
  <si>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</si>
  <si>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</si>
  <si>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</si>
  <si>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</si>
  <si>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</si>
  <si>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</si>
  <si>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</si>
  <si>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</si>
  <si>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</si>
  <si>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</si>
  <si>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</si>
  <si>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</si>
  <si>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</si>
  <si>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</si>
  <si>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</si>
  <si>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</si>
  <si>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</si>
  <si>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</si>
  <si>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</si>
  <si>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</si>
  <si>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</si>
  <si>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</si>
  <si>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</si>
  <si>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</si>
  <si>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</si>
  <si>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</si>
  <si>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</si>
  <si>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</si>
  <si>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</si>
  <si>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</si>
  <si>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</si>
  <si>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</si>
  <si>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</si>
  <si>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</si>
  <si>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</si>
  <si>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</si>
  <si>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</si>
  <si>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</si>
  <si>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</si>
  <si>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</si>
  <si>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</si>
  <si>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</si>
  <si>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</si>
  <si>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</si>
  <si>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</si>
  <si>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</si>
  <si>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</si>
  <si>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</si>
  <si>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</si>
  <si>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</si>
  <si>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</si>
  <si>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</si>
  <si>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</si>
  <si>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</si>
  <si>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</si>
  <si>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</si>
  <si>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</si>
  <si>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</si>
  <si>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</si>
  <si>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</si>
  <si>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</si>
  <si>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</si>
  <si>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</si>
  <si>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</si>
  <si>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</si>
  <si>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</si>
  <si>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</si>
  <si>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</si>
  <si>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</si>
  <si>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</si>
  <si>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</si>
  <si>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</si>
  <si>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</si>
  <si>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</si>
  <si>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</si>
  <si>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</si>
  <si>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</si>
  <si>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</si>
  <si>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</si>
  <si>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</si>
  <si>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</si>
  <si>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</si>
  <si>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</si>
  <si>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</si>
  <si>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</si>
  <si>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</si>
  <si>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</si>
  <si>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</si>
  <si>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</si>
  <si>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</si>
  <si>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</si>
  <si>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</si>
  <si>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</si>
  <si>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</si>
  <si>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</si>
  <si>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</si>
  <si>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</si>
  <si>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</si>
  <si>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</si>
  <si>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</si>
  <si>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</si>
  <si>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</si>
  <si>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</si>
  <si>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</si>
  <si>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</si>
  <si>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</si>
  <si>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</si>
  <si>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</si>
  <si>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</si>
  <si>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</si>
  <si>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</si>
  <si>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</si>
  <si>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</si>
  <si>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</si>
  <si>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</si>
  <si>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</si>
  <si>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</si>
  <si>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</si>
  <si>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</si>
  <si>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</si>
  <si>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</si>
  <si>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</si>
  <si>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</si>
  <si>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</si>
  <si>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</si>
  <si>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</si>
  <si>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</si>
  <si>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</si>
  <si>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</si>
  <si>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</si>
  <si>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</si>
  <si>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</si>
  <si>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</si>
  <si>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</si>
  <si>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</si>
  <si>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</si>
  <si>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</si>
  <si>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</si>
  <si>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</si>
  <si>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</si>
  <si>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</si>
  <si>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</si>
  <si>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</si>
  <si>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</si>
  <si>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</si>
  <si>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</si>
  <si>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</si>
  <si>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</si>
  <si>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</si>
  <si>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</si>
  <si>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</si>
  <si>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</si>
  <si>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</si>
  <si>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</si>
  <si>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</si>
  <si>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</si>
  <si>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</si>
  <si>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</si>
  <si>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</si>
  <si>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</si>
  <si>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</si>
  <si>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</si>
  <si>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</si>
  <si>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</si>
  <si>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</si>
  <si>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</si>
  <si>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</si>
  <si>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</si>
  <si>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</si>
  <si>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</si>
  <si>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</si>
  <si>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</si>
  <si>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</si>
  <si>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</si>
  <si>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</si>
  <si>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</si>
  <si>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</si>
  <si>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</si>
  <si>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</si>
  <si>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</si>
  <si>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</si>
  <si>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</si>
  <si>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</si>
  <si>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</si>
  <si>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</si>
  <si>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</si>
  <si>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</si>
  <si>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</si>
  <si>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</si>
  <si>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</si>
  <si>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</si>
  <si>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</si>
  <si>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</si>
  <si>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</si>
  <si>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</si>
  <si>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</si>
  <si>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</si>
  <si>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</si>
  <si>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</si>
  <si>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</si>
  <si>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</si>
  <si>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</si>
  <si>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</si>
  <si>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</si>
  <si>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</si>
  <si>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</si>
  <si>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</si>
  <si>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</si>
  <si>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</si>
  <si>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</si>
  <si>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</si>
  <si>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</si>
  <si>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</si>
  <si>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</si>
  <si>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</si>
  <si>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</si>
  <si>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</si>
  <si>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</si>
  <si>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</si>
  <si>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</si>
  <si>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</si>
  <si>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</si>
  <si>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</si>
  <si>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</si>
  <si>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</si>
  <si>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</si>
  <si>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</si>
  <si>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</si>
  <si>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</si>
  <si>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</si>
  <si>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</si>
  <si>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</si>
  <si>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</si>
  <si>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</si>
  <si>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</si>
  <si>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</si>
  <si>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</si>
  <si>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</si>
  <si>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</si>
  <si>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</si>
  <si>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</si>
  <si>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</si>
  <si>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</si>
  <si>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</si>
  <si>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</si>
  <si>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</si>
  <si>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</si>
  <si>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</si>
  <si>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</si>
  <si>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</si>
  <si>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</si>
  <si>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</si>
  <si>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</si>
  <si>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</si>
  <si>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</si>
  <si>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</si>
  <si>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</si>
  <si>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</si>
  <si>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</si>
  <si>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</si>
  <si>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</si>
  <si>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</si>
  <si>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</si>
  <si>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</si>
  <si>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</si>
  <si>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</si>
  <si>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</si>
  <si>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</si>
  <si>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</si>
  <si>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</si>
  <si>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</si>
  <si>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</si>
  <si>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</si>
  <si>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</si>
  <si>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</si>
  <si>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</si>
  <si>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</si>
  <si>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</si>
  <si>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</si>
  <si>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</si>
  <si>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</si>
  <si>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</si>
  <si>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</si>
  <si>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</si>
  <si>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</si>
  <si>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</si>
  <si>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</si>
  <si>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</si>
  <si>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</si>
  <si>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</si>
  <si>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</si>
  <si>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</si>
  <si>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</si>
  <si>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</si>
  <si>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</si>
  <si>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</si>
  <si>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</si>
  <si>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</si>
  <si>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</si>
  <si>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</si>
  <si>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</si>
  <si>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</si>
  <si>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</si>
  <si>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</si>
  <si>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</si>
  <si>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</si>
  <si>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</si>
  <si>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</si>
  <si>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</si>
  <si>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</si>
  <si>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</si>
  <si>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</si>
  <si>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</si>
  <si>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</si>
  <si>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</si>
  <si>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</si>
  <si>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</si>
  <si>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</si>
  <si>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</si>
  <si>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</si>
  <si>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</si>
  <si>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</si>
  <si>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</si>
  <si>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</si>
  <si>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</si>
  <si>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</si>
  <si>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</si>
  <si>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</si>
  <si>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</si>
  <si>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</si>
  <si>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</si>
  <si>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</si>
  <si>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</si>
  <si>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</si>
  <si>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</si>
  <si>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</si>
  <si>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</si>
  <si>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</si>
  <si>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</si>
  <si>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</si>
  <si>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</si>
  <si>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</si>
  <si>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</si>
  <si>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</si>
  <si>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</si>
  <si>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</si>
  <si>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</si>
  <si>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</si>
  <si>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</si>
  <si>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</si>
  <si>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</si>
  <si>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</si>
  <si>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</si>
  <si>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</si>
  <si>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</si>
  <si>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</si>
  <si>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</si>
  <si>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</si>
  <si>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</si>
  <si>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</si>
  <si>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</si>
  <si>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</si>
  <si>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</si>
  <si>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</si>
  <si>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</si>
  <si>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</si>
  <si>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</si>
  <si>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</si>
  <si>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</si>
  <si>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</si>
  <si>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</si>
  <si>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</si>
  <si>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</si>
  <si>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</si>
  <si>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</si>
  <si>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</si>
  <si>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</si>
  <si>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</si>
  <si>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</si>
  <si>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</si>
  <si>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</si>
  <si>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</si>
  <si>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</si>
  <si>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</si>
  <si>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</si>
  <si>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</si>
  <si>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</si>
  <si>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</si>
  <si>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</si>
  <si>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</si>
  <si>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</si>
  <si>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</si>
  <si>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</si>
  <si>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</si>
  <si>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</si>
  <si>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</si>
  <si>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</si>
  <si>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</si>
  <si>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</si>
  <si>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</si>
  <si>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</si>
  <si>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</si>
  <si>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</si>
  <si>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</si>
  <si>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</si>
  <si>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</si>
  <si>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</si>
  <si>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</si>
  <si>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</si>
  <si>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</si>
  <si>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</si>
  <si>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</si>
  <si>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</si>
  <si>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</si>
  <si>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</si>
  <si>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</si>
  <si>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</si>
  <si>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</si>
  <si>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</si>
  <si>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</si>
  <si>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</si>
  <si>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</si>
  <si>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</si>
  <si>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</si>
  <si>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</si>
  <si>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</si>
  <si>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</si>
  <si>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</si>
  <si>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</si>
  <si>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</si>
  <si>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</si>
  <si>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</si>
  <si>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</si>
  <si>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</si>
  <si>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</si>
  <si>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</si>
  <si>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</si>
  <si>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</si>
  <si>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</si>
  <si>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</si>
  <si>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</si>
  <si>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</si>
  <si>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</si>
  <si>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</si>
  <si>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</si>
  <si>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</si>
  <si>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</si>
  <si>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</si>
  <si>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</si>
  <si>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</si>
  <si>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</si>
  <si>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</si>
  <si>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</si>
  <si>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</si>
  <si>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</si>
  <si>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</si>
  <si>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</si>
  <si>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</si>
  <si>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</si>
  <si>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</si>
  <si>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</si>
  <si>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</si>
  <si>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</si>
  <si>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</si>
  <si>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</si>
  <si>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</si>
  <si>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</si>
  <si>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</si>
  <si>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</si>
  <si>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</si>
  <si>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</si>
  <si>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</si>
  <si>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</si>
  <si>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</si>
  <si>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</si>
  <si>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</si>
  <si>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</si>
  <si>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</si>
  <si>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</si>
  <si>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</si>
  <si>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</si>
  <si>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</si>
  <si>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</si>
  <si>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</si>
  <si>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</si>
  <si>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</si>
  <si>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</si>
  <si>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</si>
  <si>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</si>
  <si>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</si>
  <si>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</si>
  <si>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</si>
  <si>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</si>
  <si>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</si>
  <si>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</si>
  <si>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</si>
  <si>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</si>
  <si>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</si>
  <si>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</si>
  <si>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</si>
  <si>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</si>
  <si>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</si>
  <si>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</si>
  <si>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</si>
  <si>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</si>
  <si>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</si>
  <si>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</si>
  <si>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</si>
  <si>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</si>
  <si>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</si>
  <si>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</si>
  <si>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</si>
  <si>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</si>
  <si>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</si>
  <si>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</si>
  <si>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</si>
  <si>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</si>
  <si>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</si>
  <si>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</si>
  <si>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</si>
  <si>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</si>
  <si>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</si>
  <si>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</si>
  <si>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</si>
  <si>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</si>
  <si>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</si>
  <si>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</si>
  <si>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</si>
  <si>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</si>
  <si>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</si>
  <si>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</si>
  <si>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</si>
  <si>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</si>
  <si>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</si>
  <si>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</si>
  <si>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</si>
  <si>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</si>
  <si>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</si>
  <si>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</si>
  <si>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</si>
  <si>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</si>
  <si>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</si>
  <si>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</si>
  <si>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</si>
  <si>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</si>
  <si>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</si>
  <si>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</si>
  <si>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</si>
  <si>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</si>
  <si>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</si>
  <si>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</si>
  <si>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</si>
  <si>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</si>
  <si>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</si>
  <si>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</si>
  <si>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</si>
  <si>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</si>
  <si>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</si>
  <si>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</si>
  <si>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</si>
  <si>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</si>
  <si>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</si>
  <si>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</si>
  <si>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</si>
  <si>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</si>
  <si>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</si>
  <si>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</si>
  <si>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</si>
  <si>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</si>
  <si>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</si>
  <si>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</si>
  <si>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</si>
  <si>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</si>
  <si>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</si>
  <si>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</si>
  <si>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</si>
  <si>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</si>
  <si>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</si>
  <si>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</si>
  <si>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</si>
  <si>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</si>
  <si>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</si>
  <si>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</si>
  <si>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</si>
  <si>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</si>
  <si>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</si>
  <si>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</si>
  <si>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</si>
  <si>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</si>
  <si>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</si>
  <si>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</si>
  <si>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</si>
  <si>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</si>
  <si>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</si>
  <si>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</si>
  <si>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</si>
  <si>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</si>
  <si>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</si>
  <si>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</si>
  <si>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</si>
  <si>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</si>
  <si>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</si>
  <si>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</si>
  <si>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</si>
  <si>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</si>
  <si>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</si>
  <si>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</si>
  <si>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</si>
  <si>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</si>
  <si>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</si>
  <si>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</si>
  <si>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</si>
  <si>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</si>
  <si>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</si>
  <si>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</si>
  <si>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</si>
  <si>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</si>
  <si>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</si>
  <si>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</si>
  <si>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</si>
  <si>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</si>
  <si>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</si>
  <si>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</si>
  <si>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</si>
  <si>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</si>
  <si>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</si>
  <si>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</si>
  <si>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</si>
  <si>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</si>
  <si>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</si>
  <si>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</si>
  <si>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</si>
  <si>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</si>
  <si>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</si>
  <si>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</si>
  <si>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</si>
  <si>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</si>
  <si>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</si>
  <si>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</si>
  <si>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</si>
  <si>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</si>
  <si>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</si>
  <si>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</si>
  <si>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</si>
  <si>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</si>
  <si>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</si>
  <si>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</si>
  <si>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</si>
  <si>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</si>
  <si>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</si>
  <si>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</si>
  <si>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</si>
  <si>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</si>
  <si>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</si>
  <si>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</si>
  <si>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</si>
  <si>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</si>
  <si>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</si>
  <si>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</si>
  <si>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</si>
  <si>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</si>
  <si>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</si>
  <si>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</si>
  <si>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</si>
  <si>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</si>
  <si>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</si>
  <si>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</si>
  <si>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</si>
  <si>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</si>
  <si>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</si>
  <si>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</si>
  <si>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</si>
  <si>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</si>
  <si>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</si>
  <si>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</si>
  <si>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</si>
  <si>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</si>
  <si>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</si>
  <si>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</si>
  <si>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</si>
  <si>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</si>
  <si>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</si>
  <si>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</si>
  <si>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</si>
  <si>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</si>
  <si>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</si>
  <si>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</si>
  <si>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</si>
  <si>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</si>
  <si>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</si>
  <si>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</si>
  <si>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</si>
  <si>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</si>
  <si>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</si>
  <si>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</si>
  <si>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</si>
  <si>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</si>
  <si>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</si>
  <si>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</si>
  <si>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</si>
  <si>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</si>
  <si>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</si>
  <si>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</si>
  <si>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</si>
  <si>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</si>
  <si>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</si>
  <si>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</si>
  <si>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</si>
  <si>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</si>
  <si>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</si>
  <si>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</si>
  <si>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</si>
  <si>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</si>
  <si>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</si>
  <si>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</si>
  <si>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</si>
  <si>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</si>
  <si>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</si>
  <si>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</si>
  <si>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</si>
  <si>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</si>
  <si>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</si>
  <si>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</si>
  <si>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</si>
  <si>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</si>
  <si>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</si>
  <si>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</si>
  <si>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</si>
  <si>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</si>
  <si>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</si>
  <si>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</si>
  <si>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</si>
  <si>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</si>
  <si>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</si>
  <si>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</si>
  <si>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</si>
  <si>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</si>
  <si>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</si>
  <si>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</si>
  <si>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</si>
  <si>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</si>
  <si>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</si>
  <si>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</si>
  <si>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</si>
  <si>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</si>
  <si>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</si>
  <si>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</si>
  <si>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</si>
  <si>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</si>
  <si>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</si>
  <si>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</si>
  <si>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</si>
  <si>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</si>
  <si>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</si>
  <si>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</si>
  <si>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</si>
  <si>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</si>
  <si>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</si>
  <si>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</si>
  <si>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</si>
  <si>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</si>
  <si>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</si>
  <si>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</si>
  <si>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</si>
  <si>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</si>
  <si>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</si>
  <si>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</si>
  <si>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</si>
  <si>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</si>
  <si>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</si>
  <si>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</si>
  <si>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</si>
  <si>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</si>
  <si>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</si>
  <si>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</si>
  <si>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</si>
  <si>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</si>
  <si>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</si>
  <si>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</si>
  <si>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</si>
  <si>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</si>
  <si>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</si>
  <si>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</si>
  <si>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</si>
  <si>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</si>
  <si>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</si>
  <si>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</si>
  <si>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</si>
  <si>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</si>
  <si>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</si>
  <si>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</si>
  <si>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</si>
  <si>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</si>
  <si>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</si>
  <si>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</si>
  <si>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</si>
  <si>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</si>
  <si>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</si>
  <si>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</si>
  <si>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</si>
  <si>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</si>
  <si>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</si>
  <si>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</si>
  <si>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</si>
  <si>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</si>
  <si>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</si>
  <si>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</si>
  <si>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</si>
  <si>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</si>
  <si>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</si>
  <si>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</si>
  <si>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</si>
  <si>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</si>
  <si>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</si>
  <si>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</si>
  <si>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</si>
  <si>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</si>
  <si>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</si>
  <si>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</si>
  <si>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</si>
  <si>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</si>
  <si>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</si>
  <si>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</si>
  <si>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</si>
  <si>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</si>
  <si>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</si>
  <si>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</si>
  <si>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</si>
  <si>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</si>
  <si>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</si>
  <si>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</si>
  <si>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</si>
  <si>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</si>
  <si>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</si>
  <si>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</si>
  <si>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</si>
  <si>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</si>
  <si>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</si>
  <si>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</si>
  <si>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</si>
  <si>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</si>
  <si>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</si>
  <si>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</si>
  <si>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</si>
  <si>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</si>
  <si>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</si>
  <si>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</si>
  <si>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</si>
  <si>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</si>
  <si>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</si>
  <si>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</si>
  <si>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</si>
  <si>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</si>
  <si>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</si>
  <si>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</si>
  <si>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</si>
  <si>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</si>
  <si>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</si>
  <si>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</si>
  <si>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</si>
  <si>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</si>
  <si>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</si>
  <si>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</si>
  <si>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</si>
  <si>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</si>
  <si>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</si>
  <si>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</si>
  <si>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</si>
  <si>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</si>
  <si>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</si>
  <si>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</si>
  <si>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</si>
  <si>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</si>
  <si>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</si>
  <si>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</si>
  <si>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</si>
  <si>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</si>
  <si>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</si>
  <si>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</si>
  <si>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</si>
  <si>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</si>
  <si>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</si>
  <si>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</si>
  <si>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</si>
  <si>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</si>
  <si>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</si>
  <si>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</si>
  <si>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</si>
  <si>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</si>
  <si>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</si>
  <si>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</si>
  <si>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</si>
  <si>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</si>
  <si>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</si>
  <si>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</si>
  <si>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</si>
  <si>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</si>
  <si>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</si>
  <si>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</si>
  <si>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</si>
  <si>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</si>
  <si>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</si>
  <si>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</si>
  <si>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</si>
  <si>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</si>
  <si>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</si>
  <si>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</si>
  <si>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</si>
  <si>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</si>
  <si>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</si>
  <si>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</si>
  <si>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</si>
  <si>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</si>
  <si>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</si>
  <si>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</si>
  <si>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</si>
  <si>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</si>
  <si>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</si>
  <si>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</si>
  <si>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</si>
  <si>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</si>
  <si>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</si>
  <si>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</si>
  <si>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</si>
  <si>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</si>
  <si>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</si>
  <si>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</si>
  <si>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</si>
  <si>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</si>
  <si>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</si>
  <si>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</si>
  <si>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</si>
  <si>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</si>
  <si>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</si>
  <si>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</si>
  <si>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</si>
  <si>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</si>
  <si>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</si>
  <si>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</si>
  <si>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</si>
  <si>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</si>
  <si>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</si>
  <si>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</si>
  <si>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</si>
  <si>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</si>
  <si>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</si>
  <si>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</si>
  <si>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</si>
  <si>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</si>
  <si>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</si>
  <si>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</si>
  <si>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</si>
  <si>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</si>
  <si>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</si>
  <si>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</si>
  <si>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</si>
  <si>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</si>
  <si>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</si>
  <si>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</si>
  <si>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</si>
  <si>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</si>
  <si>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</si>
  <si>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</si>
  <si>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</si>
  <si>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</si>
  <si>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</si>
  <si>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</si>
  <si>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</si>
  <si>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</si>
  <si>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</si>
  <si>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</si>
  <si>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</si>
  <si>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</si>
  <si>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</si>
  <si>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</si>
  <si>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</si>
  <si>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</si>
  <si>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</si>
  <si>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</si>
  <si>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</si>
  <si>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</si>
  <si>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</si>
  <si>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</si>
  <si>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</si>
  <si>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</si>
  <si>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</si>
  <si>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</si>
  <si>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</si>
  <si>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</si>
  <si>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</si>
  <si>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</si>
  <si>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</si>
  <si>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</si>
  <si>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</si>
  <si>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</si>
  <si>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</si>
  <si>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</si>
  <si>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</si>
  <si>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</si>
  <si>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</si>
  <si>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</si>
  <si>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</si>
  <si>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</si>
  <si>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</si>
  <si>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</si>
  <si>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</si>
  <si>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</si>
  <si>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</si>
  <si>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</si>
  <si>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</si>
  <si>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</si>
  <si>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</si>
  <si>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</si>
  <si>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</si>
  <si>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</si>
  <si>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</si>
  <si>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</si>
  <si>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</si>
  <si>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</si>
  <si>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</si>
  <si>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</si>
  <si>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</si>
  <si>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</si>
  <si>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</si>
  <si>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</si>
  <si>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</si>
  <si>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</si>
  <si>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</si>
  <si>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</si>
  <si>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</si>
  <si>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</si>
  <si>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</si>
  <si>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</si>
  <si>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</si>
  <si>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</si>
  <si>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</si>
  <si>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</si>
  <si>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</si>
  <si>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</si>
  <si>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</si>
  <si>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</si>
  <si>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</si>
  <si>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</si>
  <si>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</si>
  <si>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</si>
  <si>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</si>
  <si>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</si>
  <si>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</si>
  <si>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</si>
  <si>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</si>
  <si>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</si>
  <si>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</si>
  <si>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</si>
  <si>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</si>
  <si>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</si>
  <si>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</si>
  <si>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</si>
  <si>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</si>
  <si>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</si>
  <si>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</si>
  <si>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</si>
  <si>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</si>
  <si>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</si>
  <si>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</si>
  <si>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</si>
  <si>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</si>
  <si>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</si>
  <si>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</si>
  <si>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</si>
  <si>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</si>
  <si>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</si>
  <si>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</si>
  <si>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</si>
  <si>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</si>
  <si>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</si>
  <si>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</si>
  <si>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</si>
  <si>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</si>
  <si>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</si>
  <si>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</si>
  <si>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</si>
  <si>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</si>
  <si>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</si>
  <si>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</si>
  <si>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</si>
  <si>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</si>
  <si>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</si>
  <si>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</si>
  <si>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</si>
  <si>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</si>
  <si>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</si>
  <si>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</si>
  <si>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</si>
  <si>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</si>
  <si>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</si>
  <si>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</si>
  <si>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</si>
  <si>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</si>
  <si>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</si>
  <si>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</si>
  <si>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</si>
  <si>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</si>
  <si>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</si>
  <si>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</si>
  <si>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</si>
  <si>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</si>
  <si>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</si>
  <si>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</si>
  <si>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</si>
  <si>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</si>
  <si>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</si>
  <si>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</si>
  <si>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</si>
  <si>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</si>
  <si>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</si>
  <si>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</si>
  <si>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</si>
  <si>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</si>
  <si>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</si>
  <si>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</si>
  <si>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</si>
  <si>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</si>
  <si>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</si>
  <si>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</si>
  <si>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</si>
  <si>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</si>
  <si>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</si>
  <si>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</si>
  <si>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</si>
  <si>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</si>
  <si>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</si>
  <si>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</si>
  <si>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</si>
  <si>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</si>
  <si>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</si>
  <si>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</si>
  <si>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</si>
  <si>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</si>
  <si>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</si>
  <si>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</si>
  <si>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</si>
  <si>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</si>
  <si>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</si>
  <si>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</si>
  <si>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</si>
  <si>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</si>
  <si>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</si>
  <si>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</si>
  <si>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</si>
  <si>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</si>
  <si>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</si>
  <si>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</si>
  <si>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</si>
  <si>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</si>
  <si>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</si>
  <si>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</si>
  <si>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</si>
  <si>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</si>
  <si>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</si>
  <si>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</si>
  <si>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</si>
  <si>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</si>
  <si>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</si>
  <si>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</si>
  <si>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</si>
  <si>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</si>
  <si>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</si>
  <si>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</si>
  <si>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</si>
  <si>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</si>
  <si>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</si>
  <si>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</si>
  <si>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</si>
  <si>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</si>
  <si>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</si>
  <si>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</si>
  <si>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</si>
  <si>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</si>
  <si>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</si>
  <si>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</si>
  <si>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</si>
  <si>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</si>
  <si>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</si>
  <si>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</si>
  <si>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</si>
  <si>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</si>
  <si>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</si>
  <si>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</si>
  <si>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</si>
  <si>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</si>
  <si>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</si>
  <si>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</si>
  <si>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</si>
  <si>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</si>
  <si>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</si>
  <si>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</si>
  <si>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</si>
  <si>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</si>
  <si>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</si>
  <si>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</si>
  <si>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</si>
  <si>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</si>
  <si>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</si>
  <si>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</si>
  <si>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</si>
  <si>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</si>
  <si>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</si>
  <si>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</si>
  <si>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</si>
  <si>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</si>
  <si>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</si>
  <si>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</si>
  <si>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</si>
  <si>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</si>
  <si>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</si>
  <si>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</si>
  <si>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</si>
  <si>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</si>
  <si>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</si>
  <si>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</si>
  <si>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</si>
  <si>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</si>
  <si>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</si>
  <si>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</si>
  <si>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</si>
  <si>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</si>
  <si>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</si>
  <si>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</si>
  <si>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</si>
  <si>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</si>
  <si>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</si>
  <si>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</si>
  <si>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</si>
  <si>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</si>
  <si>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</si>
  <si>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</si>
  <si>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</si>
  <si>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</si>
  <si>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</si>
  <si>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</si>
  <si>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</si>
  <si>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</si>
  <si>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</si>
  <si>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</si>
  <si>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</si>
  <si>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</si>
  <si>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</si>
  <si>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</si>
  <si>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</si>
  <si>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</si>
  <si>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</si>
  <si>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</si>
  <si>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</si>
  <si>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</si>
  <si>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</si>
  <si>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</si>
  <si>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</si>
  <si>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</si>
  <si>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</si>
  <si>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</si>
  <si>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</si>
  <si>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</si>
  <si>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</si>
  <si>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</si>
  <si>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</si>
  <si>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</si>
  <si>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</si>
  <si>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</si>
  <si>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</si>
  <si>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</si>
  <si>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</si>
  <si>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</si>
  <si>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</si>
  <si>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</si>
  <si>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</si>
  <si>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</si>
  <si>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</si>
  <si>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</si>
  <si>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</si>
  <si>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</si>
  <si>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</si>
  <si>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</si>
  <si>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</si>
  <si>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</si>
  <si>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</si>
  <si>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</si>
  <si>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</si>
  <si>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</si>
  <si>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</si>
  <si>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</si>
  <si>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</si>
  <si>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</si>
  <si>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</si>
  <si>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</si>
  <si>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</si>
  <si>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</si>
  <si>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</si>
  <si>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</si>
  <si>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</si>
  <si>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</si>
  <si>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</si>
  <si>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</si>
  <si>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</si>
  <si>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</si>
  <si>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</si>
  <si>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</si>
  <si>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</si>
  <si>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</si>
  <si>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</si>
  <si>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</si>
  <si>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</si>
  <si>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</si>
  <si>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</si>
  <si>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</si>
  <si>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</si>
  <si>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</si>
  <si>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</si>
  <si>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</si>
  <si>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</si>
  <si>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</si>
  <si>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</si>
  <si>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</si>
  <si>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</si>
  <si>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</si>
  <si>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</si>
  <si>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</si>
  <si>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</si>
  <si>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</si>
  <si>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</si>
  <si>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</si>
  <si>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</si>
  <si>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</si>
  <si>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</si>
  <si>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</si>
  <si>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</si>
  <si>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</si>
  <si>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</si>
  <si>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</si>
  <si>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</si>
  <si>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</si>
  <si>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</si>
  <si>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</si>
  <si>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</si>
  <si>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</si>
  <si>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</si>
  <si>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</si>
  <si>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</si>
  <si>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</si>
  <si>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</si>
  <si>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</si>
  <si>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</si>
  <si>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</si>
  <si>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</si>
  <si>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</si>
  <si>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</si>
  <si>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</si>
  <si>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</si>
  <si>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</si>
  <si>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</si>
  <si>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</si>
  <si>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</si>
  <si>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</si>
  <si>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</si>
  <si>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</si>
  <si>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</si>
  <si>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</si>
  <si>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</si>
  <si>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</si>
  <si>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</si>
  <si>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</si>
  <si>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</si>
  <si>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</si>
  <si>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</si>
  <si>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</si>
  <si>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</si>
  <si>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</si>
  <si>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</si>
  <si>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</si>
  <si>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</si>
  <si>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</si>
  <si>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</si>
  <si>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</si>
  <si>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</si>
  <si>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</si>
  <si>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</si>
  <si>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</si>
  <si>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</si>
  <si>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</si>
  <si>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</si>
  <si>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</si>
  <si>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</si>
  <si>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</si>
  <si>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</si>
  <si>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</si>
  <si>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</si>
  <si>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</si>
  <si>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</si>
  <si>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</si>
  <si>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</si>
  <si>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</si>
  <si>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</si>
  <si>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</si>
  <si>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</si>
  <si>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</si>
  <si>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</si>
  <si>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</si>
  <si>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</si>
  <si>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</si>
  <si>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</si>
  <si>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</si>
  <si>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</si>
  <si>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</si>
  <si>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</si>
  <si>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</si>
  <si>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</si>
  <si>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</si>
  <si>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</si>
  <si>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</si>
  <si>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</si>
  <si>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</si>
  <si>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</si>
  <si>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</si>
  <si>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</si>
  <si>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</si>
  <si>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</si>
  <si>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</si>
  <si>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</si>
  <si>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</si>
  <si>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</si>
  <si>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</si>
  <si>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</si>
  <si>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</si>
  <si>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</si>
  <si>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</si>
  <si>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</si>
  <si>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</si>
  <si>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</si>
  <si>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</si>
  <si>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</si>
  <si>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</si>
  <si>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</si>
  <si>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</si>
  <si>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</si>
  <si>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</si>
  <si>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</si>
  <si>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</si>
  <si>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</si>
  <si>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</si>
  <si>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</si>
  <si>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</si>
  <si>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</si>
  <si>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</si>
  <si>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</si>
  <si>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</si>
  <si>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</si>
  <si>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</si>
  <si>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</si>
  <si>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</si>
  <si>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</si>
  <si>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</si>
  <si>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</si>
  <si>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</si>
  <si>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</si>
  <si>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</si>
  <si>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</si>
  <si>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</si>
  <si>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</si>
  <si>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</si>
  <si>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</si>
  <si>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</si>
  <si>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</si>
  <si>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</si>
  <si>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</si>
  <si>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</si>
  <si>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</si>
  <si>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</si>
  <si>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</si>
  <si>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</si>
  <si>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</si>
  <si>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</si>
  <si>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</si>
  <si>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</si>
  <si>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</si>
  <si>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</si>
  <si>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</si>
  <si>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</si>
  <si>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</si>
  <si>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</si>
  <si>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</si>
  <si>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</si>
  <si>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</si>
  <si>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</si>
  <si>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</si>
  <si>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</si>
  <si>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</si>
  <si>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</si>
  <si>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</si>
  <si>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</si>
  <si>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</si>
  <si>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</si>
  <si>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</si>
  <si>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</si>
  <si>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</si>
  <si>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</si>
  <si>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</si>
  <si>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</si>
  <si>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</si>
  <si>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</si>
  <si>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</si>
  <si>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</si>
  <si>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</si>
  <si>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</si>
  <si>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</si>
  <si>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</si>
  <si>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</si>
  <si>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</si>
  <si>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</si>
  <si>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</si>
  <si>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</si>
  <si>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</si>
  <si>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</si>
  <si>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</si>
  <si>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</si>
  <si>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</si>
  <si>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</si>
  <si>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</si>
  <si>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</si>
  <si>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</si>
  <si>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11/09</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</si>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</sst>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1477</v>
      </c>
      <c r="B2">
        <f>INDEX('School Tables'!$AH$3:$AH$209,MATCH('DOE25'!A2,'School Tables'!$AJ$3:$AJ$209,0))</f>
        <v>582</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3706011</v>
      </c>
      <c r="G9" s="18">
        <f>545935+400+83870-335273</f>
        <v>294932</v>
      </c>
      <c r="H9" s="18">
        <v>18649</v>
      </c>
      <c r="I9" s="18"/>
      <c r="J9" s="13">
        <f>SUM(I440)</f>
        <v>2180998</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906681</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72968</v>
      </c>
      <c r="G13" s="18">
        <v>67030</v>
      </c>
      <c r="H13" s="18">
        <v>556556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212075</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4897735</v>
      </c>
      <c r="G19" s="38">
        <f>SUM(G9:G18)</f>
        <v>361962</v>
      </c>
      <c r="H19" s="38">
        <f>SUM(H9:H18)</f>
        <v>575205</v>
      </c>
      <c r="I19" s="38">
        <f>SUM(I9:I18)</f>
        <v>0</v>
      </c>
      <c r="J19" s="38">
        <f>SUM(J9:J18)</f>
        <v>2180998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556556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585817</v>
      </c>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112684</v>
      </c>
      <c r="G24" s="18">
        <v>16863</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93170</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428636</v>
      </c>
      <c r="G30" s="18"/>
      <c r="H30" s="18">
        <v>18649</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1220307</v>
      </c>
      <c r="G32" s="38">
        <f>SUM(G22:G31)</f>
        <v>16863</v>
      </c>
      <c r="H32" s="38">
        <f>SUM(H22:H31)</f>
        <v>575205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463410+754256-872567</f>
        <v>345099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41000</v>
      </c>
      <c r="G48" s="18"/>
      <c r="H48" s="18"/>
      <c r="I48" s="18"/>
      <c r="J48" s="13">
        <f>SUM(I460)</f>
        <v>2180998</v>
      </c>
      <c r="K48" s="23" t="s">
        <v>288</v>
      </c>
      <c r="L48" s="23" t="s">
        <v>288</v>
      </c>
      <c r="M48" s="8"/>
      <c r="N48" s="165"/>
    </row>
    <row r="49" spans="1:14" s="3" customFormat="1" ht="12.2" customHeight="1" x14ac:dyDescent="0.15">
      <c r="A49" s="1" t="s">
        <v>858</v>
      </c>
      <c r="B49" s="2" t="s">
        <v>289</v>
      </c>
      <c r="C49" s="6">
        <v>34</v>
      </c>
      <c r="D49" s="2"/>
      <c r="E49" s="6">
        <v>753</v>
      </c>
      <c r="F49" s="18">
        <v>821000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1500966+26022768-24667306-F48</f>
        <v>2815428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3677428</v>
      </c>
      <c r="G51" s="38">
        <f>SUM(G35:G50)</f>
        <v>345099</v>
      </c>
      <c r="H51" s="38">
        <f>SUM(H35:H50)</f>
        <v>0</v>
      </c>
      <c r="I51" s="38">
        <f>SUM(I35:I50)</f>
        <v>0</v>
      </c>
      <c r="J51" s="38">
        <f>SUM(J35:J50)</f>
        <v>2180998</v>
      </c>
      <c r="K51" s="42" t="s">
        <v>288</v>
      </c>
      <c r="L51" s="42" t="s">
        <v>288</v>
      </c>
      <c r="N51" s="131"/>
    </row>
    <row r="52" spans="1:14" s="3" customFormat="1" ht="12.2" customHeight="1" thickTop="1" x14ac:dyDescent="0.15">
      <c r="A52" s="35" t="s">
        <v>455</v>
      </c>
      <c r="B52" s="36" t="s">
        <v>289</v>
      </c>
      <c r="C52" s="6">
        <v>37</v>
      </c>
      <c r="D52" s="36" t="s">
        <v>653</v>
      </c>
      <c r="E52" s="36"/>
      <c r="F52" s="38">
        <f>F51+F32</f>
        <v>4897735</v>
      </c>
      <c r="G52" s="38">
        <f>G51+G32</f>
        <v>361962</v>
      </c>
      <c r="H52" s="38">
        <f>H51+H32</f>
        <v>575205</v>
      </c>
      <c r="I52" s="38">
        <f>I51+I32</f>
        <v>0</v>
      </c>
      <c r="J52" s="38">
        <f>J51+J32</f>
        <v>2180998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14680632</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14680632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16876</f>
        <v>16876</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9224</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20018</v>
      </c>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46118</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213223+1019</f>
        <v>214242</v>
      </c>
      <c r="G96" s="18"/>
      <c r="H96" s="18"/>
      <c r="I96" s="18"/>
      <c r="J96" s="18">
        <f>H394</f>
        <v>65111</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305139+12587+19277</f>
        <v>337003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f>39472+1962</f>
        <v>41434</v>
      </c>
      <c r="G102" s="18">
        <v>3993</v>
      </c>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v>8200</v>
      </c>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99413</v>
      </c>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53323</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109935-F109-7801</f>
        <v>48811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457223</v>
      </c>
      <c r="G111" s="38">
        <f>SUM(G96:G110)</f>
        <v>349196</v>
      </c>
      <c r="H111" s="38">
        <f>SUM(H96:H110)</f>
        <v>0</v>
      </c>
      <c r="I111" s="38">
        <f>SUM(I96:I110)</f>
        <v>0</v>
      </c>
      <c r="J111" s="38">
        <f>SUM(J96:J110)</f>
        <v>65111</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15183973</v>
      </c>
      <c r="G112" s="38">
        <f>G60+G111</f>
        <v>349196</v>
      </c>
      <c r="H112" s="38">
        <f>H60+H79+H94+H111</f>
        <v>0</v>
      </c>
      <c r="I112" s="38">
        <f>I60+I111</f>
        <v>0</v>
      </c>
      <c r="J112" s="38">
        <f>J60+J111</f>
        <v>65111</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7602998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2030873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21497+151971</f>
        <v>173468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9807339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135229</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50616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36154</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15802</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7643</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237801</v>
      </c>
      <c r="G136" s="38">
        <f>SUM(G123:G135)</f>
        <v>7643</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10045140</v>
      </c>
      <c r="G140" s="38">
        <f>G121+SUM(G136:G137)</f>
        <v>7643</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606114+630</f>
        <v>606744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25229+91242+46275-30</f>
        <v>162716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19748</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384024+13393</f>
        <v>397417</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470254</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295919</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4415+4567+4683+3689</f>
        <v>17354</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712097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295919</v>
      </c>
      <c r="G163" s="38">
        <f>SUM(G150:G162)</f>
        <v>397417</v>
      </c>
      <c r="H163" s="38">
        <f>SUM(H150:H162)</f>
        <v>1988913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295919</v>
      </c>
      <c r="G170" s="38">
        <f>G147+G163+SUM(G164:G169)</f>
        <v>397417</v>
      </c>
      <c r="H170" s="38">
        <f>H147+H163+SUM(H164:H169)</f>
        <v>1988913</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500000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489935</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489935</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489935</v>
      </c>
      <c r="G193" s="38">
        <f>G184+SUM(G189:G192)</f>
        <v>0</v>
      </c>
      <c r="H193" s="38">
        <f>+H184+SUM(H189:H192)</f>
        <v>0</v>
      </c>
      <c r="I193" s="38">
        <f>I178+I184+SUM(I189:I192)</f>
        <v>0</v>
      </c>
      <c r="J193" s="38">
        <f>J184</f>
        <v>500000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26014967</v>
      </c>
      <c r="G194" s="38">
        <f>G112+G140+G170+G193</f>
        <v>754256</v>
      </c>
      <c r="H194" s="38">
        <f>H112+H140+H170+H193</f>
        <v>1988913</v>
      </c>
      <c r="I194" s="38">
        <f>I112+I140+I170+I193</f>
        <v>0</v>
      </c>
      <c r="J194" s="38">
        <f>J112+J140+J193</f>
        <v>565111</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2153463</v>
      </c>
      <c r="G198" s="18">
        <f>269+416839+618673+1263+6410</f>
        <v>1043454</v>
      </c>
      <c r="H198" s="18">
        <f>125+399+140</f>
        <v>664</v>
      </c>
      <c r="I198" s="18">
        <f>1790+21781+463+2098+42804</f>
        <v>68936</v>
      </c>
      <c r="J198" s="18">
        <f>3940+11368</f>
        <v>15308</v>
      </c>
      <c r="K198" s="18"/>
      <c r="L198" s="13">
        <f>SUM(F198:K198)</f>
        <v>3281825</v>
      </c>
      <c r="M198" s="8"/>
      <c r="N198" s="165"/>
    </row>
    <row r="199" spans="1:14" s="3" customFormat="1" ht="12.2" customHeight="1" x14ac:dyDescent="0.15">
      <c r="A199" s="1" t="s">
        <v>439</v>
      </c>
      <c r="B199" s="2" t="s">
        <v>341</v>
      </c>
      <c r="C199" s="2" t="s">
        <v>291</v>
      </c>
      <c r="D199" s="2" t="s">
        <v>431</v>
      </c>
      <c r="E199" s="6">
        <v>1200</v>
      </c>
      <c r="F199" s="18">
        <f>673053+130393+18771</f>
        <v>822217</v>
      </c>
      <c r="G199" s="18">
        <f>278942+69440+4443</f>
        <v>352825</v>
      </c>
      <c r="H199" s="18">
        <f>942152</f>
        <v>942152</v>
      </c>
      <c r="I199" s="18">
        <f>2822+1035+5925</f>
        <v>9782</v>
      </c>
      <c r="J199" s="18">
        <f>752</f>
        <v>752</v>
      </c>
      <c r="K199" s="18">
        <f>752</f>
        <v>752</v>
      </c>
      <c r="L199" s="13">
        <f>SUM(F199:K199)</f>
        <v>2128480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f>20351+15363</f>
        <v>35714</v>
      </c>
      <c r="G201" s="18">
        <f>5621+1111+3198</f>
        <v>9930</v>
      </c>
      <c r="H201" s="18"/>
      <c r="I201" s="18"/>
      <c r="J201" s="18"/>
      <c r="K201" s="18"/>
      <c r="L201" s="13">
        <f>SUM(F201:K201)</f>
        <v>45644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323703+14771</f>
        <v>338474</v>
      </c>
      <c r="G203" s="18">
        <f>167374+6890-3</f>
        <v>174261</v>
      </c>
      <c r="H203" s="18">
        <f>165+3328+2146</f>
        <v>5639</v>
      </c>
      <c r="I203" s="18">
        <f>3556+3828</f>
        <v>7384</v>
      </c>
      <c r="J203" s="18"/>
      <c r="K203" s="18">
        <f>558</f>
        <v>558</v>
      </c>
      <c r="L203" s="13">
        <f t="shared" ref="L203:L209" si="0">SUM(F203:K203)</f>
        <v>526316</v>
      </c>
      <c r="M203" s="8"/>
      <c r="N203" s="165"/>
    </row>
    <row r="204" spans="1:14" s="3" customFormat="1" ht="12.2" customHeight="1" x14ac:dyDescent="0.15">
      <c r="A204" s="1" t="s">
        <v>443</v>
      </c>
      <c r="B204" s="2" t="s">
        <v>341</v>
      </c>
      <c r="C204" s="2" t="s">
        <v>295</v>
      </c>
      <c r="D204" s="2" t="s">
        <v>431</v>
      </c>
      <c r="E204" s="6">
        <v>2200</v>
      </c>
      <c r="F204" s="18">
        <f>98403+44957</f>
        <v>143360</v>
      </c>
      <c r="G204" s="18">
        <f>40804+45494</f>
        <v>86298</v>
      </c>
      <c r="H204" s="18">
        <f>7740</f>
        <v>7740</v>
      </c>
      <c r="I204" s="18">
        <f>4332+341+72093</f>
        <v>76766</v>
      </c>
      <c r="J204" s="18">
        <f>35</f>
        <v>35</v>
      </c>
      <c r="K204" s="18">
        <f>489</f>
        <v>489</v>
      </c>
      <c r="L204" s="13">
        <f t="shared" si="0"/>
        <v>314688</v>
      </c>
      <c r="M204" s="8"/>
      <c r="N204" s="165"/>
    </row>
    <row r="205" spans="1:14" s="3" customFormat="1" ht="12.2" customHeight="1" x14ac:dyDescent="0.15">
      <c r="A205" s="1" t="s">
        <v>444</v>
      </c>
      <c r="B205" s="2" t="s">
        <v>341</v>
      </c>
      <c r="C205" s="2" t="s">
        <v>296</v>
      </c>
      <c r="D205" s="2" t="s">
        <v>431</v>
      </c>
      <c r="E205" s="6">
        <v>2300</v>
      </c>
      <c r="F205" s="18">
        <f>38377+167849+84200</f>
        <v>290426</v>
      </c>
      <c r="G205" s="18">
        <f>20801+90001+32450</f>
        <v>143252</v>
      </c>
      <c r="H205" s="18">
        <f>76663+74533-13913</f>
        <v>137283</v>
      </c>
      <c r="I205" s="18">
        <f>31795+41278</f>
        <v>73073</v>
      </c>
      <c r="J205" s="18">
        <f>15815+25374+72</f>
        <v>41261</v>
      </c>
      <c r="K205" s="18">
        <f>1455+3472</f>
        <v>4927</v>
      </c>
      <c r="L205" s="13">
        <f t="shared" si="0"/>
        <v>690222</v>
      </c>
      <c r="M205" s="8"/>
      <c r="N205" s="165"/>
    </row>
    <row r="206" spans="1:14" s="3" customFormat="1" ht="12.2" customHeight="1" x14ac:dyDescent="0.15">
      <c r="A206" s="1" t="s">
        <v>445</v>
      </c>
      <c r="B206" s="2" t="s">
        <v>341</v>
      </c>
      <c r="C206" s="2" t="s">
        <v>297</v>
      </c>
      <c r="D206" s="2" t="s">
        <v>431</v>
      </c>
      <c r="E206" s="6">
        <v>2400</v>
      </c>
      <c r="F206" s="18">
        <f>1940+138007+204646</f>
        <v>344593</v>
      </c>
      <c r="G206" s="18">
        <f>148+273+49808+123516</f>
        <v>173745</v>
      </c>
      <c r="H206" s="18">
        <f>3641+2151</f>
        <v>5792</v>
      </c>
      <c r="I206" s="18">
        <f>167+1891</f>
        <v>2058</v>
      </c>
      <c r="J206" s="18"/>
      <c r="K206" s="18">
        <f>908</f>
        <v>908</v>
      </c>
      <c r="L206" s="13">
        <f t="shared" si="0"/>
        <v>527096</v>
      </c>
      <c r="M206" s="8"/>
      <c r="N206" s="165"/>
    </row>
    <row r="207" spans="1:14" s="3" customFormat="1" ht="12.2" customHeight="1" x14ac:dyDescent="0.15">
      <c r="A207" s="1" t="s">
        <v>446</v>
      </c>
      <c r="B207" s="2" t="s">
        <v>341</v>
      </c>
      <c r="C207" s="2" t="s">
        <v>298</v>
      </c>
      <c r="D207" s="2" t="s">
        <v>431</v>
      </c>
      <c r="E207" s="6">
        <v>2500</v>
      </c>
      <c r="F207" s="18">
        <f>129112+84025</f>
        <v>213137</v>
      </c>
      <c r="G207" s="18">
        <f>27286+40396</f>
        <v>67682</v>
      </c>
      <c r="H207" s="18"/>
      <c r="I207" s="18"/>
      <c r="J207" s="18"/>
      <c r="K207" s="18"/>
      <c r="L207" s="13">
        <f t="shared" si="0"/>
        <v>280819</v>
      </c>
      <c r="M207" s="8"/>
      <c r="N207" s="165"/>
    </row>
    <row r="208" spans="1:14" s="3" customFormat="1" ht="12.2" customHeight="1" x14ac:dyDescent="0.15">
      <c r="A208" s="1" t="s">
        <v>447</v>
      </c>
      <c r="B208" s="2" t="s">
        <v>341</v>
      </c>
      <c r="C208" s="2" t="s">
        <v>299</v>
      </c>
      <c r="D208" s="2" t="s">
        <v>431</v>
      </c>
      <c r="E208" s="6">
        <v>2600</v>
      </c>
      <c r="F208" s="18">
        <f>1244+83847+78027+127049</f>
        <v>290167</v>
      </c>
      <c r="G208" s="18">
        <f>270+45017+36582+67758</f>
        <v>149627</v>
      </c>
      <c r="H208" s="18">
        <f>69696+10315+25472+57232+72278</f>
        <v>234993</v>
      </c>
      <c r="I208" s="18">
        <f>25727+65034+2200+93474+1930+2226</f>
        <v>190591</v>
      </c>
      <c r="J208" s="18">
        <f>543+507</f>
        <v>1050</v>
      </c>
      <c r="K208" s="18">
        <f>752</f>
        <v>752</v>
      </c>
      <c r="L208" s="13">
        <f t="shared" si="0"/>
        <v>867180</v>
      </c>
      <c r="M208" s="8"/>
      <c r="N208" s="165"/>
    </row>
    <row r="209" spans="1:14" s="3" customFormat="1" ht="12.2" customHeight="1" x14ac:dyDescent="0.15">
      <c r="A209" s="1" t="s">
        <v>448</v>
      </c>
      <c r="B209" s="2" t="s">
        <v>341</v>
      </c>
      <c r="C209" s="2" t="s">
        <v>300</v>
      </c>
      <c r="D209" s="2" t="s">
        <v>431</v>
      </c>
      <c r="E209" s="6">
        <v>2700</v>
      </c>
      <c r="F209" s="18"/>
      <c r="G209" s="18"/>
      <c r="H209" s="18">
        <f>1770+2966+439685</f>
        <v>444421</v>
      </c>
      <c r="I209" s="18">
        <f>41933</f>
        <v>41933</v>
      </c>
      <c r="J209" s="18"/>
      <c r="K209" s="18"/>
      <c r="L209" s="13">
        <f t="shared" si="0"/>
        <v>486354</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4631551</v>
      </c>
      <c r="G212" s="38">
        <f t="shared" si="1"/>
        <v>2201074</v>
      </c>
      <c r="H212" s="38">
        <f t="shared" si="1"/>
        <v>1778684</v>
      </c>
      <c r="I212" s="38">
        <f t="shared" si="1"/>
        <v>470523</v>
      </c>
      <c r="J212" s="38">
        <f t="shared" si="1"/>
        <v>58406</v>
      </c>
      <c r="K212" s="38">
        <f t="shared" si="1"/>
        <v>8386</v>
      </c>
      <c r="L212" s="38">
        <f t="shared" si="1"/>
        <v>9148624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1697611</f>
        <v>1697611</v>
      </c>
      <c r="G216" s="18">
        <f>846973</f>
        <v>846973</v>
      </c>
      <c r="H216" s="18">
        <f>327</f>
        <v>327</v>
      </c>
      <c r="I216" s="18">
        <f>38768</f>
        <v>38768</v>
      </c>
      <c r="J216" s="18">
        <f>25671</f>
        <v>25671</v>
      </c>
      <c r="K216" s="18">
        <f>229</f>
        <v>229</v>
      </c>
      <c r="L216" s="13">
        <f>SUM(F216:K216)</f>
        <v>2609579</v>
      </c>
      <c r="M216" s="8"/>
      <c r="N216" s="165"/>
    </row>
    <row r="217" spans="1:14" s="3" customFormat="1" ht="12.2" customHeight="1" x14ac:dyDescent="0.15">
      <c r="A217" s="1" t="s">
        <v>439</v>
      </c>
      <c r="B217" s="2" t="s">
        <v>346</v>
      </c>
      <c r="C217" s="2" t="s">
        <v>291</v>
      </c>
      <c r="D217" s="2" t="s">
        <v>431</v>
      </c>
      <c r="E217" s="6">
        <v>1200</v>
      </c>
      <c r="F217" s="18">
        <f>311949+14107</f>
        <v>326056</v>
      </c>
      <c r="G217" s="18">
        <f>131595+3339-1315</f>
        <v>133619</v>
      </c>
      <c r="H217" s="18">
        <f>708084</f>
        <v>708084</v>
      </c>
      <c r="I217" s="18">
        <f>4453</f>
        <v>4453</v>
      </c>
      <c r="J217" s="18">
        <f>565</f>
        <v>565</v>
      </c>
      <c r="K217" s="18">
        <f>565</f>
        <v>565</v>
      </c>
      <c r="L217" s="13">
        <f>SUM(F217:K217)</f>
        <v>1173342</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f>92180</f>
        <v>92180</v>
      </c>
      <c r="G219" s="18">
        <f>24557+167</f>
        <v>24724</v>
      </c>
      <c r="H219" s="18">
        <f>21828</f>
        <v>21828</v>
      </c>
      <c r="I219" s="18">
        <f>12618</f>
        <v>12618</v>
      </c>
      <c r="J219" s="18">
        <f>13075</f>
        <v>13075</v>
      </c>
      <c r="K219" s="18">
        <f>2038</f>
        <v>2038</v>
      </c>
      <c r="L219" s="13">
        <f>SUM(F219:K219)</f>
        <v>166463</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222362+11101</f>
        <v>233463</v>
      </c>
      <c r="G221" s="18">
        <f>106203+5179</f>
        <v>111382</v>
      </c>
      <c r="H221" s="18">
        <f>31087+1613</f>
        <v>32700</v>
      </c>
      <c r="I221" s="18">
        <f>5497+2877</f>
        <v>8374</v>
      </c>
      <c r="J221" s="18"/>
      <c r="K221" s="18">
        <f>303</f>
        <v>303</v>
      </c>
      <c r="L221" s="13">
        <f t="shared" ref="L221:L227" si="2">SUM(F221:K221)</f>
        <v>386222</v>
      </c>
      <c r="M221" s="8"/>
      <c r="N221" s="165"/>
    </row>
    <row r="222" spans="1:14" s="3" customFormat="1" ht="12.2" customHeight="1" x14ac:dyDescent="0.15">
      <c r="A222" s="1" t="s">
        <v>443</v>
      </c>
      <c r="B222" s="2" t="s">
        <v>346</v>
      </c>
      <c r="C222" s="2" t="s">
        <v>295</v>
      </c>
      <c r="D222" s="2" t="s">
        <v>431</v>
      </c>
      <c r="E222" s="6">
        <v>2200</v>
      </c>
      <c r="F222" s="18">
        <f>89468+33788</f>
        <v>123256</v>
      </c>
      <c r="G222" s="18">
        <f>27011+34191</f>
        <v>61202</v>
      </c>
      <c r="H222" s="18">
        <f>691+5817</f>
        <v>6508</v>
      </c>
      <c r="I222" s="18">
        <f>8495+54182</f>
        <v>62677</v>
      </c>
      <c r="J222" s="18">
        <f>392</f>
        <v>392</v>
      </c>
      <c r="K222" s="18">
        <f>190+368</f>
        <v>558</v>
      </c>
      <c r="L222" s="13">
        <f t="shared" si="2"/>
        <v>254593</v>
      </c>
      <c r="M222" s="8"/>
      <c r="N222" s="165"/>
    </row>
    <row r="223" spans="1:14" s="3" customFormat="1" ht="12.2" customHeight="1" x14ac:dyDescent="0.15">
      <c r="A223" s="1" t="s">
        <v>444</v>
      </c>
      <c r="B223" s="2" t="s">
        <v>346</v>
      </c>
      <c r="C223" s="2" t="s">
        <v>296</v>
      </c>
      <c r="D223" s="2" t="s">
        <v>431</v>
      </c>
      <c r="E223" s="6">
        <v>2300</v>
      </c>
      <c r="F223" s="18">
        <f>28843+126149+63281</f>
        <v>218273</v>
      </c>
      <c r="G223" s="18">
        <f>15633+67642+24388</f>
        <v>107663</v>
      </c>
      <c r="H223" s="18">
        <f>57617+56016</f>
        <v>113633</v>
      </c>
      <c r="I223" s="18">
        <f>23896+31023</f>
        <v>54919</v>
      </c>
      <c r="J223" s="18">
        <f>2200+2200+19070+54</f>
        <v>23524</v>
      </c>
      <c r="K223" s="18">
        <f>1094+2610</f>
        <v>3704</v>
      </c>
      <c r="L223" s="13">
        <f t="shared" si="2"/>
        <v>521716</v>
      </c>
      <c r="M223" s="8"/>
      <c r="N223" s="165"/>
    </row>
    <row r="224" spans="1:14" s="3" customFormat="1" ht="12.2" customHeight="1" x14ac:dyDescent="0.15">
      <c r="A224" s="1" t="s">
        <v>445</v>
      </c>
      <c r="B224" s="2" t="s">
        <v>346</v>
      </c>
      <c r="C224" s="2" t="s">
        <v>297</v>
      </c>
      <c r="D224" s="2" t="s">
        <v>431</v>
      </c>
      <c r="E224" s="6">
        <v>2400</v>
      </c>
      <c r="F224" s="18">
        <f>291897</f>
        <v>291897</v>
      </c>
      <c r="G224" s="18">
        <f>156895</f>
        <v>156895</v>
      </c>
      <c r="H224" s="18">
        <f>2759</f>
        <v>2759</v>
      </c>
      <c r="I224" s="18">
        <f>9199</f>
        <v>9199</v>
      </c>
      <c r="J224" s="18"/>
      <c r="K224" s="18">
        <v>1026</v>
      </c>
      <c r="L224" s="13">
        <f t="shared" si="2"/>
        <v>461776</v>
      </c>
      <c r="M224" s="8"/>
      <c r="N224" s="165"/>
    </row>
    <row r="225" spans="1:14" s="3" customFormat="1" ht="12.2" customHeight="1" x14ac:dyDescent="0.15">
      <c r="A225" s="1" t="s">
        <v>446</v>
      </c>
      <c r="B225" s="2" t="s">
        <v>346</v>
      </c>
      <c r="C225" s="2" t="s">
        <v>298</v>
      </c>
      <c r="D225" s="2" t="s">
        <v>431</v>
      </c>
      <c r="E225" s="6">
        <v>2500</v>
      </c>
      <c r="F225" s="18">
        <f>97036+63150</f>
        <v>160186</v>
      </c>
      <c r="G225" s="18">
        <f>20507+30360</f>
        <v>50867</v>
      </c>
      <c r="H225" s="18"/>
      <c r="I225" s="18"/>
      <c r="J225" s="18"/>
      <c r="K225" s="18"/>
      <c r="L225" s="13">
        <f t="shared" si="2"/>
        <v>211053</v>
      </c>
      <c r="M225" s="8"/>
      <c r="N225" s="165"/>
    </row>
    <row r="226" spans="1:14" s="3" customFormat="1" ht="12.2" customHeight="1" x14ac:dyDescent="0.15">
      <c r="A226" s="1" t="s">
        <v>447</v>
      </c>
      <c r="B226" s="2" t="s">
        <v>346</v>
      </c>
      <c r="C226" s="2" t="s">
        <v>299</v>
      </c>
      <c r="D226" s="2" t="s">
        <v>431</v>
      </c>
      <c r="E226" s="6">
        <v>2600</v>
      </c>
      <c r="F226" s="18">
        <f>64650+95485</f>
        <v>160135</v>
      </c>
      <c r="G226" s="18">
        <f>25673+50924</f>
        <v>76597</v>
      </c>
      <c r="H226" s="18">
        <f>186066+54321</f>
        <v>240387</v>
      </c>
      <c r="I226" s="18">
        <f>76637+1673</f>
        <v>78310</v>
      </c>
      <c r="J226" s="18">
        <f>1031+381</f>
        <v>1412</v>
      </c>
      <c r="K226" s="18">
        <f>565</f>
        <v>565</v>
      </c>
      <c r="L226" s="13">
        <f t="shared" si="2"/>
        <v>557406</v>
      </c>
      <c r="M226" s="8"/>
      <c r="N226" s="165"/>
    </row>
    <row r="227" spans="1:14" s="3" customFormat="1" ht="12.2" customHeight="1" x14ac:dyDescent="0.15">
      <c r="A227" s="1" t="s">
        <v>448</v>
      </c>
      <c r="B227" s="2" t="s">
        <v>346</v>
      </c>
      <c r="C227" s="2" t="s">
        <v>300</v>
      </c>
      <c r="D227" s="2" t="s">
        <v>431</v>
      </c>
      <c r="E227" s="6">
        <v>2700</v>
      </c>
      <c r="F227" s="18"/>
      <c r="G227" s="18"/>
      <c r="H227" s="18">
        <f>17407+330450</f>
        <v>347857</v>
      </c>
      <c r="I227" s="18">
        <f>31515</f>
        <v>31515</v>
      </c>
      <c r="J227" s="18"/>
      <c r="K227" s="18"/>
      <c r="L227" s="13">
        <f t="shared" si="2"/>
        <v>379372</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3303057</v>
      </c>
      <c r="G230" s="38">
        <f>SUM(G216:G229)</f>
        <v>1569922</v>
      </c>
      <c r="H230" s="38">
        <f>SUM(H216:H229)</f>
        <v>1474083</v>
      </c>
      <c r="I230" s="38">
        <f>SUM(I216:I229)</f>
        <v>300833</v>
      </c>
      <c r="J230" s="38">
        <f>SUM(J216:J229)</f>
        <v>64639</v>
      </c>
      <c r="K230" s="38">
        <f t="shared" si="3"/>
        <v>8988</v>
      </c>
      <c r="L230" s="38">
        <f t="shared" si="3"/>
        <v>6721522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1406754</f>
        <v>1406754</v>
      </c>
      <c r="G234" s="18">
        <f>690917</f>
        <v>690917</v>
      </c>
      <c r="H234" s="18">
        <f>19407</f>
        <v>19407</v>
      </c>
      <c r="I234" s="18">
        <f>31165</f>
        <v>31165</v>
      </c>
      <c r="J234" s="18">
        <f>9168</f>
        <v>9168</v>
      </c>
      <c r="K234" s="18">
        <f>13455</f>
        <v>13455</v>
      </c>
      <c r="L234" s="13">
        <f>SUM(F234:K234)</f>
        <v>2170866</v>
      </c>
      <c r="M234" s="8"/>
      <c r="N234" s="165"/>
    </row>
    <row r="235" spans="1:14" s="3" customFormat="1" ht="12.2" customHeight="1" x14ac:dyDescent="0.15">
      <c r="A235" s="1" t="s">
        <v>439</v>
      </c>
      <c r="B235" s="2" t="s">
        <v>350</v>
      </c>
      <c r="C235" s="2" t="s">
        <v>291</v>
      </c>
      <c r="D235" s="2" t="s">
        <v>431</v>
      </c>
      <c r="E235" s="6">
        <v>1200</v>
      </c>
      <c r="F235" s="18">
        <f>445969+15953</f>
        <v>461922</v>
      </c>
      <c r="G235" s="18">
        <f>173476+3776</f>
        <v>177252</v>
      </c>
      <c r="H235" s="18">
        <f>800731</f>
        <v>800731</v>
      </c>
      <c r="I235" s="18">
        <f>2143+5036</f>
        <v>7179</v>
      </c>
      <c r="J235" s="18">
        <f>387</f>
        <v>387</v>
      </c>
      <c r="K235" s="18">
        <f>639</f>
        <v>639</v>
      </c>
      <c r="L235" s="13">
        <f>SUM(F235:K235)</f>
        <v>1448110</v>
      </c>
      <c r="M235" s="8"/>
      <c r="N235" s="165"/>
    </row>
    <row r="236" spans="1:14" s="3" customFormat="1" ht="12.2" customHeight="1" x14ac:dyDescent="0.15">
      <c r="A236" s="1" t="s">
        <v>440</v>
      </c>
      <c r="B236" s="2" t="s">
        <v>350</v>
      </c>
      <c r="C236" s="2" t="s">
        <v>292</v>
      </c>
      <c r="D236" s="2" t="s">
        <v>431</v>
      </c>
      <c r="E236" s="6">
        <v>1300</v>
      </c>
      <c r="F236" s="18">
        <f>151260</f>
        <v>151260</v>
      </c>
      <c r="G236" s="18">
        <f>65958</f>
        <v>65958</v>
      </c>
      <c r="H236" s="18">
        <f>126259</f>
        <v>126259</v>
      </c>
      <c r="I236" s="18">
        <v>4922</v>
      </c>
      <c r="J236" s="18"/>
      <c r="K236" s="18">
        <v>145</v>
      </c>
      <c r="L236" s="13">
        <f>SUM(F236:K236)</f>
        <v>348544</v>
      </c>
      <c r="M236" s="8"/>
      <c r="N236" s="165"/>
    </row>
    <row r="237" spans="1:14" s="3" customFormat="1" ht="12.2" customHeight="1" x14ac:dyDescent="0.15">
      <c r="A237" s="1" t="s">
        <v>441</v>
      </c>
      <c r="B237" s="2" t="s">
        <v>350</v>
      </c>
      <c r="C237" s="2" t="s">
        <v>293</v>
      </c>
      <c r="D237" s="2" t="s">
        <v>431</v>
      </c>
      <c r="E237" s="6">
        <v>1400</v>
      </c>
      <c r="F237" s="18">
        <f>186773</f>
        <v>186773</v>
      </c>
      <c r="G237" s="18">
        <f>49320</f>
        <v>49320</v>
      </c>
      <c r="H237" s="18">
        <f>58495</f>
        <v>58495</v>
      </c>
      <c r="I237" s="18">
        <f>20775</f>
        <v>20775</v>
      </c>
      <c r="J237" s="18">
        <f>25750</f>
        <v>25750</v>
      </c>
      <c r="K237" s="18">
        <f>15138</f>
        <v>15138</v>
      </c>
      <c r="L237" s="13">
        <f>SUM(F237:K237)</f>
        <v>356251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296216+12554</f>
        <v>308770</v>
      </c>
      <c r="G239" s="18">
        <f>149093+5856</f>
        <v>154949</v>
      </c>
      <c r="H239" s="18">
        <f>28415+1824</f>
        <v>30239</v>
      </c>
      <c r="I239" s="18">
        <f>3272+3253</f>
        <v>6525</v>
      </c>
      <c r="J239" s="18">
        <v>446</v>
      </c>
      <c r="K239" s="18">
        <f>358+45</f>
        <v>403</v>
      </c>
      <c r="L239" s="13">
        <f t="shared" ref="L239:L245" si="4">SUM(F239:K239)</f>
        <v>501332</v>
      </c>
      <c r="M239" s="8"/>
      <c r="N239" s="165"/>
    </row>
    <row r="240" spans="1:14" s="3" customFormat="1" ht="12.2" customHeight="1" x14ac:dyDescent="0.15">
      <c r="A240" s="1" t="s">
        <v>443</v>
      </c>
      <c r="B240" s="2" t="s">
        <v>350</v>
      </c>
      <c r="C240" s="2" t="s">
        <v>295</v>
      </c>
      <c r="D240" s="2" t="s">
        <v>431</v>
      </c>
      <c r="E240" s="6">
        <v>2200</v>
      </c>
      <c r="F240" s="18">
        <f>67602+39209</f>
        <v>106811</v>
      </c>
      <c r="G240" s="18">
        <f>25797+38665-1002</f>
        <v>63460</v>
      </c>
      <c r="H240" s="18">
        <f>300+6578</f>
        <v>6878</v>
      </c>
      <c r="I240" s="18">
        <f>7807+61271</f>
        <v>69078</v>
      </c>
      <c r="J240" s="18">
        <f>1673</f>
        <v>1673</v>
      </c>
      <c r="K240" s="18">
        <f>416</f>
        <v>416</v>
      </c>
      <c r="L240" s="13">
        <f t="shared" si="4"/>
        <v>248316</v>
      </c>
      <c r="M240" s="8"/>
      <c r="N240" s="165"/>
    </row>
    <row r="241" spans="1:14" s="3" customFormat="1" ht="12.2" customHeight="1" x14ac:dyDescent="0.15">
      <c r="A241" s="1" t="s">
        <v>444</v>
      </c>
      <c r="B241" s="2" t="s">
        <v>350</v>
      </c>
      <c r="C241" s="2" t="s">
        <v>296</v>
      </c>
      <c r="D241" s="2" t="s">
        <v>431</v>
      </c>
      <c r="E241" s="6">
        <v>2300</v>
      </c>
      <c r="F241" s="18">
        <f>32617+142654+71561</f>
        <v>246832</v>
      </c>
      <c r="G241" s="18">
        <f>17678+76492+27579</f>
        <v>121749</v>
      </c>
      <c r="H241" s="18">
        <f>65155+63345</f>
        <v>128500</v>
      </c>
      <c r="I241" s="18">
        <f>90+27022+35082</f>
        <v>62194</v>
      </c>
      <c r="J241" s="18">
        <f>39818+42704+21565+61</f>
        <v>104148</v>
      </c>
      <c r="K241" s="18">
        <f>1237+2951</f>
        <v>4188</v>
      </c>
      <c r="L241" s="13">
        <f t="shared" si="4"/>
        <v>667611</v>
      </c>
      <c r="M241" s="8"/>
      <c r="N241" s="165"/>
    </row>
    <row r="242" spans="1:14" s="3" customFormat="1" ht="12.2" customHeight="1" x14ac:dyDescent="0.15">
      <c r="A242" s="1" t="s">
        <v>445</v>
      </c>
      <c r="B242" s="2" t="s">
        <v>350</v>
      </c>
      <c r="C242" s="2" t="s">
        <v>297</v>
      </c>
      <c r="D242" s="2" t="s">
        <v>431</v>
      </c>
      <c r="E242" s="6">
        <v>2400</v>
      </c>
      <c r="F242" s="18">
        <f>299406</f>
        <v>299406</v>
      </c>
      <c r="G242" s="18">
        <f>155755</f>
        <v>155755</v>
      </c>
      <c r="H242" s="18">
        <f>8182</f>
        <v>8182</v>
      </c>
      <c r="I242" s="18">
        <f>6982</f>
        <v>6982</v>
      </c>
      <c r="J242" s="18"/>
      <c r="K242" s="18">
        <f>1203+7264</f>
        <v>8467</v>
      </c>
      <c r="L242" s="13">
        <f t="shared" si="4"/>
        <v>478792</v>
      </c>
      <c r="M242" s="8"/>
      <c r="N242" s="165"/>
    </row>
    <row r="243" spans="1:14" s="3" customFormat="1" ht="12.2" customHeight="1" x14ac:dyDescent="0.15">
      <c r="A243" s="1" t="s">
        <v>446</v>
      </c>
      <c r="B243" s="2" t="s">
        <v>350</v>
      </c>
      <c r="C243" s="2" t="s">
        <v>298</v>
      </c>
      <c r="D243" s="2" t="s">
        <v>431</v>
      </c>
      <c r="E243" s="6">
        <v>2500</v>
      </c>
      <c r="F243" s="18">
        <f>109732+71412</f>
        <v>181144</v>
      </c>
      <c r="G243" s="18">
        <f>23191+34332</f>
        <v>57523</v>
      </c>
      <c r="H243" s="18"/>
      <c r="I243" s="18"/>
      <c r="J243" s="18"/>
      <c r="K243" s="18"/>
      <c r="L243" s="13">
        <f t="shared" si="4"/>
        <v>238667</v>
      </c>
      <c r="M243" s="8"/>
      <c r="N243" s="165"/>
    </row>
    <row r="244" spans="1:14" s="3" customFormat="1" ht="12.2" customHeight="1" x14ac:dyDescent="0.15">
      <c r="A244" s="1" t="s">
        <v>447</v>
      </c>
      <c r="B244" s="2" t="s">
        <v>350</v>
      </c>
      <c r="C244" s="2" t="s">
        <v>299</v>
      </c>
      <c r="D244" s="2" t="s">
        <v>431</v>
      </c>
      <c r="E244" s="6">
        <v>2600</v>
      </c>
      <c r="F244" s="18">
        <f>38906+27+107978</f>
        <v>146911</v>
      </c>
      <c r="G244" s="18">
        <f>32186+57587</f>
        <v>89773</v>
      </c>
      <c r="H244" s="18">
        <f>258675+61428</f>
        <v>320103</v>
      </c>
      <c r="I244" s="18">
        <f>200142+1892</f>
        <v>202034</v>
      </c>
      <c r="J244" s="18">
        <f>9589+431</f>
        <v>10020</v>
      </c>
      <c r="K244" s="18">
        <f>639</f>
        <v>639</v>
      </c>
      <c r="L244" s="13">
        <f t="shared" si="4"/>
        <v>769480</v>
      </c>
      <c r="M244" s="8"/>
      <c r="N244" s="165"/>
    </row>
    <row r="245" spans="1:14" s="3" customFormat="1" ht="12.2" customHeight="1" x14ac:dyDescent="0.15">
      <c r="A245" s="1" t="s">
        <v>448</v>
      </c>
      <c r="B245" s="2" t="s">
        <v>350</v>
      </c>
      <c r="C245" s="2" t="s">
        <v>300</v>
      </c>
      <c r="D245" s="2" t="s">
        <v>431</v>
      </c>
      <c r="E245" s="6">
        <v>2700</v>
      </c>
      <c r="F245" s="18"/>
      <c r="G245" s="18"/>
      <c r="H245" s="18">
        <f>42498+373686</f>
        <v>416184</v>
      </c>
      <c r="I245" s="18">
        <f>35639</f>
        <v>35639</v>
      </c>
      <c r="J245" s="18"/>
      <c r="K245" s="18"/>
      <c r="L245" s="13">
        <f t="shared" si="4"/>
        <v>451823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3496583</v>
      </c>
      <c r="G248" s="38">
        <f t="shared" si="5"/>
        <v>1626656</v>
      </c>
      <c r="H248" s="38">
        <f t="shared" si="5"/>
        <v>1914978</v>
      </c>
      <c r="I248" s="38">
        <f t="shared" si="5"/>
        <v>446493</v>
      </c>
      <c r="J248" s="38">
        <f t="shared" si="5"/>
        <v>151592</v>
      </c>
      <c r="K248" s="38">
        <f t="shared" si="5"/>
        <v>43490</v>
      </c>
      <c r="L248" s="38">
        <f t="shared" si="5"/>
        <v>7679792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376637</v>
      </c>
      <c r="I256" s="18"/>
      <c r="J256" s="18"/>
      <c r="K256" s="18"/>
      <c r="L256" s="13">
        <f t="shared" si="6"/>
        <v>376637</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376637</v>
      </c>
      <c r="I257" s="38">
        <f t="shared" si="7"/>
        <v>0</v>
      </c>
      <c r="J257" s="38">
        <f t="shared" si="7"/>
        <v>0</v>
      </c>
      <c r="K257" s="38">
        <f t="shared" si="7"/>
        <v>0</v>
      </c>
      <c r="L257" s="38">
        <f>SUM(F257:K257)</f>
        <v>376637</v>
      </c>
      <c r="M257" s="8"/>
      <c r="N257" s="165"/>
    </row>
    <row r="258" spans="1:14" s="3" customFormat="1" ht="12.2" customHeight="1" thickTop="1" x14ac:dyDescent="0.15">
      <c r="A258" s="35" t="s">
        <v>462</v>
      </c>
      <c r="B258" s="37">
        <v>10</v>
      </c>
      <c r="C258" s="37">
        <v>8</v>
      </c>
      <c r="D258" s="36" t="s">
        <v>431</v>
      </c>
      <c r="E258" s="37"/>
      <c r="F258" s="38">
        <f t="shared" ref="F258:L258" si="8">F212+F230+F248+F257</f>
        <v>11431191</v>
      </c>
      <c r="G258" s="38">
        <f t="shared" si="8"/>
        <v>5397652</v>
      </c>
      <c r="H258" s="38">
        <f t="shared" si="8"/>
        <v>5544382</v>
      </c>
      <c r="I258" s="38">
        <f t="shared" si="8"/>
        <v>1217849</v>
      </c>
      <c r="J258" s="38">
        <f t="shared" si="8"/>
        <v>274637</v>
      </c>
      <c r="K258" s="38">
        <f t="shared" si="8"/>
        <v>60864</v>
      </c>
      <c r="L258" s="38">
        <f t="shared" si="8"/>
        <v>23926575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230978</v>
      </c>
      <c r="L261" s="13">
        <f>SUM(F261:K261)</f>
        <v>230978</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9753</v>
      </c>
      <c r="L262" s="13">
        <f>SUM(F262:K262)</f>
        <v>9753</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500000</v>
      </c>
      <c r="L267" s="13">
        <f t="shared" si="9"/>
        <v>500000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740731</v>
      </c>
      <c r="L271" s="38">
        <f t="shared" si="9"/>
        <v>740731</v>
      </c>
      <c r="M271" s="8"/>
      <c r="N271" s="165"/>
    </row>
    <row r="272" spans="1:14" s="33" customFormat="1" ht="12.2" customHeight="1" thickTop="1" x14ac:dyDescent="0.2">
      <c r="A272" s="40" t="s">
        <v>464</v>
      </c>
      <c r="B272" s="37">
        <v>10</v>
      </c>
      <c r="C272" s="37">
        <v>18</v>
      </c>
      <c r="D272" s="36" t="s">
        <v>431</v>
      </c>
      <c r="E272" s="37"/>
      <c r="F272" s="39">
        <f t="shared" ref="F272:L272" si="11">F258+F271</f>
        <v>11431191</v>
      </c>
      <c r="G272" s="39">
        <f t="shared" si="11"/>
        <v>5397652</v>
      </c>
      <c r="H272" s="39">
        <f t="shared" si="11"/>
        <v>5544382</v>
      </c>
      <c r="I272" s="39">
        <f t="shared" si="11"/>
        <v>1217849</v>
      </c>
      <c r="J272" s="39">
        <f t="shared" si="11"/>
        <v>274637</v>
      </c>
      <c r="K272" s="39">
        <f t="shared" si="11"/>
        <v>801595</v>
      </c>
      <c r="L272" s="39">
        <f t="shared" si="11"/>
        <v>24667306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196629</v>
      </c>
      <c r="G277" s="18">
        <v>106384</v>
      </c>
      <c r="H277" s="18"/>
      <c r="I277" s="18">
        <f>2171+3410+131708+1189+1189</f>
        <v>139667</v>
      </c>
      <c r="J277" s="18"/>
      <c r="K277" s="18"/>
      <c r="L277" s="13">
        <f>SUM(F277:K277)</f>
        <v>442680</v>
      </c>
      <c r="M277" s="8"/>
      <c r="N277" s="165"/>
    </row>
    <row r="278" spans="1:14" s="3" customFormat="1" ht="12.2" customHeight="1" x14ac:dyDescent="0.15">
      <c r="A278" s="1" t="s">
        <v>439</v>
      </c>
      <c r="B278" s="2" t="s">
        <v>357</v>
      </c>
      <c r="C278" s="2" t="s">
        <v>291</v>
      </c>
      <c r="D278" s="2" t="s">
        <v>431</v>
      </c>
      <c r="E278" s="6">
        <v>1200</v>
      </c>
      <c r="F278" s="18">
        <f>58027+50280</f>
        <v>108307</v>
      </c>
      <c r="G278" s="18">
        <f>13162+388+79+59+4271+12197+1+214+5743+53+55+3829+10569+1+186</f>
        <v>50807</v>
      </c>
      <c r="H278" s="18">
        <f>23853+9315+15244+2980+10924+4388+4388+31210-20000</f>
        <v>82302</v>
      </c>
      <c r="I278" s="18"/>
      <c r="J278" s="18"/>
      <c r="K278" s="18"/>
      <c r="L278" s="13">
        <f>SUM(F278:K278)</f>
        <v>241416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f>107+24754+2000+2000+2362</f>
        <v>31223</v>
      </c>
      <c r="G280" s="18">
        <f>443+8+7308</f>
        <v>7759</v>
      </c>
      <c r="H280" s="18">
        <f>14341</f>
        <v>14341</v>
      </c>
      <c r="I280" s="18">
        <f>2240+4422</f>
        <v>6662</v>
      </c>
      <c r="J280" s="18"/>
      <c r="K280" s="18"/>
      <c r="L280" s="13">
        <f>SUM(F280:K280)</f>
        <v>59985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33073+33073+5685+2309+3250+5500+19010+19010+11247+11247+1224</f>
        <v>144628</v>
      </c>
      <c r="G282" s="18">
        <f>10712+10712+522+164+485+927+969+10058+10058+6678+6678+349</f>
        <v>58312</v>
      </c>
      <c r="H282" s="18">
        <f>3900+400+400+3231+3231+1675+1675</f>
        <v>14512</v>
      </c>
      <c r="I282" s="18">
        <f>617+221+221+1104+1104+4967</f>
        <v>8234</v>
      </c>
      <c r="J282" s="18"/>
      <c r="K282" s="18"/>
      <c r="L282" s="13">
        <f t="shared" ref="L282:L288" si="12">SUM(F282:K282)</f>
        <v>225686</v>
      </c>
      <c r="M282" s="8"/>
      <c r="N282" s="165"/>
    </row>
    <row r="283" spans="1:14" s="3" customFormat="1" ht="12.2" customHeight="1" x14ac:dyDescent="0.15">
      <c r="A283" s="1" t="s">
        <v>443</v>
      </c>
      <c r="B283" s="2" t="s">
        <v>357</v>
      </c>
      <c r="C283" s="2" t="s">
        <v>295</v>
      </c>
      <c r="D283" s="2" t="s">
        <v>431</v>
      </c>
      <c r="E283" s="6">
        <v>2200</v>
      </c>
      <c r="F283" s="18">
        <f>5880</f>
        <v>5880</v>
      </c>
      <c r="G283" s="18">
        <f>1001</f>
        <v>1001</v>
      </c>
      <c r="H283" s="18">
        <f>2000+941+941+2431+2431+3250+10475+10475</f>
        <v>32944</v>
      </c>
      <c r="I283" s="18"/>
      <c r="J283" s="18"/>
      <c r="K283" s="18">
        <f>1200</f>
        <v>1200</v>
      </c>
      <c r="L283" s="13">
        <f t="shared" si="12"/>
        <v>41025</v>
      </c>
      <c r="M283" s="8"/>
      <c r="N283" s="165"/>
    </row>
    <row r="284" spans="1:14" s="3" customFormat="1" ht="12.2" customHeight="1" x14ac:dyDescent="0.15">
      <c r="A284" s="1" t="s">
        <v>444</v>
      </c>
      <c r="B284" s="2" t="s">
        <v>357</v>
      </c>
      <c r="C284" s="2" t="s">
        <v>296</v>
      </c>
      <c r="D284" s="2" t="s">
        <v>431</v>
      </c>
      <c r="E284" s="6">
        <v>2300</v>
      </c>
      <c r="F284" s="18"/>
      <c r="G284" s="18"/>
      <c r="H284" s="18"/>
      <c r="I284" s="18">
        <f>2283+2283</f>
        <v>4566</v>
      </c>
      <c r="J284" s="18"/>
      <c r="K284" s="18"/>
      <c r="L284" s="13">
        <f t="shared" si="12"/>
        <v>4566</v>
      </c>
      <c r="M284" s="8"/>
      <c r="N284" s="165"/>
    </row>
    <row r="285" spans="1:14" s="3" customFormat="1" ht="12.2" customHeight="1" x14ac:dyDescent="0.15">
      <c r="A285" s="1" t="s">
        <v>445</v>
      </c>
      <c r="B285" s="2" t="s">
        <v>357</v>
      </c>
      <c r="C285" s="2" t="s">
        <v>297</v>
      </c>
      <c r="D285" s="2" t="s">
        <v>431</v>
      </c>
      <c r="E285" s="6">
        <v>2400</v>
      </c>
      <c r="F285" s="18"/>
      <c r="G285" s="18"/>
      <c r="H285" s="18"/>
      <c r="I285" s="18"/>
      <c r="J285" s="18">
        <f>412+412</f>
        <v>824</v>
      </c>
      <c r="K285" s="18"/>
      <c r="L285" s="13">
        <f t="shared" si="12"/>
        <v>824</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v>630</v>
      </c>
      <c r="J287" s="18"/>
      <c r="K287" s="18"/>
      <c r="L287" s="13">
        <f t="shared" si="12"/>
        <v>630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486667</v>
      </c>
      <c r="G291" s="39">
        <f t="shared" si="13"/>
        <v>224263</v>
      </c>
      <c r="H291" s="39">
        <f t="shared" si="13"/>
        <v>144099</v>
      </c>
      <c r="I291" s="39">
        <f t="shared" si="13"/>
        <v>159759</v>
      </c>
      <c r="J291" s="39">
        <f t="shared" si="13"/>
        <v>824</v>
      </c>
      <c r="K291" s="39">
        <f t="shared" si="13"/>
        <v>1200</v>
      </c>
      <c r="L291" s="38">
        <f t="shared" si="13"/>
        <v>1016812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f>86130+1189</f>
        <v>87319</v>
      </c>
      <c r="J296" s="18">
        <f>4051+54900</f>
        <v>58951</v>
      </c>
      <c r="K296" s="18"/>
      <c r="L296" s="13">
        <f>SUM(F296:K296)</f>
        <v>146270</v>
      </c>
      <c r="M296" s="8"/>
      <c r="N296" s="165"/>
    </row>
    <row r="297" spans="1:14" s="3" customFormat="1" ht="12.2" customHeight="1" x14ac:dyDescent="0.15">
      <c r="A297" s="1" t="s">
        <v>439</v>
      </c>
      <c r="B297" s="2" t="s">
        <v>358</v>
      </c>
      <c r="C297" s="2" t="s">
        <v>291</v>
      </c>
      <c r="D297" s="2" t="s">
        <v>431</v>
      </c>
      <c r="E297" s="6">
        <v>1200</v>
      </c>
      <c r="F297" s="18">
        <v>79360</v>
      </c>
      <c r="G297" s="18">
        <f>2750+741+79+5899+15630+2+274</f>
        <v>25375</v>
      </c>
      <c r="H297" s="18">
        <f>11926+9315+15244+4388</f>
        <v>40873</v>
      </c>
      <c r="I297" s="18"/>
      <c r="J297" s="18"/>
      <c r="K297" s="18"/>
      <c r="L297" s="13">
        <f>SUM(F297:K297)</f>
        <v>145608</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f>18159</f>
        <v>18159</v>
      </c>
      <c r="G299" s="18">
        <f>4157</f>
        <v>4157</v>
      </c>
      <c r="H299" s="18">
        <f>812</f>
        <v>812</v>
      </c>
      <c r="I299" s="18">
        <f>4242-1</f>
        <v>4241</v>
      </c>
      <c r="J299" s="18"/>
      <c r="K299" s="18"/>
      <c r="L299" s="13">
        <f>SUM(F299:K299)</f>
        <v>27369</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f>33073+4255+1426+405+3250+4750+19010+22750+11247+2040+8513</f>
        <v>110719</v>
      </c>
      <c r="G301" s="18">
        <f>10712+370+133+282+927+989+10058+6648+6678+582+582+1646</f>
        <v>39607</v>
      </c>
      <c r="H301" s="18">
        <f>3900+400+3231+1675+15587+70253</f>
        <v>95046</v>
      </c>
      <c r="I301" s="18">
        <f>617+221+1104+1656+1561+206</f>
        <v>5365</v>
      </c>
      <c r="J301" s="18"/>
      <c r="K301" s="18"/>
      <c r="L301" s="13">
        <f t="shared" ref="L301:L307" si="14">SUM(F301:K301)</f>
        <v>250737</v>
      </c>
      <c r="M301" s="8"/>
      <c r="N301" s="165"/>
    </row>
    <row r="302" spans="1:14" s="3" customFormat="1" ht="12.2" customHeight="1" x14ac:dyDescent="0.15">
      <c r="A302" s="1" t="s">
        <v>443</v>
      </c>
      <c r="B302" s="2" t="s">
        <v>358</v>
      </c>
      <c r="C302" s="2" t="s">
        <v>295</v>
      </c>
      <c r="D302" s="2" t="s">
        <v>431</v>
      </c>
      <c r="E302" s="6">
        <v>2200</v>
      </c>
      <c r="F302" s="18">
        <f>4690</f>
        <v>4690</v>
      </c>
      <c r="G302" s="18">
        <f>1064</f>
        <v>1064</v>
      </c>
      <c r="H302" s="18">
        <f>2000+941+2750+1350+2306+2431+3250+10475</f>
        <v>25503</v>
      </c>
      <c r="I302" s="18"/>
      <c r="J302" s="18"/>
      <c r="K302" s="18">
        <f>600</f>
        <v>600</v>
      </c>
      <c r="L302" s="13">
        <f t="shared" si="14"/>
        <v>31857</v>
      </c>
      <c r="M302" s="8"/>
      <c r="N302" s="165"/>
    </row>
    <row r="303" spans="1:14" s="3" customFormat="1" ht="12.2" customHeight="1" x14ac:dyDescent="0.15">
      <c r="A303" s="1" t="s">
        <v>444</v>
      </c>
      <c r="B303" s="2" t="s">
        <v>358</v>
      </c>
      <c r="C303" s="2" t="s">
        <v>296</v>
      </c>
      <c r="D303" s="2" t="s">
        <v>431</v>
      </c>
      <c r="E303" s="6">
        <v>2300</v>
      </c>
      <c r="F303" s="18"/>
      <c r="G303" s="18"/>
      <c r="H303" s="18"/>
      <c r="I303" s="18">
        <v>2283</v>
      </c>
      <c r="J303" s="18"/>
      <c r="K303" s="18"/>
      <c r="L303" s="13">
        <f t="shared" si="14"/>
        <v>2283</v>
      </c>
      <c r="M303" s="8"/>
      <c r="N303" s="165"/>
    </row>
    <row r="304" spans="1:14" s="3" customFormat="1" ht="12.2" customHeight="1" x14ac:dyDescent="0.15">
      <c r="A304" s="1" t="s">
        <v>445</v>
      </c>
      <c r="B304" s="2" t="s">
        <v>358</v>
      </c>
      <c r="C304" s="2" t="s">
        <v>297</v>
      </c>
      <c r="D304" s="2" t="s">
        <v>431</v>
      </c>
      <c r="E304" s="6">
        <v>2400</v>
      </c>
      <c r="F304" s="18"/>
      <c r="G304" s="18"/>
      <c r="H304" s="18"/>
      <c r="I304" s="18"/>
      <c r="J304" s="18">
        <f>412</f>
        <v>412</v>
      </c>
      <c r="K304" s="18"/>
      <c r="L304" s="13">
        <f t="shared" si="14"/>
        <v>412</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212928</v>
      </c>
      <c r="G310" s="39">
        <f t="shared" si="15"/>
        <v>70203</v>
      </c>
      <c r="H310" s="39">
        <f t="shared" si="15"/>
        <v>162234</v>
      </c>
      <c r="I310" s="39">
        <f t="shared" si="15"/>
        <v>99208</v>
      </c>
      <c r="J310" s="39">
        <f t="shared" si="15"/>
        <v>59363</v>
      </c>
      <c r="K310" s="39">
        <f t="shared" si="15"/>
        <v>600</v>
      </c>
      <c r="L310" s="38">
        <f t="shared" si="15"/>
        <v>604536</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f>10680</f>
        <v>10680</v>
      </c>
      <c r="G315" s="18">
        <v>4227</v>
      </c>
      <c r="H315" s="18">
        <f>2841+847</f>
        <v>3688</v>
      </c>
      <c r="I315" s="18">
        <f>3758+1189</f>
        <v>4947</v>
      </c>
      <c r="J315" s="18">
        <f>8356+13572</f>
        <v>21928</v>
      </c>
      <c r="K315" s="18"/>
      <c r="L315" s="13">
        <f>SUM(F315:K315)</f>
        <v>45470</v>
      </c>
      <c r="M315" s="8"/>
      <c r="N315" s="165"/>
    </row>
    <row r="316" spans="1:14" s="3" customFormat="1" ht="12.2" customHeight="1" x14ac:dyDescent="0.15">
      <c r="A316" s="1" t="s">
        <v>439</v>
      </c>
      <c r="B316" s="2" t="s">
        <v>359</v>
      </c>
      <c r="C316" s="2" t="s">
        <v>291</v>
      </c>
      <c r="D316" s="2" t="s">
        <v>431</v>
      </c>
      <c r="E316" s="6">
        <v>1200</v>
      </c>
      <c r="F316" s="18"/>
      <c r="G316" s="18"/>
      <c r="H316" s="18">
        <f>11926+4387+20000</f>
        <v>36313</v>
      </c>
      <c r="I316" s="18"/>
      <c r="J316" s="18"/>
      <c r="K316" s="18"/>
      <c r="L316" s="13">
        <f>SUM(F316:K316)</f>
        <v>36313</v>
      </c>
      <c r="M316" s="8"/>
      <c r="N316" s="165"/>
    </row>
    <row r="317" spans="1:14" s="3" customFormat="1" ht="12.2" customHeight="1" x14ac:dyDescent="0.15">
      <c r="A317" s="1" t="s">
        <v>440</v>
      </c>
      <c r="B317" s="2" t="s">
        <v>359</v>
      </c>
      <c r="C317" s="2" t="s">
        <v>292</v>
      </c>
      <c r="D317" s="2" t="s">
        <v>431</v>
      </c>
      <c r="E317" s="6">
        <v>1300</v>
      </c>
      <c r="F317" s="18">
        <v>264</v>
      </c>
      <c r="G317" s="18">
        <v>20</v>
      </c>
      <c r="H317" s="18">
        <v>729</v>
      </c>
      <c r="I317" s="18">
        <v>175</v>
      </c>
      <c r="J317" s="18"/>
      <c r="K317" s="18">
        <v>2606</v>
      </c>
      <c r="L317" s="13">
        <f>SUM(F317:K317)</f>
        <v>3794</v>
      </c>
      <c r="M317" s="8"/>
      <c r="N317" s="165"/>
    </row>
    <row r="318" spans="1:14" s="3" customFormat="1" ht="12.2" customHeight="1" x14ac:dyDescent="0.15">
      <c r="A318" s="1" t="s">
        <v>441</v>
      </c>
      <c r="B318" s="2" t="s">
        <v>359</v>
      </c>
      <c r="C318" s="2" t="s">
        <v>293</v>
      </c>
      <c r="D318" s="2" t="s">
        <v>431</v>
      </c>
      <c r="E318" s="6">
        <v>1400</v>
      </c>
      <c r="F318" s="18">
        <v>2000</v>
      </c>
      <c r="G318" s="18">
        <f>561</f>
        <v>561</v>
      </c>
      <c r="H318" s="18"/>
      <c r="I318" s="18">
        <f>864</f>
        <v>864</v>
      </c>
      <c r="J318" s="18"/>
      <c r="K318" s="18"/>
      <c r="L318" s="13">
        <f>SUM(F318:K318)</f>
        <v>3425</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f>33073+3440+4750+19010+11247+2822</f>
        <v>74342</v>
      </c>
      <c r="G320" s="18">
        <f>10712+304+847+10058+6678+796</f>
        <v>29395</v>
      </c>
      <c r="H320" s="18">
        <f>15587+3900+400+3231+1675+70253</f>
        <v>95046</v>
      </c>
      <c r="I320" s="18">
        <f>221</f>
        <v>221</v>
      </c>
      <c r="J320" s="18"/>
      <c r="K320" s="18"/>
      <c r="L320" s="13">
        <f t="shared" ref="L320:L326" si="16">SUM(F320:K320)</f>
        <v>199004</v>
      </c>
      <c r="M320" s="8"/>
      <c r="N320" s="165"/>
    </row>
    <row r="321" spans="1:14" s="3" customFormat="1" ht="12.2" customHeight="1" x14ac:dyDescent="0.15">
      <c r="A321" s="1" t="s">
        <v>443</v>
      </c>
      <c r="B321" s="2" t="s">
        <v>359</v>
      </c>
      <c r="C321" s="2" t="s">
        <v>295</v>
      </c>
      <c r="D321" s="2" t="s">
        <v>431</v>
      </c>
      <c r="E321" s="6">
        <v>2200</v>
      </c>
      <c r="F321" s="18">
        <f>3400</f>
        <v>3400</v>
      </c>
      <c r="G321" s="18">
        <f>749</f>
        <v>749</v>
      </c>
      <c r="H321" s="18">
        <f>2650+941+2431+10475-2</f>
        <v>16495</v>
      </c>
      <c r="I321" s="18"/>
      <c r="J321" s="18"/>
      <c r="K321" s="18">
        <f>600</f>
        <v>600</v>
      </c>
      <c r="L321" s="13">
        <f t="shared" si="16"/>
        <v>21244</v>
      </c>
      <c r="M321" s="8"/>
      <c r="N321" s="165"/>
    </row>
    <row r="322" spans="1:14" s="3" customFormat="1" ht="12.2" customHeight="1" x14ac:dyDescent="0.15">
      <c r="A322" s="1" t="s">
        <v>444</v>
      </c>
      <c r="B322" s="2" t="s">
        <v>359</v>
      </c>
      <c r="C322" s="2" t="s">
        <v>296</v>
      </c>
      <c r="D322" s="2" t="s">
        <v>431</v>
      </c>
      <c r="E322" s="6">
        <v>2300</v>
      </c>
      <c r="F322" s="18">
        <v>926</v>
      </c>
      <c r="G322" s="18">
        <v>71</v>
      </c>
      <c r="H322" s="18"/>
      <c r="I322" s="18">
        <v>2283</v>
      </c>
      <c r="J322" s="18"/>
      <c r="K322" s="18"/>
      <c r="L322" s="13">
        <f t="shared" si="16"/>
        <v>3280</v>
      </c>
      <c r="M322" s="8"/>
      <c r="N322" s="165"/>
    </row>
    <row r="323" spans="1:14" s="3" customFormat="1" ht="12.2" customHeight="1" x14ac:dyDescent="0.15">
      <c r="A323" s="1" t="s">
        <v>445</v>
      </c>
      <c r="B323" s="2" t="s">
        <v>359</v>
      </c>
      <c r="C323" s="2" t="s">
        <v>297</v>
      </c>
      <c r="D323" s="2" t="s">
        <v>431</v>
      </c>
      <c r="E323" s="6">
        <v>2400</v>
      </c>
      <c r="F323" s="18"/>
      <c r="G323" s="18"/>
      <c r="H323" s="18"/>
      <c r="I323" s="18"/>
      <c r="J323" s="18">
        <v>412</v>
      </c>
      <c r="K323" s="18"/>
      <c r="L323" s="13">
        <f t="shared" si="16"/>
        <v>412</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v>3215</v>
      </c>
      <c r="K325" s="18"/>
      <c r="L325" s="13">
        <f t="shared" si="16"/>
        <v>3215</v>
      </c>
      <c r="M325" s="8"/>
      <c r="N325" s="165"/>
    </row>
    <row r="326" spans="1:14" s="3" customFormat="1" ht="12.2" customHeight="1" x14ac:dyDescent="0.15">
      <c r="A326" s="1" t="s">
        <v>448</v>
      </c>
      <c r="B326" s="2" t="s">
        <v>359</v>
      </c>
      <c r="C326" s="2" t="s">
        <v>300</v>
      </c>
      <c r="D326" s="2" t="s">
        <v>431</v>
      </c>
      <c r="E326" s="6">
        <v>2700</v>
      </c>
      <c r="F326" s="18"/>
      <c r="G326" s="18"/>
      <c r="H326" s="18">
        <v>234</v>
      </c>
      <c r="I326" s="18"/>
      <c r="J326" s="18"/>
      <c r="K326" s="18"/>
      <c r="L326" s="13">
        <f t="shared" si="16"/>
        <v>234</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91612</v>
      </c>
      <c r="G329" s="39">
        <f t="shared" si="17"/>
        <v>35023</v>
      </c>
      <c r="H329" s="39">
        <f t="shared" si="17"/>
        <v>152505</v>
      </c>
      <c r="I329" s="39">
        <f t="shared" si="17"/>
        <v>8490</v>
      </c>
      <c r="J329" s="39">
        <f t="shared" si="17"/>
        <v>25555</v>
      </c>
      <c r="K329" s="39">
        <f t="shared" si="17"/>
        <v>3206</v>
      </c>
      <c r="L329" s="38">
        <f t="shared" si="17"/>
        <v>316391</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791207</v>
      </c>
      <c r="G339" s="38">
        <f t="shared" si="20"/>
        <v>329489</v>
      </c>
      <c r="H339" s="38">
        <f t="shared" si="20"/>
        <v>458838</v>
      </c>
      <c r="I339" s="38">
        <f t="shared" si="20"/>
        <v>267457</v>
      </c>
      <c r="J339" s="38">
        <f t="shared" si="20"/>
        <v>85742</v>
      </c>
      <c r="K339" s="38">
        <f t="shared" si="20"/>
        <v>5006</v>
      </c>
      <c r="L339" s="38">
        <f t="shared" si="20"/>
        <v>1937739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51179-5</f>
        <v>51174</v>
      </c>
      <c r="L345" s="13">
        <f t="shared" ref="L345:L351" si="21">SUM(F345:K345)</f>
        <v>51174</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51174</v>
      </c>
      <c r="L352" s="38">
        <f>SUM(L342:L351)</f>
        <v>51174</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791207</v>
      </c>
      <c r="G353" s="38">
        <f>G339</f>
        <v>329489</v>
      </c>
      <c r="H353" s="38">
        <f>H339</f>
        <v>458838</v>
      </c>
      <c r="I353" s="38">
        <f>I339</f>
        <v>267457</v>
      </c>
      <c r="J353" s="38">
        <f>J339</f>
        <v>85742</v>
      </c>
      <c r="K353" s="38">
        <f>K339+K352</f>
        <v>56180</v>
      </c>
      <c r="L353" s="38">
        <f>L339+L352</f>
        <v>1988913</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121919</v>
      </c>
      <c r="G359" s="18">
        <v>25663</v>
      </c>
      <c r="H359" s="18">
        <v>810</v>
      </c>
      <c r="I359" s="18">
        <v>100768</v>
      </c>
      <c r="J359" s="18">
        <v>69539</v>
      </c>
      <c r="K359" s="18">
        <v>3773</v>
      </c>
      <c r="L359" s="13">
        <f>SUM(F359:K359)</f>
        <v>322472</v>
      </c>
      <c r="M359" s="8"/>
      <c r="N359" s="165"/>
    </row>
    <row r="360" spans="1:22" s="3" customFormat="1" ht="12.2" customHeight="1" x14ac:dyDescent="0.15">
      <c r="A360" s="1" t="s">
        <v>542</v>
      </c>
      <c r="B360" s="2" t="s">
        <v>366</v>
      </c>
      <c r="C360" s="6">
        <v>2</v>
      </c>
      <c r="D360" s="2" t="s">
        <v>431</v>
      </c>
      <c r="E360" s="6"/>
      <c r="F360" s="18">
        <v>48723</v>
      </c>
      <c r="G360" s="18">
        <v>13550</v>
      </c>
      <c r="H360" s="18">
        <v>398</v>
      </c>
      <c r="I360" s="18">
        <v>81186</v>
      </c>
      <c r="J360" s="18">
        <v>48307</v>
      </c>
      <c r="K360" s="18">
        <v>1821</v>
      </c>
      <c r="L360" s="13">
        <f>SUM(F360:K360)</f>
        <v>193985</v>
      </c>
      <c r="M360" s="8"/>
      <c r="N360" s="165"/>
    </row>
    <row r="361" spans="1:22" s="3" customFormat="1" ht="12.2" customHeight="1" x14ac:dyDescent="0.15">
      <c r="A361" s="3" t="s">
        <v>543</v>
      </c>
      <c r="B361" s="2" t="s">
        <v>366</v>
      </c>
      <c r="C361" s="6">
        <v>3</v>
      </c>
      <c r="D361" s="2" t="s">
        <v>431</v>
      </c>
      <c r="E361" s="6"/>
      <c r="F361" s="18">
        <v>126903</v>
      </c>
      <c r="G361" s="18">
        <v>27378</v>
      </c>
      <c r="H361" s="18">
        <v>394</v>
      </c>
      <c r="I361" s="18">
        <v>109247</v>
      </c>
      <c r="J361" s="18">
        <v>89865</v>
      </c>
      <c r="K361" s="18">
        <v>2323</v>
      </c>
      <c r="L361" s="13">
        <f>SUM(F361:K361)</f>
        <v>356110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297545</v>
      </c>
      <c r="G363" s="38">
        <f t="shared" si="22"/>
        <v>66591</v>
      </c>
      <c r="H363" s="38">
        <f t="shared" si="22"/>
        <v>1602</v>
      </c>
      <c r="I363" s="38">
        <f t="shared" si="22"/>
        <v>291201</v>
      </c>
      <c r="J363" s="38">
        <f t="shared" si="22"/>
        <v>207711</v>
      </c>
      <c r="K363" s="38">
        <f t="shared" si="22"/>
        <v>7917</v>
      </c>
      <c r="L363" s="38">
        <f t="shared" si="22"/>
        <v>872567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92576</v>
      </c>
      <c r="G368" s="18">
        <v>75350</v>
      </c>
      <c r="H368" s="18">
        <v>100222</v>
      </c>
      <c r="I368" s="13">
        <f>SUM(F368:H368)</f>
        <v>268148</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8192</v>
      </c>
      <c r="G369" s="53">
        <v>5836</v>
      </c>
      <c r="H369" s="53">
        <v>9025</v>
      </c>
      <c r="I369" s="13">
        <f>SUM(F369:H369)</f>
        <v>23053</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100768</v>
      </c>
      <c r="G370" s="38">
        <f>SUM(G368:G369)</f>
        <v>81186</v>
      </c>
      <c r="H370" s="38">
        <f>SUM(H368:H369)</f>
        <v>109247</v>
      </c>
      <c r="I370" s="38">
        <f>SUM(I368:I369)</f>
        <v>291201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450000</v>
      </c>
      <c r="H390" s="18">
        <v>44844</v>
      </c>
      <c r="I390" s="18"/>
      <c r="J390" s="23" t="s">
        <v>288</v>
      </c>
      <c r="K390" s="23" t="s">
        <v>288</v>
      </c>
      <c r="L390" s="13">
        <f t="shared" si="25"/>
        <v>494844</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50000</v>
      </c>
      <c r="H393" s="18">
        <v>20267</v>
      </c>
      <c r="I393" s="18"/>
      <c r="J393" s="23" t="s">
        <v>288</v>
      </c>
      <c r="K393" s="23" t="s">
        <v>288</v>
      </c>
      <c r="L393" s="13">
        <f t="shared" si="25"/>
        <v>70267</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500000</v>
      </c>
      <c r="H394" s="97">
        <f>SUM(H388:H393)</f>
        <v>65111</v>
      </c>
      <c r="I394" s="54">
        <f>SUM(I388:I393)</f>
        <v>0</v>
      </c>
      <c r="J394" s="42" t="s">
        <v>288</v>
      </c>
      <c r="K394" s="42" t="s">
        <v>288</v>
      </c>
      <c r="L394" s="38">
        <f>SUM(L388:L393)</f>
        <v>565111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500000</v>
      </c>
      <c r="H409" s="38">
        <f>H394+H402+H408</f>
        <v>65111</v>
      </c>
      <c r="I409" s="38">
        <f>I394+I402+I408</f>
        <v>0</v>
      </c>
      <c r="J409" s="23" t="s">
        <v>288</v>
      </c>
      <c r="K409" s="23" t="s">
        <v>288</v>
      </c>
      <c r="L409" s="38">
        <f>L394+L402+L408</f>
        <v>565111</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f>489935-110408</f>
        <v>379527</v>
      </c>
      <c r="L416" s="13">
        <f t="shared" si="27"/>
        <v>379527</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379527</v>
      </c>
      <c r="L420" s="38">
        <f t="shared" si="28"/>
        <v>379527</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379527</v>
      </c>
      <c r="L435" s="38">
        <f t="shared" si="32"/>
        <v>379527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2180998</v>
      </c>
      <c r="G440" s="18"/>
      <c r="H440" s="18"/>
      <c r="I440" s="13">
        <f t="shared" ref="I440:I446" si="33">SUM(F440:H440)</f>
        <v>2180998</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2180998</v>
      </c>
      <c r="G447" s="13">
        <f>SUM(G440:G446)</f>
        <v>0</v>
      </c>
      <c r="H447" s="13">
        <f>SUM(H440:H446)</f>
        <v>0</v>
      </c>
      <c r="I447" s="13">
        <f>SUM(I440:I446)</f>
        <v>2180998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2180998</v>
      </c>
      <c r="G460" s="18"/>
      <c r="H460" s="18"/>
      <c r="I460" s="13">
        <f t="shared" si="34"/>
        <v>2180998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2180998</v>
      </c>
      <c r="G461" s="65">
        <f>SUM(G455:G460)</f>
        <v>0</v>
      </c>
      <c r="H461" s="65">
        <f>SUM(H455:H460)</f>
        <v>0</v>
      </c>
      <c r="I461" s="65">
        <f>SUM(I455:I460)</f>
        <v>2180998</v>
      </c>
      <c r="J461" s="23" t="s">
        <v>288</v>
      </c>
      <c r="K461" s="23" t="s">
        <v>288</v>
      </c>
      <c r="L461" s="23" t="s">
        <v>288</v>
      </c>
      <c r="N461" s="131"/>
    </row>
    <row r="462" spans="1:86" ht="12.2" customHeight="1" thickTop="1" x14ac:dyDescent="0.2">
      <c r="A462" s="40" t="s">
        <v>424</v>
      </c>
      <c r="B462" s="41">
        <v>18</v>
      </c>
      <c r="C462" s="64">
        <v>21</v>
      </c>
      <c r="D462" s="114" t="s">
        <v>432</v>
      </c>
      <c r="E462" s="64"/>
      <c r="F462" s="39">
        <f>F453+F461</f>
        <v>2180998</v>
      </c>
      <c r="G462" s="39">
        <f>G453+G461</f>
        <v>0</v>
      </c>
      <c r="H462" s="39">
        <f>H453+H461</f>
        <v>0</v>
      </c>
      <c r="I462" s="39">
        <f>I453+I461</f>
        <v>2180998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2329767</v>
      </c>
      <c r="G466" s="18">
        <v>463410</v>
      </c>
      <c r="H466" s="18"/>
      <c r="I466" s="18"/>
      <c r="J466" s="18">
        <v>1995414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26022768-7801</f>
        <v>26014967</v>
      </c>
      <c r="G469" s="18">
        <f>G194</f>
        <v>754256</v>
      </c>
      <c r="H469" s="18">
        <v>1988913</v>
      </c>
      <c r="I469" s="18"/>
      <c r="J469" s="18">
        <f>L394</f>
        <v>565111</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26014967</v>
      </c>
      <c r="G471" s="19">
        <f>SUM(G469:G470)</f>
        <v>754256</v>
      </c>
      <c r="H471" s="19">
        <f>SUM(H469:H470)</f>
        <v>1988913</v>
      </c>
      <c r="I471" s="19">
        <f>SUM(I469:I470)</f>
        <v>0</v>
      </c>
      <c r="J471" s="19">
        <f>SUM(J469:J470)</f>
        <v>565111</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24667306</v>
      </c>
      <c r="G473" s="18">
        <f>L363</f>
        <v>872567</v>
      </c>
      <c r="H473" s="18">
        <v>1988913</v>
      </c>
      <c r="I473" s="18"/>
      <c r="J473" s="18">
        <f>489935-110408</f>
        <v>379527</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24667306</v>
      </c>
      <c r="G475" s="19">
        <f>SUM(G473:G474)</f>
        <v>872567</v>
      </c>
      <c r="H475" s="19">
        <f>SUM(H473:H474)</f>
        <v>1988913</v>
      </c>
      <c r="I475" s="19">
        <f>SUM(I473:I474)</f>
        <v>0</v>
      </c>
      <c r="J475" s="19">
        <f>SUM(J473:J474)</f>
        <v>379527</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3677428</v>
      </c>
      <c r="G477" s="19">
        <f>(G466+G471)- G475</f>
        <v>345099</v>
      </c>
      <c r="H477" s="19">
        <f>(H466+H471)- H475</f>
        <v>0</v>
      </c>
      <c r="I477" s="19">
        <f>(I466+I471)- I475</f>
        <v>0</v>
      </c>
      <c r="J477" s="19">
        <f>(J466+J471)- J475</f>
        <v>2180998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3396240</v>
      </c>
      <c r="G494" s="18"/>
      <c r="H494" s="18"/>
      <c r="I494" s="18"/>
      <c r="J494" s="18"/>
      <c r="K494" s="23" t="s">
        <v>288</v>
      </c>
      <c r="L494" s="23" t="s">
        <v>288</v>
      </c>
      <c r="N494" s="131"/>
    </row>
    <row r="495" spans="1:14" ht="12.2" customHeight="1" x14ac:dyDescent="0.2">
      <c r="A495" s="21" t="s">
        <v>618</v>
      </c>
      <c r="B495" s="22">
        <v>20</v>
      </c>
      <c r="C495" s="22">
        <v>5</v>
      </c>
      <c r="D495" s="2" t="s">
        <v>432</v>
      </c>
      <c r="E495" s="22"/>
      <c r="F495" s="18">
        <v>1.4</v>
      </c>
      <c r="G495" s="18"/>
      <c r="H495" s="18"/>
      <c r="I495" s="18"/>
      <c r="J495" s="18"/>
      <c r="K495" s="23" t="s">
        <v>288</v>
      </c>
      <c r="L495" s="23" t="s">
        <v>288</v>
      </c>
      <c r="N495" s="131"/>
    </row>
    <row r="496" spans="1:14" ht="12.2" customHeight="1" x14ac:dyDescent="0.2">
      <c r="A496" s="21" t="s">
        <v>619</v>
      </c>
      <c r="B496" s="22">
        <v>20</v>
      </c>
      <c r="C496" s="22">
        <v>6</v>
      </c>
      <c r="D496" s="2" t="s">
        <v>432</v>
      </c>
      <c r="E496" s="22"/>
      <c r="F496" s="18">
        <v>696659</v>
      </c>
      <c r="G496" s="18"/>
      <c r="H496" s="18"/>
      <c r="I496" s="18"/>
      <c r="J496" s="18"/>
      <c r="K496" s="19">
        <f>SUM(F496:J496)</f>
        <v>696659</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230978</v>
      </c>
      <c r="G498" s="18"/>
      <c r="H498" s="18"/>
      <c r="I498" s="18"/>
      <c r="J498" s="18"/>
      <c r="K498" s="19">
        <f t="shared" si="35"/>
        <v>230978</v>
      </c>
      <c r="L498" s="23" t="s">
        <v>288</v>
      </c>
      <c r="N498" s="131"/>
    </row>
    <row r="499" spans="1:14" ht="12.2" customHeight="1" x14ac:dyDescent="0.2">
      <c r="A499" s="144" t="s">
        <v>622</v>
      </c>
      <c r="B499" s="145">
        <v>20</v>
      </c>
      <c r="C499" s="145">
        <v>9</v>
      </c>
      <c r="D499" s="146" t="s">
        <v>432</v>
      </c>
      <c r="E499" s="145"/>
      <c r="F499" s="147">
        <f>F496-F498</f>
        <v>465681</v>
      </c>
      <c r="G499" s="147"/>
      <c r="H499" s="147"/>
      <c r="I499" s="147"/>
      <c r="J499" s="147"/>
      <c r="K499" s="148">
        <f t="shared" si="35"/>
        <v>465681</v>
      </c>
      <c r="L499" s="149" t="s">
        <v>288</v>
      </c>
      <c r="N499" s="131"/>
    </row>
    <row r="500" spans="1:14" ht="12.2" customHeight="1" thickBot="1" x14ac:dyDescent="0.25">
      <c r="A500" s="21" t="s">
        <v>623</v>
      </c>
      <c r="B500" s="22">
        <v>20</v>
      </c>
      <c r="C500" s="22">
        <v>10</v>
      </c>
      <c r="D500" s="2" t="s">
        <v>432</v>
      </c>
      <c r="E500" s="22"/>
      <c r="F500" s="18">
        <v>9777</v>
      </c>
      <c r="G500" s="18"/>
      <c r="H500" s="18"/>
      <c r="I500" s="18"/>
      <c r="J500" s="18"/>
      <c r="K500" s="19">
        <f t="shared" si="35"/>
        <v>9777</v>
      </c>
      <c r="L500" s="23" t="s">
        <v>288</v>
      </c>
      <c r="N500" s="131"/>
    </row>
    <row r="501" spans="1:14" ht="12.2" customHeight="1" thickTop="1" x14ac:dyDescent="0.2">
      <c r="A501" s="97" t="s">
        <v>624</v>
      </c>
      <c r="B501" s="41">
        <v>20</v>
      </c>
      <c r="C501" s="41">
        <v>11</v>
      </c>
      <c r="D501" s="36" t="s">
        <v>432</v>
      </c>
      <c r="E501" s="41"/>
      <c r="F501" s="39">
        <f>SUM(F499:F500)</f>
        <v>475458</v>
      </c>
      <c r="G501" s="39">
        <f>SUM(G499:G500)</f>
        <v>0</v>
      </c>
      <c r="H501" s="39">
        <f>SUM(H499:H500)</f>
        <v>0</v>
      </c>
      <c r="I501" s="39">
        <f>SUM(I499:I500)</f>
        <v>0</v>
      </c>
      <c r="J501" s="39">
        <f>SUM(J499:J500)</f>
        <v>0</v>
      </c>
      <c r="K501" s="39">
        <f t="shared" si="35"/>
        <v>475458</v>
      </c>
      <c r="L501" s="42" t="s">
        <v>288</v>
      </c>
      <c r="N501" s="131"/>
    </row>
    <row r="502" spans="1:14" ht="12.2" customHeight="1" x14ac:dyDescent="0.2">
      <c r="A502" s="144" t="s">
        <v>651</v>
      </c>
      <c r="B502" s="145">
        <v>20</v>
      </c>
      <c r="C502" s="145">
        <v>12</v>
      </c>
      <c r="D502" s="146" t="s">
        <v>432</v>
      </c>
      <c r="E502" s="145"/>
      <c r="F502" s="147">
        <v>232088</v>
      </c>
      <c r="G502" s="147"/>
      <c r="H502" s="147"/>
      <c r="I502" s="147"/>
      <c r="J502" s="147"/>
      <c r="K502" s="148">
        <f t="shared" si="35"/>
        <v>232088</v>
      </c>
      <c r="L502" s="149" t="s">
        <v>288</v>
      </c>
      <c r="N502" s="131"/>
    </row>
    <row r="503" spans="1:14" ht="12.2" customHeight="1" thickBot="1" x14ac:dyDescent="0.25">
      <c r="A503" s="21" t="s">
        <v>625</v>
      </c>
      <c r="B503" s="22">
        <v>20</v>
      </c>
      <c r="C503" s="22">
        <v>13</v>
      </c>
      <c r="D503" s="2" t="s">
        <v>432</v>
      </c>
      <c r="E503" s="22"/>
      <c r="F503" s="18">
        <v>6513</v>
      </c>
      <c r="G503" s="18"/>
      <c r="H503" s="18"/>
      <c r="I503" s="18"/>
      <c r="J503" s="18"/>
      <c r="K503" s="19">
        <f t="shared" si="35"/>
        <v>6513</v>
      </c>
      <c r="L503" s="23" t="s">
        <v>288</v>
      </c>
      <c r="N503" s="131"/>
    </row>
    <row r="504" spans="1:14" ht="12.2" customHeight="1" thickTop="1" x14ac:dyDescent="0.2">
      <c r="A504" s="97" t="s">
        <v>626</v>
      </c>
      <c r="B504" s="41">
        <v>20</v>
      </c>
      <c r="C504" s="41">
        <v>14</v>
      </c>
      <c r="D504" s="36" t="s">
        <v>432</v>
      </c>
      <c r="E504" s="41"/>
      <c r="F504" s="39">
        <f>SUM(F502:F503)</f>
        <v>238601</v>
      </c>
      <c r="G504" s="39">
        <f>SUM(G502:G503)</f>
        <v>0</v>
      </c>
      <c r="H504" s="39">
        <f>SUM(H502:H503)</f>
        <v>0</v>
      </c>
      <c r="I504" s="39">
        <f>SUM(I502:I503)</f>
        <v>0</v>
      </c>
      <c r="J504" s="39">
        <f>SUM(J502:J503)</f>
        <v>0</v>
      </c>
      <c r="K504" s="39">
        <f t="shared" si="35"/>
        <v>238601</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935524</v>
      </c>
      <c r="G522" s="18">
        <f>394379+8000</f>
        <v>402379</v>
      </c>
      <c r="H522" s="18">
        <v>816476</v>
      </c>
      <c r="I522" s="18">
        <f>2822+1035+9753</f>
        <v>13610</v>
      </c>
      <c r="J522" s="18"/>
      <c r="K522" s="18">
        <f>489+489+8811</f>
        <v>9789</v>
      </c>
      <c r="L522" s="69">
        <f>SUM(F522:K522)</f>
        <v>2177778</v>
      </c>
      <c r="N522" s="131"/>
    </row>
    <row r="523" spans="1:14" ht="12.2" customHeight="1" x14ac:dyDescent="0.2">
      <c r="A523" s="21" t="s">
        <v>634</v>
      </c>
      <c r="B523" s="22">
        <v>21</v>
      </c>
      <c r="C523" s="22">
        <v>2</v>
      </c>
      <c r="D523" s="2" t="s">
        <v>432</v>
      </c>
      <c r="E523" s="22"/>
      <c r="F523" s="18">
        <v>400416</v>
      </c>
      <c r="G523" s="18">
        <f>161222+9000</f>
        <v>170222</v>
      </c>
      <c r="H523" s="18">
        <v>719235</v>
      </c>
      <c r="I523" s="18">
        <f>7330</f>
        <v>7330</v>
      </c>
      <c r="J523" s="18"/>
      <c r="K523" s="18">
        <f>489+6622</f>
        <v>7111</v>
      </c>
      <c r="L523" s="69">
        <f>SUM(F523:K523)</f>
        <v>1304314</v>
      </c>
      <c r="N523" s="131"/>
    </row>
    <row r="524" spans="1:14" ht="12.2" customHeight="1" thickBot="1" x14ac:dyDescent="0.25">
      <c r="A524" s="21" t="s">
        <v>635</v>
      </c>
      <c r="B524" s="22">
        <v>21</v>
      </c>
      <c r="C524" s="22">
        <v>3</v>
      </c>
      <c r="D524" s="2" t="s">
        <v>432</v>
      </c>
      <c r="E524" s="22"/>
      <c r="F524" s="18">
        <v>462102</v>
      </c>
      <c r="G524" s="18">
        <f>173476+192</f>
        <v>173668</v>
      </c>
      <c r="H524" s="18">
        <v>879285</v>
      </c>
      <c r="I524" s="18">
        <f>2143+8289</f>
        <v>10432</v>
      </c>
      <c r="J524" s="18">
        <v>386</v>
      </c>
      <c r="K524" s="18">
        <f>489+7488</f>
        <v>7977</v>
      </c>
      <c r="L524" s="69">
        <f>SUM(F524:K524)</f>
        <v>1533850</v>
      </c>
      <c r="N524" s="131"/>
    </row>
    <row r="525" spans="1:14" ht="12.2" customHeight="1" thickTop="1" x14ac:dyDescent="0.2">
      <c r="A525" s="97" t="s">
        <v>63</v>
      </c>
      <c r="B525" s="41">
        <v>21</v>
      </c>
      <c r="C525" s="41">
        <v>4</v>
      </c>
      <c r="D525" s="115" t="s">
        <v>432</v>
      </c>
      <c r="E525" s="41"/>
      <c r="F525" s="81">
        <f>SUM(F522:F524)</f>
        <v>1798042</v>
      </c>
      <c r="G525" s="81">
        <f t="shared" ref="G525:L525" si="36">SUM(G522:G524)</f>
        <v>746269</v>
      </c>
      <c r="H525" s="81">
        <f t="shared" si="36"/>
        <v>2414996</v>
      </c>
      <c r="I525" s="81">
        <f t="shared" si="36"/>
        <v>31372</v>
      </c>
      <c r="J525" s="81">
        <f t="shared" si="36"/>
        <v>386</v>
      </c>
      <c r="K525" s="81">
        <f t="shared" si="36"/>
        <v>24877</v>
      </c>
      <c r="L525" s="70">
        <f t="shared" si="36"/>
        <v>5015942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32065</v>
      </c>
      <c r="G527" s="18">
        <v>20258</v>
      </c>
      <c r="H527" s="18"/>
      <c r="I527" s="18"/>
      <c r="J527" s="18"/>
      <c r="K527" s="18"/>
      <c r="L527" s="69">
        <f>SUM(F527:K527)</f>
        <v>52323</v>
      </c>
      <c r="M527" s="8"/>
      <c r="N527" s="165"/>
    </row>
    <row r="528" spans="1:14" s="3" customFormat="1" ht="12.2" customHeight="1" x14ac:dyDescent="0.15">
      <c r="A528" s="21" t="s">
        <v>634</v>
      </c>
      <c r="B528" s="22">
        <v>21</v>
      </c>
      <c r="C528" s="22">
        <v>6</v>
      </c>
      <c r="D528" s="2" t="s">
        <v>432</v>
      </c>
      <c r="E528" s="22"/>
      <c r="F528" s="18">
        <v>24098</v>
      </c>
      <c r="G528" s="18">
        <v>15225</v>
      </c>
      <c r="H528" s="18"/>
      <c r="I528" s="18"/>
      <c r="J528" s="18"/>
      <c r="K528" s="18"/>
      <c r="L528" s="69">
        <f>SUM(F528:K528)</f>
        <v>39323</v>
      </c>
      <c r="M528" s="8"/>
      <c r="N528" s="165"/>
    </row>
    <row r="529" spans="1:14" s="3" customFormat="1" ht="12.2" customHeight="1" thickBot="1" x14ac:dyDescent="0.2">
      <c r="A529" s="21" t="s">
        <v>635</v>
      </c>
      <c r="B529" s="22">
        <v>21</v>
      </c>
      <c r="C529" s="22">
        <v>7</v>
      </c>
      <c r="D529" s="2" t="s">
        <v>432</v>
      </c>
      <c r="E529" s="22"/>
      <c r="F529" s="18">
        <v>27251</v>
      </c>
      <c r="G529" s="18">
        <v>17217</v>
      </c>
      <c r="H529" s="18"/>
      <c r="I529" s="18"/>
      <c r="J529" s="18"/>
      <c r="K529" s="18"/>
      <c r="L529" s="69">
        <f>SUM(F529:K529)</f>
        <v>44468</v>
      </c>
      <c r="M529" s="8"/>
      <c r="N529" s="165"/>
    </row>
    <row r="530" spans="1:14" s="3" customFormat="1" ht="12.2" customHeight="1" thickTop="1" x14ac:dyDescent="0.15">
      <c r="A530" s="97" t="s">
        <v>65</v>
      </c>
      <c r="B530" s="41">
        <v>21</v>
      </c>
      <c r="C530" s="41">
        <v>8</v>
      </c>
      <c r="D530" s="115" t="s">
        <v>432</v>
      </c>
      <c r="E530" s="41"/>
      <c r="F530" s="70">
        <f>SUM(F527:F529)</f>
        <v>83414</v>
      </c>
      <c r="G530" s="70">
        <f t="shared" ref="G530:L530" si="37">SUM(G527:G529)</f>
        <v>52700</v>
      </c>
      <c r="H530" s="70">
        <f t="shared" si="37"/>
        <v>0</v>
      </c>
      <c r="I530" s="70">
        <f t="shared" si="37"/>
        <v>0</v>
      </c>
      <c r="J530" s="70">
        <f t="shared" si="37"/>
        <v>0</v>
      </c>
      <c r="K530" s="70">
        <f t="shared" si="37"/>
        <v>0</v>
      </c>
      <c r="L530" s="70">
        <f t="shared" si="37"/>
        <v>136114</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f>54679-8000</f>
        <v>46679</v>
      </c>
      <c r="G532" s="18">
        <f>38347-5000-8000</f>
        <v>25347</v>
      </c>
      <c r="H532" s="18">
        <v>75061</v>
      </c>
      <c r="I532" s="18"/>
      <c r="J532" s="18"/>
      <c r="K532" s="18"/>
      <c r="L532" s="69">
        <f>SUM(F532:K532)</f>
        <v>147087</v>
      </c>
      <c r="M532" s="8"/>
      <c r="N532" s="165"/>
    </row>
    <row r="533" spans="1:14" s="3" customFormat="1" ht="12.2" customHeight="1" x14ac:dyDescent="0.15">
      <c r="A533" s="21" t="s">
        <v>634</v>
      </c>
      <c r="B533" s="22">
        <v>21</v>
      </c>
      <c r="C533" s="22">
        <v>10</v>
      </c>
      <c r="D533" s="2" t="s">
        <v>432</v>
      </c>
      <c r="E533" s="22"/>
      <c r="F533" s="18">
        <v>41095</v>
      </c>
      <c r="G533" s="18">
        <f>28820-9000</f>
        <v>19820</v>
      </c>
      <c r="H533" s="18">
        <v>56412</v>
      </c>
      <c r="I533" s="18"/>
      <c r="J533" s="18"/>
      <c r="K533" s="18"/>
      <c r="L533" s="69">
        <f>SUM(F533:K533)</f>
        <v>117327</v>
      </c>
      <c r="M533" s="8"/>
      <c r="N533" s="165"/>
    </row>
    <row r="534" spans="1:14" s="3" customFormat="1" ht="12.2" customHeight="1" thickBot="1" x14ac:dyDescent="0.2">
      <c r="A534" s="21" t="s">
        <v>635</v>
      </c>
      <c r="B534" s="22">
        <v>21</v>
      </c>
      <c r="C534" s="22">
        <v>11</v>
      </c>
      <c r="D534" s="2" t="s">
        <v>432</v>
      </c>
      <c r="E534" s="22"/>
      <c r="F534" s="18">
        <f>46472+8000</f>
        <v>54472</v>
      </c>
      <c r="G534" s="18">
        <f>32592+5000</f>
        <v>37592</v>
      </c>
      <c r="H534" s="18">
        <v>63794</v>
      </c>
      <c r="I534" s="18"/>
      <c r="J534" s="18"/>
      <c r="K534" s="18"/>
      <c r="L534" s="69">
        <f>SUM(F534:K534)</f>
        <v>155858</v>
      </c>
      <c r="M534" s="8"/>
      <c r="N534" s="165"/>
    </row>
    <row r="535" spans="1:14" s="3" customFormat="1" ht="12.2" customHeight="1" thickTop="1" x14ac:dyDescent="0.15">
      <c r="A535" s="97" t="s">
        <v>67</v>
      </c>
      <c r="B535" s="41">
        <v>21</v>
      </c>
      <c r="C535" s="41">
        <v>12</v>
      </c>
      <c r="D535" s="115" t="s">
        <v>432</v>
      </c>
      <c r="E535" s="41"/>
      <c r="F535" s="70">
        <f>SUM(F532:F534)</f>
        <v>142246</v>
      </c>
      <c r="G535" s="70">
        <f t="shared" ref="G535:L535" si="38">SUM(G532:G534)</f>
        <v>82759</v>
      </c>
      <c r="H535" s="70">
        <f t="shared" si="38"/>
        <v>195267</v>
      </c>
      <c r="I535" s="70">
        <f t="shared" si="38"/>
        <v>0</v>
      </c>
      <c r="J535" s="70">
        <f t="shared" si="38"/>
        <v>0</v>
      </c>
      <c r="K535" s="70">
        <f t="shared" si="38"/>
        <v>0</v>
      </c>
      <c r="L535" s="70">
        <f t="shared" si="38"/>
        <v>420272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77356</v>
      </c>
      <c r="I542" s="18"/>
      <c r="J542" s="18"/>
      <c r="K542" s="18"/>
      <c r="L542" s="69">
        <f>SUM(F542:K542)</f>
        <v>77356</v>
      </c>
      <c r="M542" s="8"/>
      <c r="N542" s="165"/>
    </row>
    <row r="543" spans="1:14" s="3" customFormat="1" ht="12.2" customHeight="1" x14ac:dyDescent="0.15">
      <c r="A543" s="21" t="s">
        <v>634</v>
      </c>
      <c r="B543" s="22">
        <v>21</v>
      </c>
      <c r="C543" s="22">
        <v>18</v>
      </c>
      <c r="D543" s="2" t="s">
        <v>432</v>
      </c>
      <c r="E543" s="22"/>
      <c r="F543" s="18"/>
      <c r="G543" s="18"/>
      <c r="H543" s="18">
        <v>53331</v>
      </c>
      <c r="I543" s="18"/>
      <c r="J543" s="18"/>
      <c r="K543" s="18"/>
      <c r="L543" s="69">
        <f>SUM(F543:K543)</f>
        <v>53331</v>
      </c>
      <c r="M543" s="8"/>
      <c r="N543" s="165"/>
    </row>
    <row r="544" spans="1:14" s="3" customFormat="1" ht="12.2" customHeight="1" thickBot="1" x14ac:dyDescent="0.2">
      <c r="A544" s="21" t="s">
        <v>635</v>
      </c>
      <c r="B544" s="22">
        <v>21</v>
      </c>
      <c r="C544" s="22">
        <v>19</v>
      </c>
      <c r="D544" s="2" t="s">
        <v>432</v>
      </c>
      <c r="E544" s="22"/>
      <c r="F544" s="18"/>
      <c r="G544" s="18"/>
      <c r="H544" s="18">
        <v>81605</v>
      </c>
      <c r="I544" s="18"/>
      <c r="J544" s="18"/>
      <c r="K544" s="18"/>
      <c r="L544" s="69">
        <f>SUM(F544:K544)</f>
        <v>81605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212292</v>
      </c>
      <c r="I545" s="141">
        <f t="shared" si="40"/>
        <v>0</v>
      </c>
      <c r="J545" s="141">
        <f t="shared" si="40"/>
        <v>0</v>
      </c>
      <c r="K545" s="141">
        <f t="shared" si="40"/>
        <v>0</v>
      </c>
      <c r="L545" s="141">
        <f t="shared" si="40"/>
        <v>212292</v>
      </c>
      <c r="M545" s="8"/>
      <c r="N545" s="165"/>
    </row>
    <row r="546" spans="1:14" s="3" customFormat="1" ht="12.2" customHeight="1" thickTop="1" x14ac:dyDescent="0.15">
      <c r="A546" s="75" t="s">
        <v>72</v>
      </c>
      <c r="B546" s="41">
        <v>21</v>
      </c>
      <c r="C546" s="41">
        <v>21</v>
      </c>
      <c r="D546" s="115" t="s">
        <v>432</v>
      </c>
      <c r="E546" s="41"/>
      <c r="F546" s="70">
        <f>F525+F530+F535+F540+F545</f>
        <v>2023702</v>
      </c>
      <c r="G546" s="70">
        <f t="shared" ref="G546:L546" si="41">G525+G530+G535+G540+G545</f>
        <v>881728</v>
      </c>
      <c r="H546" s="70">
        <f t="shared" si="41"/>
        <v>2822555</v>
      </c>
      <c r="I546" s="70">
        <f t="shared" si="41"/>
        <v>31372</v>
      </c>
      <c r="J546" s="70">
        <f t="shared" si="41"/>
        <v>386</v>
      </c>
      <c r="K546" s="70">
        <f t="shared" si="41"/>
        <v>24877</v>
      </c>
      <c r="L546" s="70">
        <f t="shared" si="41"/>
        <v>5784620</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2177778</v>
      </c>
      <c r="G550" s="69">
        <f>L527</f>
        <v>52323</v>
      </c>
      <c r="H550" s="69">
        <f>L532</f>
        <v>147087</v>
      </c>
      <c r="I550" s="69">
        <f>L537</f>
        <v>0</v>
      </c>
      <c r="J550" s="69">
        <f>L542</f>
        <v>77356</v>
      </c>
      <c r="K550" s="69">
        <f>SUM(F550:J550)</f>
        <v>2454544</v>
      </c>
      <c r="L550" s="23" t="s">
        <v>288</v>
      </c>
      <c r="M550" s="8"/>
      <c r="N550" s="165"/>
    </row>
    <row r="551" spans="1:14" s="3" customFormat="1" ht="12.2" customHeight="1" x14ac:dyDescent="0.15">
      <c r="A551" s="21" t="s">
        <v>634</v>
      </c>
      <c r="B551" s="22">
        <v>21</v>
      </c>
      <c r="C551" s="22">
        <v>23</v>
      </c>
      <c r="D551" s="2" t="s">
        <v>432</v>
      </c>
      <c r="E551" s="22"/>
      <c r="F551" s="69">
        <f>L523</f>
        <v>1304314</v>
      </c>
      <c r="G551" s="69">
        <f>L528</f>
        <v>39323</v>
      </c>
      <c r="H551" s="69">
        <f>L533</f>
        <v>117327</v>
      </c>
      <c r="I551" s="69">
        <f>L538</f>
        <v>0</v>
      </c>
      <c r="J551" s="69">
        <f>L543</f>
        <v>53331</v>
      </c>
      <c r="K551" s="69">
        <f>SUM(F551:J551)</f>
        <v>1514295</v>
      </c>
      <c r="L551" s="23" t="s">
        <v>288</v>
      </c>
      <c r="M551" s="8"/>
      <c r="N551" s="165"/>
    </row>
    <row r="552" spans="1:14" s="3" customFormat="1" ht="12.2" customHeight="1" thickBot="1" x14ac:dyDescent="0.2">
      <c r="A552" s="21" t="s">
        <v>635</v>
      </c>
      <c r="B552" s="22">
        <v>21</v>
      </c>
      <c r="C552" s="22">
        <v>24</v>
      </c>
      <c r="D552" s="2" t="s">
        <v>432</v>
      </c>
      <c r="E552" s="22"/>
      <c r="F552" s="69">
        <f>L524</f>
        <v>1533850</v>
      </c>
      <c r="G552" s="69">
        <f>L529</f>
        <v>44468</v>
      </c>
      <c r="H552" s="69">
        <f>L534</f>
        <v>155858</v>
      </c>
      <c r="I552" s="69">
        <f>L539</f>
        <v>0</v>
      </c>
      <c r="J552" s="69">
        <f>L544</f>
        <v>81605</v>
      </c>
      <c r="K552" s="69">
        <f>SUM(F552:J552)</f>
        <v>1815781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5015942</v>
      </c>
      <c r="G553" s="70">
        <f t="shared" si="42"/>
        <v>136114</v>
      </c>
      <c r="H553" s="70">
        <f t="shared" si="42"/>
        <v>420272</v>
      </c>
      <c r="I553" s="70">
        <f t="shared" si="42"/>
        <v>0</v>
      </c>
      <c r="J553" s="70">
        <f t="shared" si="42"/>
        <v>212292</v>
      </c>
      <c r="K553" s="70">
        <f t="shared" si="42"/>
        <v>5784620</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21386</v>
      </c>
      <c r="G563" s="18">
        <v>9749</v>
      </c>
      <c r="H563" s="18"/>
      <c r="I563" s="18">
        <v>536</v>
      </c>
      <c r="J563" s="18"/>
      <c r="K563" s="18"/>
      <c r="L563" s="69">
        <f>SUM(F563:K563)</f>
        <v>31671</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21386</v>
      </c>
      <c r="G566" s="70">
        <f t="shared" si="44"/>
        <v>9749</v>
      </c>
      <c r="H566" s="70">
        <f t="shared" si="44"/>
        <v>0</v>
      </c>
      <c r="I566" s="70">
        <f t="shared" si="44"/>
        <v>536</v>
      </c>
      <c r="J566" s="70">
        <f t="shared" si="44"/>
        <v>0</v>
      </c>
      <c r="K566" s="70">
        <f t="shared" si="44"/>
        <v>0</v>
      </c>
      <c r="L566" s="70">
        <f t="shared" si="44"/>
        <v>31671</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21386</v>
      </c>
      <c r="G572" s="70">
        <f t="shared" ref="G572:L572" si="46">G561+G566+G571</f>
        <v>9749</v>
      </c>
      <c r="H572" s="70">
        <f t="shared" si="46"/>
        <v>0</v>
      </c>
      <c r="I572" s="70">
        <f t="shared" si="46"/>
        <v>536</v>
      </c>
      <c r="J572" s="70">
        <f t="shared" si="46"/>
        <v>0</v>
      </c>
      <c r="K572" s="70">
        <f t="shared" si="46"/>
        <v>0</v>
      </c>
      <c r="L572" s="70">
        <f t="shared" si="46"/>
        <v>31671</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v>13018</v>
      </c>
      <c r="H579" s="18"/>
      <c r="I579" s="69">
        <f t="shared" si="47"/>
        <v>13018</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v>114940</v>
      </c>
      <c r="H583" s="18">
        <v>246217</v>
      </c>
      <c r="I583" s="69">
        <f t="shared" si="47"/>
        <v>361157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125009</v>
      </c>
      <c r="I585" s="69">
        <f t="shared" si="47"/>
        <v>125009</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393866</v>
      </c>
      <c r="I592" s="18">
        <v>296015</v>
      </c>
      <c r="J592" s="18">
        <v>334745</v>
      </c>
      <c r="K592" s="80">
        <f t="shared" ref="K592:K598" si="48">SUM(H592:J592)</f>
        <v>1024626</v>
      </c>
      <c r="L592" s="23" t="s">
        <v>288</v>
      </c>
      <c r="M592" s="8"/>
      <c r="N592" s="165"/>
    </row>
    <row r="593" spans="1:14" s="3" customFormat="1" ht="12.2" customHeight="1" x14ac:dyDescent="0.15">
      <c r="A593" s="3" t="s">
        <v>638</v>
      </c>
      <c r="B593" s="22">
        <v>23</v>
      </c>
      <c r="C593" s="22">
        <v>2</v>
      </c>
      <c r="D593" s="2" t="s">
        <v>432</v>
      </c>
      <c r="E593" s="22"/>
      <c r="F593" s="78">
        <v>2722</v>
      </c>
      <c r="G593" s="79" t="s">
        <v>97</v>
      </c>
      <c r="H593" s="18">
        <v>81606</v>
      </c>
      <c r="I593" s="18">
        <v>61330</v>
      </c>
      <c r="J593" s="18">
        <v>69356</v>
      </c>
      <c r="K593" s="80">
        <f t="shared" si="48"/>
        <v>212292</v>
      </c>
      <c r="L593" s="23" t="s">
        <v>288</v>
      </c>
      <c r="M593" s="8"/>
      <c r="N593" s="165"/>
    </row>
    <row r="594" spans="1:14" s="3" customFormat="1" ht="12.2" customHeight="1" x14ac:dyDescent="0.15">
      <c r="A594" s="3" t="s">
        <v>639</v>
      </c>
      <c r="B594" s="22">
        <v>23</v>
      </c>
      <c r="C594" s="22">
        <v>3</v>
      </c>
      <c r="D594" s="2" t="s">
        <v>432</v>
      </c>
      <c r="E594" s="22"/>
      <c r="F594" s="78">
        <v>2723</v>
      </c>
      <c r="G594" s="79" t="s">
        <v>97</v>
      </c>
      <c r="H594" s="18">
        <v>6146</v>
      </c>
      <c r="I594" s="18">
        <v>4619</v>
      </c>
      <c r="J594" s="18">
        <v>5224</v>
      </c>
      <c r="K594" s="80">
        <f t="shared" si="48"/>
        <v>15989</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f>11779</f>
        <v>11779</v>
      </c>
      <c r="J595" s="18">
        <f>39417</f>
        <v>39417</v>
      </c>
      <c r="K595" s="80">
        <f t="shared" si="48"/>
        <v>51196</v>
      </c>
      <c r="L595" s="23" t="s">
        <v>288</v>
      </c>
      <c r="M595" s="8"/>
      <c r="N595" s="165"/>
    </row>
    <row r="596" spans="1:14" s="3" customFormat="1" ht="12.2" customHeight="1" x14ac:dyDescent="0.15">
      <c r="A596" s="103" t="s">
        <v>652</v>
      </c>
      <c r="B596" s="22">
        <v>23</v>
      </c>
      <c r="C596" s="22">
        <v>5</v>
      </c>
      <c r="D596" s="2" t="s">
        <v>432</v>
      </c>
      <c r="E596" s="22"/>
      <c r="F596" s="78">
        <v>2725</v>
      </c>
      <c r="G596" s="79" t="s">
        <v>97</v>
      </c>
      <c r="H596" s="18">
        <f>1770+2966</f>
        <v>4736</v>
      </c>
      <c r="I596" s="18">
        <f>5558+71</f>
        <v>5629</v>
      </c>
      <c r="J596" s="18">
        <v>3081</v>
      </c>
      <c r="K596" s="80">
        <f t="shared" si="48"/>
        <v>13446</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486354</v>
      </c>
      <c r="I599" s="81">
        <f>SUM(I592:I598)</f>
        <v>379372</v>
      </c>
      <c r="J599" s="81">
        <f>SUM(J592:J598)</f>
        <v>451823</v>
      </c>
      <c r="K599" s="81">
        <f>SUM(K592:K598)</f>
        <v>1317549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J291+J212</f>
        <v>59230</v>
      </c>
      <c r="I605" s="18">
        <f>J310+J230</f>
        <v>124002</v>
      </c>
      <c r="J605" s="18">
        <f>J329+J248</f>
        <v>177147</v>
      </c>
      <c r="K605" s="80">
        <f>SUM(H605:J605)</f>
        <v>360379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59230</v>
      </c>
      <c r="I606" s="81">
        <f>SUM(I603:I605)</f>
        <v>124002</v>
      </c>
      <c r="J606" s="81">
        <f>SUM(J603:J605)</f>
        <v>177147</v>
      </c>
      <c r="K606" s="81">
        <f>SUM(K603:K605)</f>
        <v>360379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4897735</v>
      </c>
      <c r="H618" s="80">
        <f>SUM(F52)</f>
        <v>4897735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361962</v>
      </c>
      <c r="H619" s="80">
        <f>SUM(G52)</f>
        <v>361962</v>
      </c>
      <c r="I619" s="87" t="s">
        <v>875</v>
      </c>
      <c r="J619" s="80">
        <f>G619-H619</f>
        <v>0</v>
      </c>
      <c r="K619" s="80"/>
      <c r="L619" s="80"/>
      <c r="M619" s="8"/>
    </row>
    <row r="620" spans="1:14" s="3" customFormat="1" ht="12.2" customHeight="1" x14ac:dyDescent="0.15">
      <c r="A620" s="74"/>
      <c r="B620" s="22"/>
      <c r="C620" s="22"/>
      <c r="D620" s="22"/>
      <c r="E620" s="22"/>
      <c r="F620" s="87" t="s">
        <v>685</v>
      </c>
      <c r="G620" s="80">
        <f>SUM(H19)</f>
        <v>575205</v>
      </c>
      <c r="H620" s="80">
        <f>SUM(H52)</f>
        <v>575205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2180998</v>
      </c>
      <c r="H622" s="80">
        <f>SUM(J52)</f>
        <v>2180998</v>
      </c>
      <c r="I622" s="87" t="s">
        <v>878</v>
      </c>
      <c r="J622" s="80">
        <f>G622-H622</f>
        <v>0</v>
      </c>
      <c r="K622" s="80"/>
      <c r="L622" s="80"/>
      <c r="M622" s="8"/>
    </row>
    <row r="623" spans="1:14" s="3" customFormat="1" ht="12.2" customHeight="1" x14ac:dyDescent="0.15">
      <c r="A623" s="74"/>
      <c r="B623" s="22"/>
      <c r="C623" s="22"/>
      <c r="D623" s="22"/>
      <c r="E623" s="22"/>
      <c r="F623" s="87" t="s">
        <v>864</v>
      </c>
      <c r="G623" s="80">
        <f>F51</f>
        <v>3677428</v>
      </c>
      <c r="H623" s="80">
        <f>F477</f>
        <v>3677428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345099</v>
      </c>
      <c r="H624" s="80">
        <f>G477</f>
        <v>345099</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2180998</v>
      </c>
      <c r="H627" s="80">
        <f>J477</f>
        <v>2180998</v>
      </c>
      <c r="I627" s="87" t="s">
        <v>105</v>
      </c>
      <c r="J627" s="80">
        <f t="shared" si="50"/>
        <v>0</v>
      </c>
      <c r="K627" s="67"/>
      <c r="L627" s="69"/>
      <c r="M627" s="8"/>
    </row>
    <row r="628" spans="1:13" s="3" customFormat="1" ht="12.2" customHeight="1" x14ac:dyDescent="0.15">
      <c r="A628" s="21"/>
      <c r="B628" s="22"/>
      <c r="C628" s="22"/>
      <c r="D628" s="22"/>
      <c r="E628" s="22"/>
      <c r="F628" s="86" t="s">
        <v>658</v>
      </c>
      <c r="G628" s="80">
        <f>F194</f>
        <v>26014967</v>
      </c>
      <c r="H628" s="80">
        <f>SUM(F469)</f>
        <v>26014967</v>
      </c>
      <c r="I628" s="87" t="s">
        <v>106</v>
      </c>
      <c r="J628" s="80">
        <f>G628-H628</f>
        <v>0</v>
      </c>
      <c r="K628" s="67"/>
      <c r="L628" s="69"/>
      <c r="M628" s="8"/>
    </row>
    <row r="629" spans="1:13" s="3" customFormat="1" ht="12.2" customHeight="1" x14ac:dyDescent="0.15">
      <c r="A629" s="21"/>
      <c r="B629" s="22"/>
      <c r="C629" s="22"/>
      <c r="D629" s="22"/>
      <c r="E629" s="22"/>
      <c r="F629" s="86" t="s">
        <v>659</v>
      </c>
      <c r="G629" s="80">
        <f>G194</f>
        <v>754256</v>
      </c>
      <c r="H629" s="80">
        <f>SUM(G469)</f>
        <v>754256</v>
      </c>
      <c r="I629" s="87" t="s">
        <v>107</v>
      </c>
      <c r="J629" s="80">
        <f>G629-H629</f>
        <v>0</v>
      </c>
      <c r="K629" s="67"/>
      <c r="L629" s="69"/>
      <c r="M629" s="8"/>
    </row>
    <row r="630" spans="1:13" s="3" customFormat="1" ht="12.2" customHeight="1" x14ac:dyDescent="0.15">
      <c r="A630" s="21"/>
      <c r="B630" s="22"/>
      <c r="C630" s="22"/>
      <c r="D630" s="22"/>
      <c r="E630" s="22"/>
      <c r="F630" s="86" t="s">
        <v>660</v>
      </c>
      <c r="G630" s="80">
        <f>H194</f>
        <v>1988913</v>
      </c>
      <c r="H630" s="80">
        <f>SUM(H469)</f>
        <v>1988913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565111</v>
      </c>
      <c r="H632" s="80">
        <f>SUM(J469)</f>
        <v>565111</v>
      </c>
      <c r="I632" s="87" t="s">
        <v>110</v>
      </c>
      <c r="J632" s="80">
        <f>G632-H632</f>
        <v>0</v>
      </c>
      <c r="K632" s="67"/>
      <c r="L632" s="69"/>
      <c r="M632" s="8"/>
    </row>
    <row r="633" spans="1:13" s="3" customFormat="1" ht="12.2" customHeight="1" x14ac:dyDescent="0.15">
      <c r="A633" s="21"/>
      <c r="B633" s="22"/>
      <c r="C633" s="22"/>
      <c r="D633" s="22"/>
      <c r="E633" s="22"/>
      <c r="F633" s="86" t="s">
        <v>394</v>
      </c>
      <c r="G633" s="80">
        <f>SUM(L272)</f>
        <v>24667306</v>
      </c>
      <c r="H633" s="80">
        <f>SUM(F473)</f>
        <v>24667306</v>
      </c>
      <c r="I633" s="87" t="s">
        <v>111</v>
      </c>
      <c r="J633" s="80">
        <f t="shared" si="50"/>
        <v>0</v>
      </c>
      <c r="K633" s="67"/>
      <c r="L633" s="69"/>
      <c r="M633" s="8"/>
    </row>
    <row r="634" spans="1:13" s="3" customFormat="1" ht="12.2" customHeight="1" x14ac:dyDescent="0.15">
      <c r="A634" s="21"/>
      <c r="B634" s="22"/>
      <c r="C634" s="22"/>
      <c r="D634" s="22"/>
      <c r="E634" s="22"/>
      <c r="F634" s="86" t="s">
        <v>395</v>
      </c>
      <c r="G634" s="80">
        <f>SUM(L353)</f>
        <v>1988913</v>
      </c>
      <c r="H634" s="80">
        <f>SUM(H473)</f>
        <v>1988913</v>
      </c>
      <c r="I634" s="87" t="s">
        <v>112</v>
      </c>
      <c r="J634" s="80">
        <f>G634-H634</f>
        <v>0</v>
      </c>
      <c r="K634" s="67"/>
      <c r="L634" s="69"/>
      <c r="M634" s="8"/>
    </row>
    <row r="635" spans="1:13" s="124" customFormat="1" ht="12.2" customHeight="1" x14ac:dyDescent="0.15">
      <c r="A635" s="21"/>
      <c r="B635" s="22"/>
      <c r="C635" s="22"/>
      <c r="D635" s="22"/>
      <c r="E635" s="22"/>
      <c r="F635" s="99" t="s">
        <v>247</v>
      </c>
      <c r="G635" s="80">
        <f>I363</f>
        <v>291201</v>
      </c>
      <c r="H635" s="80">
        <f>I370</f>
        <v>291201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872567</v>
      </c>
      <c r="H636" s="80">
        <f>SUM(G473)</f>
        <v>872567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565111</v>
      </c>
      <c r="H638" s="108">
        <f>SUM(J469)</f>
        <v>565111</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379527</v>
      </c>
      <c r="H639" s="108">
        <f>SUM(J473)</f>
        <v>379527</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2180998</v>
      </c>
      <c r="H640" s="80">
        <f>SUM(F462)</f>
        <v>2180998</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2180998</v>
      </c>
      <c r="H643" s="80">
        <f>SUM(I462)</f>
        <v>2180998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65111</v>
      </c>
      <c r="H645" s="80">
        <f>H409</f>
        <v>65111</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500000</v>
      </c>
      <c r="H646" s="80">
        <f>G409</f>
        <v>500000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565111</v>
      </c>
      <c r="H647" s="80">
        <f>L409</f>
        <v>565111</v>
      </c>
      <c r="I647" s="87" t="s">
        <v>477</v>
      </c>
      <c r="J647" s="80">
        <f t="shared" si="50"/>
        <v>0</v>
      </c>
      <c r="K647" s="67"/>
      <c r="L647" s="69"/>
      <c r="M647" s="8"/>
    </row>
    <row r="648" spans="1:13" s="3" customFormat="1" ht="12.2" customHeight="1" x14ac:dyDescent="0.15">
      <c r="A648" s="21"/>
      <c r="B648" s="22"/>
      <c r="C648" s="22"/>
      <c r="D648" s="22"/>
      <c r="E648" s="22"/>
      <c r="F648" s="86" t="s">
        <v>51</v>
      </c>
      <c r="G648" s="80">
        <f>K599</f>
        <v>1317549</v>
      </c>
      <c r="H648" s="80">
        <f>L209+L227+L245</f>
        <v>1317549</v>
      </c>
      <c r="I648" s="87" t="s">
        <v>396</v>
      </c>
      <c r="J648" s="80">
        <f t="shared" si="50"/>
        <v>0</v>
      </c>
      <c r="K648" s="67"/>
      <c r="L648" s="69"/>
      <c r="M648" s="8"/>
    </row>
    <row r="649" spans="1:13" s="3" customFormat="1" ht="12.2" customHeight="1" x14ac:dyDescent="0.15">
      <c r="A649" s="21"/>
      <c r="B649" s="22"/>
      <c r="C649" s="22"/>
      <c r="D649" s="22"/>
      <c r="E649" s="22"/>
      <c r="F649" s="86" t="s">
        <v>52</v>
      </c>
      <c r="G649" s="80">
        <f>K606</f>
        <v>360379</v>
      </c>
      <c r="H649" s="80">
        <f>(J258+J339)-(J256+J337)</f>
        <v>360379</v>
      </c>
      <c r="I649" s="87" t="s">
        <v>699</v>
      </c>
      <c r="J649" s="80">
        <f t="shared" si="50"/>
        <v>0</v>
      </c>
      <c r="K649" s="67"/>
      <c r="L649" s="69"/>
      <c r="M649" s="8"/>
    </row>
    <row r="650" spans="1:13" s="3" customFormat="1" ht="12.2" customHeight="1" x14ac:dyDescent="0.15">
      <c r="A650" s="21"/>
      <c r="B650" s="22"/>
      <c r="C650" s="22"/>
      <c r="D650" s="22"/>
      <c r="E650" s="22"/>
      <c r="F650" s="86" t="s">
        <v>387</v>
      </c>
      <c r="G650" s="80">
        <f>L209</f>
        <v>486354</v>
      </c>
      <c r="H650" s="80">
        <f>H599</f>
        <v>486354</v>
      </c>
      <c r="I650" s="87" t="s">
        <v>388</v>
      </c>
      <c r="J650" s="80">
        <f t="shared" si="50"/>
        <v>0</v>
      </c>
      <c r="K650" s="67"/>
      <c r="L650" s="69"/>
      <c r="M650" s="8"/>
    </row>
    <row r="651" spans="1:13" s="3" customFormat="1" ht="12.2" customHeight="1" x14ac:dyDescent="0.15">
      <c r="A651" s="21"/>
      <c r="B651" s="22"/>
      <c r="C651" s="22"/>
      <c r="D651" s="22"/>
      <c r="E651" s="22"/>
      <c r="F651" s="86" t="s">
        <v>392</v>
      </c>
      <c r="G651" s="80">
        <f>L227</f>
        <v>379372</v>
      </c>
      <c r="H651" s="80">
        <f>I599</f>
        <v>379372</v>
      </c>
      <c r="I651" s="87" t="s">
        <v>389</v>
      </c>
      <c r="J651" s="80">
        <f t="shared" si="50"/>
        <v>0</v>
      </c>
      <c r="K651" s="67"/>
      <c r="L651" s="69"/>
      <c r="M651" s="8"/>
    </row>
    <row r="652" spans="1:13" s="3" customFormat="1" ht="12.2" customHeight="1" x14ac:dyDescent="0.15">
      <c r="A652" s="21"/>
      <c r="B652" s="22"/>
      <c r="C652" s="22"/>
      <c r="D652" s="22"/>
      <c r="E652" s="22"/>
      <c r="F652" s="86" t="s">
        <v>393</v>
      </c>
      <c r="G652" s="80">
        <f>L245</f>
        <v>451823</v>
      </c>
      <c r="H652" s="80">
        <f>J599</f>
        <v>451823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500000</v>
      </c>
      <c r="H656" s="80">
        <f>K267+K348</f>
        <v>500000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10487908</v>
      </c>
      <c r="G661" s="13">
        <f>(L230+L310+L360)</f>
        <v>7520043</v>
      </c>
      <c r="H661" s="13">
        <f>(L248+L329+L361)</f>
        <v>8352293</v>
      </c>
      <c r="I661" s="13">
        <f>SUM(F661:H661)</f>
        <v>26360244</v>
      </c>
      <c r="J661" s="13"/>
      <c r="K661" s="13"/>
      <c r="L661" s="13"/>
      <c r="M661" s="9"/>
    </row>
    <row r="662" spans="1:13" s="3" customFormat="1" ht="12.2" customHeight="1" x14ac:dyDescent="0.2">
      <c r="A662" s="1" t="s">
        <v>127</v>
      </c>
      <c r="F662" s="13">
        <f>(L359/IF(SUM(L359:L361)=0,1,SUM(L359:L361))*(SUM(G97:G110)))</f>
        <v>129051.33074251033</v>
      </c>
      <c r="G662" s="13">
        <f>(L360/IF(SUM(L359:L361)=0,1,SUM(L359:L361))*(SUM(G97:G110)))</f>
        <v>77631.615749850724</v>
      </c>
      <c r="H662" s="13">
        <f>(L361/IF(SUM(L359:L361)=0,1,SUM(L359:L361))*(SUM(G97:G110)))</f>
        <v>142513.05350763895</v>
      </c>
      <c r="I662" s="13">
        <f>SUM(F662:H662)</f>
        <v>349196</v>
      </c>
      <c r="J662"/>
      <c r="K662" s="13"/>
      <c r="L662" s="13"/>
      <c r="M662" s="8"/>
    </row>
    <row r="663" spans="1:13" s="3" customFormat="1" ht="12.2" customHeight="1" x14ac:dyDescent="0.2">
      <c r="A663" s="1" t="s">
        <v>128</v>
      </c>
      <c r="F663" s="13">
        <f>(L209+L288)-(J209+J288)</f>
        <v>486354</v>
      </c>
      <c r="G663" s="13">
        <f>(L227+L307)-(J227+J307)</f>
        <v>379372</v>
      </c>
      <c r="H663" s="13">
        <f>(L245+L326)-(J245+J326)</f>
        <v>452057</v>
      </c>
      <c r="I663" s="13">
        <f>SUM(F663:H663)</f>
        <v>1317783</v>
      </c>
      <c r="J663"/>
      <c r="K663" s="13"/>
      <c r="L663" s="13"/>
      <c r="M663" s="9"/>
    </row>
    <row r="664" spans="1:13" s="3" customFormat="1" ht="12.2" customHeight="1" x14ac:dyDescent="0.15">
      <c r="A664" s="142" t="s">
        <v>129</v>
      </c>
      <c r="B664" s="124"/>
      <c r="C664" s="124"/>
      <c r="D664" s="124"/>
      <c r="E664" s="124"/>
      <c r="F664" s="143">
        <f>SUM(F576:F588)+SUM(H603:H605)+SUM(L612)</f>
        <v>59230</v>
      </c>
      <c r="G664" s="143">
        <f>SUM(G576:G588)+SUM(I603:I605)+L613</f>
        <v>251960</v>
      </c>
      <c r="H664" s="143">
        <f>SUM(H576:H588)+SUM(J603:J605)+L614</f>
        <v>548373</v>
      </c>
      <c r="I664" s="13">
        <f>SUM(F664:H664)</f>
        <v>859563</v>
      </c>
      <c r="J664" s="13"/>
      <c r="K664" s="13"/>
      <c r="L664" s="13"/>
      <c r="M664" s="9"/>
    </row>
    <row r="665" spans="1:13" s="3" customFormat="1" ht="12.2" customHeight="1" x14ac:dyDescent="0.15">
      <c r="A665" s="1" t="s">
        <v>130</v>
      </c>
      <c r="F665" s="13">
        <f>F661-SUM(F662:F664)</f>
        <v>9813272.66925749</v>
      </c>
      <c r="G665" s="13">
        <f>G661-SUM(G662:G664)</f>
        <v>6811079.3842501491</v>
      </c>
      <c r="H665" s="13">
        <f>H661-SUM(H662:H664)</f>
        <v>7209349.9464923609</v>
      </c>
      <c r="I665" s="13">
        <f>I661-SUM(I662:I664)</f>
        <v>23833702</v>
      </c>
      <c r="J665" s="13"/>
      <c r="K665" s="13"/>
      <c r="L665" s="13"/>
      <c r="M665" s="8"/>
    </row>
    <row r="666" spans="1:13" s="3" customFormat="1" ht="12.2" customHeight="1" x14ac:dyDescent="0.2">
      <c r="A666" s="1" t="s">
        <v>131</v>
      </c>
      <c r="F666" s="183">
        <v>431.17</v>
      </c>
      <c r="G666" s="184">
        <v>392.84</v>
      </c>
      <c r="H666" s="184">
        <v>398.58</v>
      </c>
      <c r="I666" s="13">
        <f>SUM(F666:H666)</f>
        <v>1222.5899999999999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22759.64</v>
      </c>
      <c r="G668" s="13">
        <f>ROUND(G665/G666,2)</f>
        <v>17338.05</v>
      </c>
      <c r="H668" s="13">
        <f>ROUND(H665/H666,2)</f>
        <v>18087.59</v>
      </c>
      <c r="I668" s="13">
        <f>ROUND(I665/I666,2)</f>
        <v>19494.439999999999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-7.73</v>
      </c>
      <c r="I671" s="13">
        <f>SUM(F671:H671)</f>
        <v>-7.73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22759.64</v>
      </c>
      <c r="G673" s="13">
        <f>ROUND((G665+G670)/(G666+G671),2)</f>
        <v>17338.05</v>
      </c>
      <c r="H673" s="13">
        <f>ROUND((H665+H670)/(H666+H671),2)</f>
        <v>18445.310000000001</v>
      </c>
      <c r="I673" s="13">
        <f>ROUND((I665+I670)/(I666+I671),2)</f>
        <v>19618.48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162716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91242-30</f>
        <v>91212</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46275</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v>25229</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Winnisquam Regional</v>
      </c>
      <c r="C5" s="317"/>
      <c r="D5" s="317"/>
      <c r="E5" s="317"/>
      <c r="F5" s="317"/>
    </row>
    <row r="8" spans="1:9" ht="18" x14ac:dyDescent="0.25">
      <c r="A8" s="240" t="s">
        <v>1560</v>
      </c>
      <c r="F8" s="247" t="s">
        <v>1578</v>
      </c>
    </row>
    <row r="9" spans="1:9" ht="15" x14ac:dyDescent="0.2">
      <c r="A9" s="238" t="s">
        <v>1561</v>
      </c>
      <c r="B9" s="241">
        <f>'DOE25'!G97</f>
        <v>337003</v>
      </c>
      <c r="F9" s="238" t="s">
        <v>1574</v>
      </c>
    </row>
    <row r="10" spans="1:9" ht="15" x14ac:dyDescent="0.2">
      <c r="A10" s="238" t="s">
        <v>1562</v>
      </c>
      <c r="B10" s="241">
        <f>'DOE25'!G112-'DOE25'!G97</f>
        <v>12193</v>
      </c>
      <c r="F10" s="238" t="s">
        <v>1575</v>
      </c>
    </row>
    <row r="11" spans="1:9" ht="15" x14ac:dyDescent="0.2">
      <c r="A11" s="238" t="s">
        <v>1563</v>
      </c>
      <c r="B11" s="241">
        <f>'DOE25'!G140</f>
        <v>7643</v>
      </c>
      <c r="F11" s="238" t="s">
        <v>1576</v>
      </c>
    </row>
    <row r="12" spans="1:9" ht="15" x14ac:dyDescent="0.2">
      <c r="A12" s="238" t="s">
        <v>1564</v>
      </c>
      <c r="B12" s="241">
        <f>'DOE25'!G170</f>
        <v>397417</v>
      </c>
      <c r="F12" s="238" t="s">
        <v>1577</v>
      </c>
    </row>
    <row r="13" spans="1:9" ht="15" x14ac:dyDescent="0.2">
      <c r="A13" s="238" t="s">
        <v>1565</v>
      </c>
      <c r="B13" s="241">
        <f>'DOE25'!G193-'DOE25'!G180</f>
        <v>0</v>
      </c>
      <c r="F13" s="238" t="s">
        <v>1587</v>
      </c>
    </row>
    <row r="14" spans="1:9" ht="18" x14ac:dyDescent="0.25">
      <c r="A14" s="240" t="s">
        <v>732</v>
      </c>
      <c r="B14" s="242">
        <f>SUM(B9:B13)</f>
        <v>754256</v>
      </c>
    </row>
    <row r="16" spans="1:9" ht="18" x14ac:dyDescent="0.25">
      <c r="A16" s="240" t="s">
        <v>786</v>
      </c>
      <c r="F16" s="247" t="s">
        <v>1579</v>
      </c>
    </row>
    <row r="17" spans="1:6" ht="15" x14ac:dyDescent="0.2">
      <c r="A17" s="238" t="s">
        <v>1566</v>
      </c>
      <c r="B17" s="241">
        <f>'DOE25'!L363-'DOE25'!L362</f>
        <v>872567</v>
      </c>
      <c r="F17" s="238" t="s">
        <v>1580</v>
      </c>
    </row>
    <row r="18" spans="1:6" ht="15" x14ac:dyDescent="0.2">
      <c r="A18" s="238" t="s">
        <v>1567</v>
      </c>
      <c r="B18" s="251"/>
      <c r="F18" s="247" t="s">
        <v>1604</v>
      </c>
    </row>
    <row r="19" spans="1:6" ht="18" x14ac:dyDescent="0.25">
      <c r="A19" s="240" t="s">
        <v>725</v>
      </c>
      <c r="B19" s="242">
        <f>SUM(B17:B18)</f>
        <v>872567</v>
      </c>
    </row>
    <row r="21" spans="1:6" ht="18.75" thickBot="1" x14ac:dyDescent="0.3">
      <c r="A21" s="240" t="s">
        <v>1568</v>
      </c>
    </row>
    <row r="22" spans="1:6" ht="18.75" thickTop="1" x14ac:dyDescent="0.25">
      <c r="A22" s="240" t="s">
        <v>1569</v>
      </c>
      <c r="B22" s="246">
        <f>B14-B19</f>
        <v>-118311</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463410</v>
      </c>
      <c r="F31" s="238" t="s">
        <v>1584</v>
      </c>
    </row>
    <row r="33" spans="1:6" ht="15" x14ac:dyDescent="0.2">
      <c r="A33" s="238" t="s">
        <v>1798</v>
      </c>
      <c r="B33" s="241">
        <f>'DOE25'!G477</f>
        <v>345099</v>
      </c>
      <c r="F33" s="238" t="s">
        <v>1585</v>
      </c>
    </row>
    <row r="36" spans="1:6" ht="15" x14ac:dyDescent="0.2">
      <c r="A36" s="238" t="s">
        <v>1571</v>
      </c>
      <c r="B36" s="252">
        <v>58511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Winnisquam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5465137</v>
      </c>
      <c r="C9" s="167">
        <f>'DOE25'!G198+'DOE25'!G216+'DOE25'!G234+'DOE25'!G277+'DOE25'!G296+'DOE25'!G315</f>
        <v>2691955</v>
      </c>
    </row>
    <row r="10" spans="1:3" x14ac:dyDescent="0.2">
      <c r="A10" t="s">
        <v>775</v>
      </c>
      <c r="B10" s="177">
        <v>5110857</v>
      </c>
      <c r="C10" s="177">
        <v>2523848</v>
      </c>
    </row>
    <row r="11" spans="1:3" x14ac:dyDescent="0.2">
      <c r="A11" t="s">
        <v>776</v>
      </c>
      <c r="B11" s="177">
        <v>124265</v>
      </c>
      <c r="C11" s="177">
        <v>58694</v>
      </c>
    </row>
    <row r="12" spans="1:3" x14ac:dyDescent="0.2">
      <c r="A12" t="s">
        <v>777</v>
      </c>
      <c r="B12" s="177">
        <v>230015</v>
      </c>
      <c r="C12" s="177">
        <v>109413</v>
      </c>
    </row>
    <row r="13" spans="1:3" x14ac:dyDescent="0.2">
      <c r="A13" t="str">
        <f>IF(B9=B13,IF(C9=C13,"Check Total OK","Check Total Error"),"Check Total Error")</f>
        <v>Check Total OK</v>
      </c>
      <c r="B13" s="169">
        <f>SUM(B10:B12)</f>
        <v>5465137</v>
      </c>
      <c r="C13" s="169">
        <f>SUM(C10:C12)</f>
        <v>2691955</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1797862</v>
      </c>
      <c r="C18" s="167">
        <f>'DOE25'!G199+'DOE25'!G217+'DOE25'!G235+'DOE25'!G278+'DOE25'!G297+'DOE25'!G316</f>
        <v>739878</v>
      </c>
    </row>
    <row r="19" spans="1:3" x14ac:dyDescent="0.2">
      <c r="A19" t="s">
        <v>775</v>
      </c>
      <c r="B19" s="177">
        <v>1053810</v>
      </c>
      <c r="C19" s="177">
        <v>465205</v>
      </c>
    </row>
    <row r="20" spans="1:3" x14ac:dyDescent="0.2">
      <c r="A20" t="s">
        <v>776</v>
      </c>
      <c r="B20" s="177">
        <v>686230</v>
      </c>
      <c r="C20" s="177">
        <v>253327</v>
      </c>
    </row>
    <row r="21" spans="1:3" x14ac:dyDescent="0.2">
      <c r="A21" t="s">
        <v>777</v>
      </c>
      <c r="B21" s="177">
        <v>57822</v>
      </c>
      <c r="C21" s="177">
        <v>21346</v>
      </c>
    </row>
    <row r="22" spans="1:3" x14ac:dyDescent="0.2">
      <c r="A22" t="str">
        <f>IF(B18=B22,IF(C18=C22,"Check Total OK","Check Total Error"),"Check Total Error")</f>
        <v>Check Total OK</v>
      </c>
      <c r="B22" s="169">
        <f>SUM(B19:B21)</f>
        <v>1797862</v>
      </c>
      <c r="C22" s="169">
        <f>SUM(C19:C21)</f>
        <v>739878</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151524</v>
      </c>
      <c r="C27" s="172">
        <f>'DOE25'!G200+'DOE25'!G218+'DOE25'!G236+'DOE25'!G279+'DOE25'!G298+'DOE25'!G317</f>
        <v>65978</v>
      </c>
    </row>
    <row r="28" spans="1:3" x14ac:dyDescent="0.2">
      <c r="A28" t="s">
        <v>775</v>
      </c>
      <c r="B28" s="177">
        <v>129581</v>
      </c>
      <c r="C28" s="177">
        <v>56406</v>
      </c>
    </row>
    <row r="29" spans="1:3" x14ac:dyDescent="0.2">
      <c r="A29" t="s">
        <v>776</v>
      </c>
      <c r="B29" s="177"/>
      <c r="C29" s="177"/>
    </row>
    <row r="30" spans="1:3" x14ac:dyDescent="0.2">
      <c r="A30" t="s">
        <v>777</v>
      </c>
      <c r="B30" s="177">
        <v>21943</v>
      </c>
      <c r="C30" s="177">
        <v>9572</v>
      </c>
    </row>
    <row r="31" spans="1:3" x14ac:dyDescent="0.2">
      <c r="A31" t="str">
        <f>IF(B27=B31,IF(C27=C31,"Check Total OK","Check Total Error"),"Check Total Error")</f>
        <v>Check Total OK</v>
      </c>
      <c r="B31" s="169">
        <f>SUM(B28:B30)</f>
        <v>151524</v>
      </c>
      <c r="C31" s="169">
        <f>SUM(C28:C30)</f>
        <v>65978</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366049</v>
      </c>
      <c r="C36" s="173">
        <f>'DOE25'!G201+'DOE25'!G219+'DOE25'!G237+'DOE25'!G280+'DOE25'!G299+'DOE25'!G318</f>
        <v>96451</v>
      </c>
    </row>
    <row r="37" spans="1:3" x14ac:dyDescent="0.2">
      <c r="A37" t="s">
        <v>775</v>
      </c>
      <c r="B37" s="177">
        <v>82634</v>
      </c>
      <c r="C37" s="177">
        <v>15574</v>
      </c>
    </row>
    <row r="38" spans="1:3" x14ac:dyDescent="0.2">
      <c r="A38" t="s">
        <v>776</v>
      </c>
      <c r="B38" s="177">
        <v>4215</v>
      </c>
      <c r="C38" s="177">
        <v>1012</v>
      </c>
    </row>
    <row r="39" spans="1:3" x14ac:dyDescent="0.2">
      <c r="A39" t="s">
        <v>777</v>
      </c>
      <c r="B39" s="177">
        <v>279200</v>
      </c>
      <c r="C39" s="177">
        <v>79865</v>
      </c>
    </row>
    <row r="40" spans="1:3" x14ac:dyDescent="0.2">
      <c r="A40" t="str">
        <f>IF(B36=B40,IF(C36=C40,"Check Total OK","Check Total Error"),"Check Total Error")</f>
        <v>Check Total OK</v>
      </c>
      <c r="B40" s="169">
        <f>SUM(B37:B39)</f>
        <v>366049</v>
      </c>
      <c r="C40" s="169">
        <f>SUM(C37:C39)</f>
        <v>96451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C38" sqref="C3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Winnisquam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13729104</v>
      </c>
      <c r="D5" s="19">
        <f>SUM('DOE25'!L198:L201)+SUM('DOE25'!L216:L219)+SUM('DOE25'!L234:L237)-F5-G5-H5</f>
        <v>13160138</v>
      </c>
      <c r="E5" s="180"/>
      <c r="F5" s="181">
        <f>395176+50153</f>
        <v>445329</v>
      </c>
      <c r="G5" s="19">
        <f>SUM('DOE25'!J198:J201)+SUM('DOE25'!J216:J219)+SUM('DOE25'!J234:J237)</f>
        <v>90676</v>
      </c>
      <c r="H5" s="19">
        <f>SUM('DOE25'!K198:K201)+SUM('DOE25'!K216:K219)+SUM('DOE25'!K234:K237)</f>
        <v>32961</v>
      </c>
      <c r="I5" s="192"/>
    </row>
    <row r="6" spans="1:9" x14ac:dyDescent="0.2">
      <c r="A6" s="31">
        <v>2100</v>
      </c>
      <c r="B6" t="s">
        <v>796</v>
      </c>
      <c r="C6" s="206">
        <f t="shared" si="0"/>
        <v>1413870</v>
      </c>
      <c r="D6" s="19">
        <f>'DOE25'!L203+'DOE25'!L221+'DOE25'!L239-F6-G6-H6</f>
        <v>1355481</v>
      </c>
      <c r="E6" s="180"/>
      <c r="F6" s="181">
        <v>56679</v>
      </c>
      <c r="G6" s="19">
        <f>'DOE25'!J203+'DOE25'!J221+'DOE25'!J239</f>
        <v>446</v>
      </c>
      <c r="H6" s="19">
        <f>'DOE25'!K203+'DOE25'!K221+'DOE25'!K239</f>
        <v>1264</v>
      </c>
      <c r="I6" s="192"/>
    </row>
    <row r="7" spans="1:9" x14ac:dyDescent="0.2">
      <c r="A7" s="31">
        <v>2200</v>
      </c>
      <c r="B7" t="s">
        <v>820</v>
      </c>
      <c r="C7" s="206">
        <f t="shared" si="0"/>
        <v>817597</v>
      </c>
      <c r="D7" s="19">
        <f>'DOE25'!L204+'DOE25'!L222+'DOE25'!L240-F7-G7-H7</f>
        <v>814034</v>
      </c>
      <c r="E7" s="180"/>
      <c r="F7" s="181">
        <v>0</v>
      </c>
      <c r="G7" s="19">
        <f>'DOE25'!J204+'DOE25'!J222+'DOE25'!J240</f>
        <v>2100</v>
      </c>
      <c r="H7" s="19">
        <f>'DOE25'!K204+'DOE25'!K222+'DOE25'!K240</f>
        <v>1463</v>
      </c>
      <c r="I7" s="192"/>
    </row>
    <row r="8" spans="1:9" x14ac:dyDescent="0.2">
      <c r="A8" s="31">
        <v>2300</v>
      </c>
      <c r="B8" t="s">
        <v>797</v>
      </c>
      <c r="C8" s="206">
        <f t="shared" si="0"/>
        <v>1350552</v>
      </c>
      <c r="D8" s="180"/>
      <c r="E8" s="19">
        <f>'DOE25'!L205+'DOE25'!L223+'DOE25'!L241-F8-G8-H8-D9-D11</f>
        <v>1088721</v>
      </c>
      <c r="F8" s="181">
        <v>80079</v>
      </c>
      <c r="G8" s="19">
        <f>'DOE25'!J205+'DOE25'!J223+'DOE25'!J241</f>
        <v>168933</v>
      </c>
      <c r="H8" s="19">
        <f>'DOE25'!K205+'DOE25'!K223+'DOE25'!K241</f>
        <v>12819</v>
      </c>
      <c r="I8" s="192"/>
    </row>
    <row r="9" spans="1:9" ht="14.25" x14ac:dyDescent="0.2">
      <c r="A9" s="31">
        <v>2310</v>
      </c>
      <c r="B9" s="71" t="s">
        <v>887</v>
      </c>
      <c r="C9" s="206">
        <f t="shared" si="0"/>
        <v>44940</v>
      </c>
      <c r="D9" s="181">
        <v>44940</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484057</v>
      </c>
      <c r="D11" s="181">
        <v>484057</v>
      </c>
      <c r="E11" s="180"/>
      <c r="F11" s="180"/>
      <c r="G11" s="180"/>
      <c r="H11" s="180"/>
      <c r="I11" s="192"/>
    </row>
    <row r="12" spans="1:9" x14ac:dyDescent="0.2">
      <c r="A12" s="31">
        <v>2400</v>
      </c>
      <c r="B12" t="s">
        <v>711</v>
      </c>
      <c r="C12" s="206">
        <f t="shared" si="0"/>
        <v>1467664</v>
      </c>
      <c r="D12" s="19">
        <f>'DOE25'!L206+'DOE25'!L224+'DOE25'!L242-F12-G12-H12</f>
        <v>1457263</v>
      </c>
      <c r="E12" s="180"/>
      <c r="F12" s="181">
        <v>0</v>
      </c>
      <c r="G12" s="19">
        <f>'DOE25'!J206+'DOE25'!J224+'DOE25'!J242</f>
        <v>0</v>
      </c>
      <c r="H12" s="19">
        <f>'DOE25'!K206+'DOE25'!K224+'DOE25'!K242</f>
        <v>10401</v>
      </c>
      <c r="I12" s="192"/>
    </row>
    <row r="13" spans="1:9" x14ac:dyDescent="0.2">
      <c r="A13" s="31">
        <v>2500</v>
      </c>
      <c r="B13" t="s">
        <v>798</v>
      </c>
      <c r="C13" s="206">
        <f t="shared" si="0"/>
        <v>730539</v>
      </c>
      <c r="D13" s="180"/>
      <c r="E13" s="19">
        <f>'DOE25'!L207+'DOE25'!L225+'DOE25'!L243-F13-G13-H13</f>
        <v>730539</v>
      </c>
      <c r="F13" s="181">
        <v>0</v>
      </c>
      <c r="G13" s="19">
        <f>'DOE25'!J207+'DOE25'!J225+'DOE25'!J243</f>
        <v>0</v>
      </c>
      <c r="H13" s="19">
        <f>'DOE25'!K207+'DOE25'!K225+'DOE25'!K243</f>
        <v>0</v>
      </c>
      <c r="I13" s="192"/>
    </row>
    <row r="14" spans="1:9" x14ac:dyDescent="0.2">
      <c r="A14" s="31">
        <v>2600</v>
      </c>
      <c r="B14" t="s">
        <v>818</v>
      </c>
      <c r="C14" s="206">
        <f t="shared" si="0"/>
        <v>2194066</v>
      </c>
      <c r="D14" s="19">
        <f>'DOE25'!L208+'DOE25'!L226+'DOE25'!L244-F14-G14-H14</f>
        <v>1875172</v>
      </c>
      <c r="E14" s="180"/>
      <c r="F14" s="181">
        <v>304456</v>
      </c>
      <c r="G14" s="19">
        <f>'DOE25'!J208+'DOE25'!J226+'DOE25'!J244</f>
        <v>12482</v>
      </c>
      <c r="H14" s="19">
        <f>'DOE25'!K208+'DOE25'!K226+'DOE25'!K244</f>
        <v>1956</v>
      </c>
      <c r="I14" s="192"/>
    </row>
    <row r="15" spans="1:9" x14ac:dyDescent="0.2">
      <c r="A15" s="31">
        <v>2700</v>
      </c>
      <c r="B15" t="s">
        <v>799</v>
      </c>
      <c r="C15" s="206">
        <f t="shared" si="0"/>
        <v>1317549</v>
      </c>
      <c r="D15" s="19">
        <f>'DOE25'!L209+'DOE25'!L227+'DOE25'!L245-F15-G15-H15</f>
        <v>232128</v>
      </c>
      <c r="E15" s="180"/>
      <c r="F15" s="181">
        <f>873128+212293</f>
        <v>1085421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v>0</v>
      </c>
      <c r="G16" s="19">
        <f>'DOE25'!J210+'DOE25'!J228+'DOE25'!J246</f>
        <v>0</v>
      </c>
      <c r="H16" s="19">
        <f>'DOE25'!K210+'DOE25'!K228+'DOE25'!K246</f>
        <v>0</v>
      </c>
      <c r="I16" s="192"/>
    </row>
    <row r="17" spans="1:9" x14ac:dyDescent="0.2">
      <c r="A17" s="31">
        <v>1600</v>
      </c>
      <c r="B17" t="s">
        <v>801</v>
      </c>
      <c r="C17" s="206">
        <f t="shared" si="0"/>
        <v>0</v>
      </c>
      <c r="D17" s="19">
        <f>'DOE25'!L252-F17-G17-H17</f>
        <v>0</v>
      </c>
      <c r="E17" s="180"/>
      <c r="F17" s="181">
        <v>0</v>
      </c>
      <c r="G17" s="19">
        <f>'DOE25'!J252</f>
        <v>0</v>
      </c>
      <c r="H17" s="19">
        <f>'DOE25'!K252</f>
        <v>0</v>
      </c>
      <c r="I17" s="192"/>
    </row>
    <row r="18" spans="1:9" x14ac:dyDescent="0.2">
      <c r="A18" s="31">
        <v>1700</v>
      </c>
      <c r="B18" t="s">
        <v>802</v>
      </c>
      <c r="C18" s="206">
        <f t="shared" si="0"/>
        <v>0</v>
      </c>
      <c r="D18" s="19">
        <f>'DOE25'!L253-F18-G18-H18</f>
        <v>0</v>
      </c>
      <c r="E18" s="180"/>
      <c r="F18" s="181">
        <v>0</v>
      </c>
      <c r="G18" s="19">
        <f>'DOE25'!J253</f>
        <v>0</v>
      </c>
      <c r="H18" s="19">
        <f>'DOE25'!K253</f>
        <v>0</v>
      </c>
      <c r="I18" s="192"/>
    </row>
    <row r="19" spans="1:9" x14ac:dyDescent="0.2">
      <c r="A19" s="31">
        <v>1800</v>
      </c>
      <c r="B19" t="s">
        <v>803</v>
      </c>
      <c r="C19" s="206">
        <f t="shared" si="0"/>
        <v>0</v>
      </c>
      <c r="D19" s="19">
        <f>'DOE25'!L254-F19-G19-H19</f>
        <v>0</v>
      </c>
      <c r="E19" s="180"/>
      <c r="F19" s="181">
        <v>0</v>
      </c>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376637</v>
      </c>
      <c r="D22" s="180"/>
      <c r="E22" s="180"/>
      <c r="F22" s="180"/>
      <c r="G22" s="19">
        <f>'DOE25'!L256+'DOE25'!L337</f>
        <v>376637</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240731</v>
      </c>
      <c r="D25" s="180"/>
      <c r="E25" s="180"/>
      <c r="F25" s="191"/>
      <c r="G25" s="180"/>
      <c r="H25" s="180"/>
      <c r="I25" s="190">
        <f>'DOE25'!L261+'DOE25'!L262+'DOE25'!L342+'DOE25'!L343</f>
        <v>240731</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604419</v>
      </c>
      <c r="D29" s="212">
        <f>'DOE25'!L359+'DOE25'!L360+'DOE25'!L361-'DOE25'!I368-F29-G29-H29-F39</f>
        <v>388791</v>
      </c>
      <c r="E29" s="180"/>
      <c r="F29" s="180"/>
      <c r="G29" s="19">
        <f>'DOE25'!J359+'DOE25'!J360+'DOE25'!J361</f>
        <v>207711</v>
      </c>
      <c r="H29" s="19">
        <f>'DOE25'!K359+'DOE25'!K360+'DOE25'!K361</f>
        <v>7917</v>
      </c>
      <c r="I29" s="192"/>
    </row>
    <row r="30" spans="1:9" x14ac:dyDescent="0.2">
      <c r="A30" s="31"/>
      <c r="C30" s="207"/>
      <c r="D30" s="19"/>
      <c r="F30" s="201"/>
      <c r="G30" s="19"/>
      <c r="H30" s="19"/>
      <c r="I30" s="192"/>
    </row>
    <row r="31" spans="1:9" x14ac:dyDescent="0.2">
      <c r="A31" s="31" t="s">
        <v>817</v>
      </c>
      <c r="B31" t="s">
        <v>816</v>
      </c>
      <c r="C31" s="206">
        <f>SUM(D31:I31)</f>
        <v>1937739</v>
      </c>
      <c r="D31" s="19">
        <f>'DOE25'!L291+'DOE25'!L310+'DOE25'!L329+'DOE25'!L334+'DOE25'!L335+'DOE25'!L336-F31-G31-H31</f>
        <v>1547276</v>
      </c>
      <c r="E31" s="180"/>
      <c r="F31" s="181">
        <f>128033+2875+140507+28300</f>
        <v>299715</v>
      </c>
      <c r="G31" s="19">
        <f>'DOE25'!J291+'DOE25'!J310+'DOE25'!J329+'DOE25'!J334+'DOE25'!J335+'DOE25'!J336</f>
        <v>85742</v>
      </c>
      <c r="H31" s="19">
        <f>'DOE25'!K291+'DOE25'!K310+'DOE25'!K329+'DOE25'!K334+'DOE25'!K335+'DOE25'!K336</f>
        <v>5006</v>
      </c>
      <c r="I31" s="192"/>
    </row>
    <row r="32" spans="1:9" ht="12" thickBot="1" x14ac:dyDescent="0.25">
      <c r="C32" s="207"/>
      <c r="G32" s="188"/>
      <c r="H32" s="188"/>
      <c r="I32" s="194"/>
    </row>
    <row r="33" spans="1:9" ht="12" thickTop="1" x14ac:dyDescent="0.2">
      <c r="B33" t="s">
        <v>809</v>
      </c>
      <c r="D33" s="182">
        <f t="shared" ref="D33:I33" si="1">SUM(D5:D31)</f>
        <v>21359280</v>
      </c>
      <c r="E33" s="182">
        <f t="shared" si="1"/>
        <v>1819260</v>
      </c>
      <c r="F33" s="182">
        <f t="shared" si="1"/>
        <v>2271679</v>
      </c>
      <c r="G33" s="182">
        <f t="shared" si="1"/>
        <v>944727</v>
      </c>
      <c r="H33" s="182">
        <f t="shared" si="1"/>
        <v>73787</v>
      </c>
      <c r="I33" s="182">
        <f t="shared" si="1"/>
        <v>240731</v>
      </c>
    </row>
    <row r="34" spans="1:9" ht="12" thickBot="1" x14ac:dyDescent="0.25"/>
    <row r="35" spans="1:9" ht="12" thickBot="1" x14ac:dyDescent="0.25">
      <c r="B35" s="188" t="s">
        <v>830</v>
      </c>
      <c r="D35" s="189">
        <f>E33</f>
        <v>1819260</v>
      </c>
      <c r="E35" s="185"/>
      <c r="F35" s="295" t="s">
        <v>1608</v>
      </c>
      <c r="G35" s="296"/>
      <c r="H35" s="296"/>
      <c r="I35" s="297"/>
    </row>
    <row r="36" spans="1:9" ht="12" thickTop="1" x14ac:dyDescent="0.2">
      <c r="B36" t="s">
        <v>810</v>
      </c>
      <c r="D36" s="19">
        <f>D33</f>
        <v>21359280</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Normal="100" workbookViewId="0">
      <selection activeCell="F20" sqref="F2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Winnisquam Regional</v>
      </c>
      <c r="B2">
        <f>'DOE25'!B2</f>
        <v>582</v>
      </c>
      <c r="J2" s="224" t="s">
        <v>1808</v>
      </c>
      <c r="K2" s="309">
        <f>SUM('DOE25'!L198:L201)+SUM('DOE25'!L216:L219)+SUM('DOE25'!L234:L237)+SUM('DOE25'!L277:L280)+SUM('DOE25'!L296:L299)+SUM('DOE25'!L315:L318)</f>
        <v>14881434</v>
      </c>
      <c r="L2" s="309">
        <f>'DOE25'!L203+'DOE25'!L221+'DOE25'!L239+'DOE25'!L282+'DOE25'!L301+'DOE25'!L320</f>
        <v>2089297</v>
      </c>
      <c r="M2" s="309">
        <f>'DOE25'!L204+'DOE25'!L222+'DOE25'!L240+'DOE25'!L283+'DOE25'!L302+'DOE25'!L321</f>
        <v>911723</v>
      </c>
      <c r="N2" s="309">
        <f>'DOE25'!L206+'DOE25'!L224+'DOE25'!L242+'DOE25'!L285+'DOE25'!L304+'DOE25'!L323</f>
        <v>1469312</v>
      </c>
      <c r="O2" s="309">
        <f>'Salaries-Benefits'!B10+'Salaries-Benefits'!B12+'Salaries-Benefits'!B19+'Salaries-Benefits'!B21+'Salaries-Benefits'!B28+'Salaries-Benefits'!B30+'Salaries-Benefits'!B37+'Salaries-Benefits'!B39</f>
        <v>6965862</v>
      </c>
      <c r="P2" s="309">
        <f>'Salaries-Benefits'!B11+'Salaries-Benefits'!B20+'Salaries-Benefits'!B29+'Salaries-Benefits'!B38</f>
        <v>814710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-14881434</v>
      </c>
      <c r="L3" s="311">
        <f t="shared" ref="L3:P3" si="0">L21+L33+L43-L2</f>
        <v>-2089297</v>
      </c>
      <c r="M3" s="311">
        <f t="shared" si="0"/>
        <v>-911723</v>
      </c>
      <c r="N3" s="311">
        <f t="shared" si="0"/>
        <v>-1469312</v>
      </c>
      <c r="O3" s="311">
        <f t="shared" si="0"/>
        <v>-6965862</v>
      </c>
      <c r="P3" s="311">
        <f t="shared" si="0"/>
        <v>-814710</v>
      </c>
      <c r="Q3" s="310"/>
      <c r="R3" s="306"/>
      <c r="S3" s="215"/>
      <c r="T3" s="215"/>
      <c r="U3" s="216"/>
    </row>
    <row r="4" spans="1:21" ht="55.5" customHeight="1" thickBot="1" x14ac:dyDescent="0.25">
      <c r="A4" s="224" t="s">
        <v>1522</v>
      </c>
      <c r="B4" s="224" t="s">
        <v>1523</v>
      </c>
      <c r="C4" s="224" t="s">
        <v>896</v>
      </c>
      <c r="D4" s="224" t="s">
        <v>786</v>
      </c>
      <c r="E4" s="224" t="s">
        <v>786</v>
      </c>
      <c r="F4" s="228">
        <f>SUM(F5:F20)</f>
        <v>10165436</v>
      </c>
      <c r="G4" s="229">
        <f>'DOE25'!L212+'DOE25'!L291</f>
        <v>10165436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Sanbornton Central School</v>
      </c>
      <c r="B6" s="230">
        <f>IFERROR(VLOOKUP(A6,'School Tables'!$C$3:$D$365,2,FALSE),"")</f>
        <v>22925</v>
      </c>
      <c r="C6" s="223" t="str">
        <f>IFERROR(INDEX('School Tables'!$B$3:$B$365,MATCH('School Level Expenditures'!B6,'School Tables'!$D$3:$D$365,0)),"")</f>
        <v>Winnisquam Regional</v>
      </c>
      <c r="D6" s="220">
        <f>2280686+1136813+800000</f>
        <v>4217499</v>
      </c>
      <c r="E6" s="220">
        <f>2959+254370+186253</f>
        <v>443582</v>
      </c>
      <c r="F6" s="232">
        <f t="shared" ref="F6:F20" si="1">D6+E6</f>
        <v>4661081</v>
      </c>
      <c r="G6" s="223"/>
      <c r="H6" s="223"/>
      <c r="J6" t="str">
        <f>A6</f>
        <v>Sanbornton Central School</v>
      </c>
      <c r="K6" s="20"/>
      <c r="L6" s="20"/>
      <c r="M6" s="308"/>
      <c r="N6" s="20"/>
      <c r="O6" s="20"/>
      <c r="P6" s="20"/>
      <c r="Q6" s="20"/>
    </row>
    <row r="7" spans="1:21" x14ac:dyDescent="0.2">
      <c r="A7" t="str" cm="1">
        <f t="array" ref="A7">IFERROR(INDEX('School Tables'!$A$4:$G$325,'School Tables'!$J5,3),"")</f>
        <v>Southwick School</v>
      </c>
      <c r="B7" s="230">
        <f>IFERROR(VLOOKUP(A7,'School Tables'!$C$3:$D$365,2,FALSE),"")</f>
        <v>27070</v>
      </c>
      <c r="C7" s="223" t="str">
        <f>IFERROR(INDEX('School Tables'!$B$3:$B$365,MATCH('School Level Expenditures'!B7,'School Tables'!$D$3:$D$365,0)),"")</f>
        <v>Winnisquam Regional</v>
      </c>
      <c r="D7" s="220">
        <f>3745773+1870628-800000</f>
        <v>4816401</v>
      </c>
      <c r="E7" s="220">
        <f>338746+418566-186253</f>
        <v>571059</v>
      </c>
      <c r="F7" s="232">
        <f t="shared" si="1"/>
        <v>5387460</v>
      </c>
      <c r="G7" s="223"/>
      <c r="H7" s="223"/>
      <c r="J7" t="str">
        <f t="shared" ref="J7:J20" si="2">A7</f>
        <v>Southwick School</v>
      </c>
      <c r="K7" s="20"/>
      <c r="L7" s="20"/>
      <c r="M7" s="308"/>
      <c r="N7" s="20"/>
      <c r="O7" s="20"/>
      <c r="P7" s="20"/>
      <c r="Q7" s="20"/>
    </row>
    <row r="8" spans="1:21" x14ac:dyDescent="0.2">
      <c r="A8" t="str" cm="1">
        <f t="array" ref="A8">IFERROR(INDEX('School Tables'!$A$4:$G$325,'School Tables'!$J6,3),"")</f>
        <v>Union Sanborn School</v>
      </c>
      <c r="B8" s="230">
        <f>IFERROR(VLOOKUP(A8,'School Tables'!$C$3:$D$365,2,FALSE),"")</f>
        <v>22945</v>
      </c>
      <c r="C8" s="223" t="str">
        <f>IFERROR(INDEX('School Tables'!$B$3:$B$365,MATCH('School Level Expenditures'!B8,'School Tables'!$D$3:$D$365,0)),"")</f>
        <v>Winnisquam Regional</v>
      </c>
      <c r="D8" s="220">
        <v>114724</v>
      </c>
      <c r="E8" s="220">
        <v>2171</v>
      </c>
      <c r="F8" s="232">
        <f t="shared" si="1"/>
        <v>116895</v>
      </c>
      <c r="G8" s="223"/>
      <c r="H8" s="223"/>
      <c r="J8" t="str">
        <f t="shared" si="2"/>
        <v>Union Sanborn School</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9148624</v>
      </c>
      <c r="E21" s="262">
        <f>SUM(E5:E20)</f>
        <v>1016812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7326058</v>
      </c>
      <c r="G24" s="229">
        <f>'DOE25'!L230+'DOE25'!L310</f>
        <v>7326058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'DOE25'!G579+'DOE25'!G583</f>
        <v>127958</v>
      </c>
      <c r="E25" s="220"/>
      <c r="F25" s="232">
        <f>D25+E25</f>
        <v>127958</v>
      </c>
      <c r="G25" s="223"/>
      <c r="H25" s="223"/>
      <c r="J25" s="223"/>
      <c r="K25" s="223"/>
      <c r="L25" s="224"/>
      <c r="M25" s="223"/>
      <c r="N25" s="223"/>
      <c r="O25" s="223"/>
      <c r="P25" s="223"/>
      <c r="Q25" s="223"/>
    </row>
    <row r="26" spans="1:17" x14ac:dyDescent="0.2">
      <c r="A26" t="str" cm="1">
        <f t="array" ref="A26">IFERROR(INDEX('School Tables'!$L$4:$R$75,'School Tables'!$U4,3),"")</f>
        <v>Winnisquam Regional Middle School</v>
      </c>
      <c r="B26" s="230">
        <f>IFERROR(VLOOKUP(A26,'School Tables'!$N$4:$O$75,2,FALSE),"")</f>
        <v>22955</v>
      </c>
      <c r="C26" s="223" t="str">
        <f>IFERROR(INDEX('School Tables'!$M$4:$M$75,MATCH('School Level Expenditures'!A26,'School Tables'!$N$4:$N$75,0)),"")</f>
        <v>Winnisquam Regional</v>
      </c>
      <c r="D26" s="220">
        <f>'DOE25'!L230-D25</f>
        <v>6593564</v>
      </c>
      <c r="E26" s="220">
        <f>'DOE25'!L310</f>
        <v>604536</v>
      </c>
      <c r="F26" s="232">
        <f t="shared" ref="F26:F32" si="4">D26+E26</f>
        <v>7198100</v>
      </c>
      <c r="G26" s="223"/>
      <c r="H26" s="223"/>
      <c r="J26" t="str">
        <f t="shared" ref="J26:J32" si="5">A26</f>
        <v>Winnisquam Regional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6721522</v>
      </c>
      <c r="E33" s="262">
        <f>SUM(E25:E32)</f>
        <v>604536</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7996183</v>
      </c>
      <c r="G36" s="229">
        <f>'DOE25'!L248+'DOE25'!L329</f>
        <v>7996183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'DOE25'!H579+'DOE25'!H585</f>
        <v>125009</v>
      </c>
      <c r="E37" s="220"/>
      <c r="F37" s="232">
        <f t="shared" ref="F37:F42" si="7">D37+E37</f>
        <v>125009</v>
      </c>
      <c r="G37" s="223"/>
      <c r="H37" s="223"/>
      <c r="J37" s="223"/>
      <c r="K37" s="223"/>
      <c r="L37" s="224"/>
      <c r="M37" s="223"/>
      <c r="N37" s="223"/>
      <c r="O37" s="223"/>
      <c r="P37" s="223"/>
      <c r="Q37" s="223"/>
    </row>
    <row r="38" spans="1:18" x14ac:dyDescent="0.2">
      <c r="A38" t="str" cm="1">
        <f t="array" ref="A38">IFERROR(INDEX('School Tables'!$W$4:$AC$100,'School Tables'!$AF4,3),"")</f>
        <v>Winnisquam Regional High School</v>
      </c>
      <c r="B38" s="230">
        <f>IFERROR(VLOOKUP(A38,'School Tables'!$Y$4:$Z$100,2,FALSE),"")</f>
        <v>22950</v>
      </c>
      <c r="C38" s="223" t="str">
        <f>IFERROR(INDEX('School Tables'!$X$4:$X$100,MATCH('School Level Expenditures'!A38,'School Tables'!$Y$4:$Y$100,0)),"")</f>
        <v>Winnisquam Regional</v>
      </c>
      <c r="D38" s="220">
        <f>'DOE25'!L248-D37</f>
        <v>7554783</v>
      </c>
      <c r="E38" s="220">
        <f>'DOE25'!L329</f>
        <v>316391</v>
      </c>
      <c r="F38" s="232">
        <f t="shared" si="7"/>
        <v>7871174</v>
      </c>
      <c r="G38" s="223"/>
      <c r="H38" s="223"/>
      <c r="J38" t="str">
        <f t="shared" ref="J38:J42" si="8">A38</f>
        <v>Winnisquam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7679792</v>
      </c>
      <c r="E43" s="263">
        <f>SUM(E37:E42)</f>
        <v>316391</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5" zoomScale="80" zoomScaleNormal="80" zoomScaleSheetLayoutView="85" workbookViewId="0">
      <selection activeCell="F70" sqref="F7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Winnisquam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3706011</v>
      </c>
      <c r="D8" s="73">
        <f>'DOE25'!G9</f>
        <v>294932</v>
      </c>
      <c r="E8" s="73">
        <f>'DOE25'!H9</f>
        <v>18649</v>
      </c>
      <c r="F8" s="73">
        <f>'DOE25'!I9</f>
        <v>0</v>
      </c>
      <c r="G8" s="73">
        <f>'DOE25'!J9</f>
        <v>2180998</v>
      </c>
      <c r="H8" s="13">
        <f>SUM(C8:G8)</f>
        <v>6200590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906681</v>
      </c>
      <c r="D11" s="73">
        <f>'DOE25'!G12</f>
        <v>0</v>
      </c>
      <c r="E11" s="73">
        <f>'DOE25'!H12</f>
        <v>0</v>
      </c>
      <c r="F11" s="73">
        <f>'DOE25'!I12</f>
        <v>0</v>
      </c>
      <c r="G11" s="73">
        <f>'DOE25'!J12</f>
        <v>0</v>
      </c>
      <c r="H11" s="13">
        <f t="shared" si="0"/>
        <v>906681</v>
      </c>
      <c r="I11" s="90"/>
    </row>
    <row r="12" spans="1:9" x14ac:dyDescent="0.2">
      <c r="A12" s="1" t="s">
        <v>143</v>
      </c>
      <c r="B12" s="6">
        <v>140</v>
      </c>
      <c r="C12" s="73">
        <f>'DOE25'!F13</f>
        <v>72968</v>
      </c>
      <c r="D12" s="73">
        <f>'DOE25'!G13</f>
        <v>67030</v>
      </c>
      <c r="E12" s="73">
        <f>'DOE25'!H13</f>
        <v>556556</v>
      </c>
      <c r="F12" s="73">
        <f>'DOE25'!I13</f>
        <v>0</v>
      </c>
      <c r="G12" s="73">
        <f>'DOE25'!J13</f>
        <v>0</v>
      </c>
      <c r="H12" s="13">
        <f t="shared" si="0"/>
        <v>696554</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212075</v>
      </c>
      <c r="D16" s="73">
        <f>'DOE25'!G17</f>
        <v>0</v>
      </c>
      <c r="E16" s="73">
        <f>'DOE25'!H17</f>
        <v>0</v>
      </c>
      <c r="F16" s="73">
        <f>'DOE25'!I17</f>
        <v>0</v>
      </c>
      <c r="G16" s="73">
        <f>'DOE25'!J17</f>
        <v>0</v>
      </c>
      <c r="H16" s="13">
        <f t="shared" si="0"/>
        <v>212075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4897735</v>
      </c>
      <c r="D18" s="38">
        <f>SUM(D8:D17)</f>
        <v>361962</v>
      </c>
      <c r="E18" s="38">
        <f>SUM(E8:E17)</f>
        <v>575205</v>
      </c>
      <c r="F18" s="38">
        <f>SUM(F8:F17)</f>
        <v>0</v>
      </c>
      <c r="G18" s="38">
        <f>SUM(G8:G17)</f>
        <v>2180998</v>
      </c>
      <c r="H18" s="38">
        <f t="shared" si="0"/>
        <v>8015900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556556</v>
      </c>
      <c r="F21" s="73">
        <f>'DOE25'!I22</f>
        <v>0</v>
      </c>
      <c r="G21" s="73">
        <f>'DOE25'!J22</f>
        <v>0</v>
      </c>
      <c r="H21" s="13">
        <f t="shared" ref="H21:H31" si="1">SUM(C21:G21)</f>
        <v>556556</v>
      </c>
      <c r="I21" s="90"/>
    </row>
    <row r="22" spans="1:9" x14ac:dyDescent="0.2">
      <c r="A22" s="1" t="s">
        <v>151</v>
      </c>
      <c r="B22" s="6">
        <v>410</v>
      </c>
      <c r="C22" s="73">
        <f>'DOE25'!F23</f>
        <v>585817</v>
      </c>
      <c r="D22" s="73">
        <f>'DOE25'!G23</f>
        <v>0</v>
      </c>
      <c r="E22" s="73">
        <f>'DOE25'!H23</f>
        <v>0</v>
      </c>
      <c r="F22" s="73">
        <f>'DOE25'!I23</f>
        <v>0</v>
      </c>
      <c r="G22" s="73">
        <f>'DOE25'!J23</f>
        <v>0</v>
      </c>
      <c r="H22" s="13">
        <f t="shared" si="1"/>
        <v>585817</v>
      </c>
      <c r="I22" s="90"/>
    </row>
    <row r="23" spans="1:9" x14ac:dyDescent="0.2">
      <c r="A23" s="1" t="s">
        <v>152</v>
      </c>
      <c r="B23" s="6">
        <v>420</v>
      </c>
      <c r="C23" s="73">
        <f>'DOE25'!F24</f>
        <v>112684</v>
      </c>
      <c r="D23" s="73">
        <f>'DOE25'!G24</f>
        <v>16863</v>
      </c>
      <c r="E23" s="73">
        <f>'DOE25'!H24</f>
        <v>0</v>
      </c>
      <c r="F23" s="73">
        <f>'DOE25'!I24</f>
        <v>0</v>
      </c>
      <c r="G23" s="73">
        <f>'DOE25'!J24</f>
        <v>0</v>
      </c>
      <c r="H23" s="13">
        <f t="shared" si="1"/>
        <v>129547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93170</v>
      </c>
      <c r="D27" s="73">
        <f>'DOE25'!G28</f>
        <v>0</v>
      </c>
      <c r="E27" s="73">
        <f>'DOE25'!H28</f>
        <v>0</v>
      </c>
      <c r="F27" s="73">
        <f>'DOE25'!I28</f>
        <v>0</v>
      </c>
      <c r="G27" s="23" t="s">
        <v>288</v>
      </c>
      <c r="H27" s="13">
        <f t="shared" si="1"/>
        <v>93170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428636</v>
      </c>
      <c r="D29" s="73">
        <f>'DOE25'!G30</f>
        <v>0</v>
      </c>
      <c r="E29" s="73">
        <f>'DOE25'!H30</f>
        <v>18649</v>
      </c>
      <c r="F29" s="73">
        <f>'DOE25'!I30</f>
        <v>0</v>
      </c>
      <c r="G29" s="23" t="s">
        <v>288</v>
      </c>
      <c r="H29" s="13">
        <f t="shared" si="1"/>
        <v>447285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1220307</v>
      </c>
      <c r="D31" s="38">
        <f>SUM(D21:D30)</f>
        <v>16863</v>
      </c>
      <c r="E31" s="38">
        <f>SUM(E21:E30)</f>
        <v>575205</v>
      </c>
      <c r="F31" s="38">
        <f>SUM(F21:F30)</f>
        <v>0</v>
      </c>
      <c r="G31" s="38">
        <f>SUM(G21:G30)</f>
        <v>0</v>
      </c>
      <c r="H31" s="38">
        <f t="shared" si="1"/>
        <v>1812375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345099</v>
      </c>
      <c r="E39" s="23" t="s">
        <v>288</v>
      </c>
      <c r="F39" s="23" t="s">
        <v>288</v>
      </c>
      <c r="G39" s="23" t="s">
        <v>288</v>
      </c>
      <c r="H39" s="13">
        <f t="shared" si="2"/>
        <v>345099</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41000</v>
      </c>
      <c r="D47" s="73">
        <f>'DOE25'!G48</f>
        <v>0</v>
      </c>
      <c r="E47" s="73">
        <f>'DOE25'!H48</f>
        <v>0</v>
      </c>
      <c r="F47" s="73">
        <f>'DOE25'!I48</f>
        <v>0</v>
      </c>
      <c r="G47" s="73">
        <f>'DOE25'!J48</f>
        <v>2180998</v>
      </c>
      <c r="H47" s="13">
        <f t="shared" si="2"/>
        <v>2221998</v>
      </c>
      <c r="I47" s="90"/>
    </row>
    <row r="48" spans="1:9" x14ac:dyDescent="0.2">
      <c r="A48" s="1" t="s">
        <v>881</v>
      </c>
      <c r="B48" s="6">
        <v>753</v>
      </c>
      <c r="C48" s="73">
        <f>'DOE25'!F49</f>
        <v>821000</v>
      </c>
      <c r="D48" s="73">
        <f>'DOE25'!G49</f>
        <v>0</v>
      </c>
      <c r="E48" s="73">
        <f>'DOE25'!H49</f>
        <v>0</v>
      </c>
      <c r="F48" s="73">
        <f>'DOE25'!I49</f>
        <v>0</v>
      </c>
      <c r="G48" s="73">
        <f>'DOE25'!J49</f>
        <v>0</v>
      </c>
      <c r="H48" s="13">
        <f t="shared" si="2"/>
        <v>821000</v>
      </c>
      <c r="I48" s="90"/>
    </row>
    <row r="49" spans="1:9" ht="12" thickBot="1" x14ac:dyDescent="0.25">
      <c r="A49" s="28" t="s">
        <v>882</v>
      </c>
      <c r="B49" s="56">
        <v>770</v>
      </c>
      <c r="C49" s="73">
        <f>'DOE25'!F50</f>
        <v>2815428</v>
      </c>
      <c r="D49" s="23" t="s">
        <v>288</v>
      </c>
      <c r="E49" s="23" t="s">
        <v>288</v>
      </c>
      <c r="F49" s="23" t="s">
        <v>288</v>
      </c>
      <c r="G49" s="23" t="s">
        <v>288</v>
      </c>
      <c r="H49" s="13">
        <f t="shared" si="2"/>
        <v>2815428</v>
      </c>
      <c r="I49" s="90"/>
    </row>
    <row r="50" spans="1:9" ht="12.75" thickTop="1" thickBot="1" x14ac:dyDescent="0.25">
      <c r="A50" s="35" t="s">
        <v>883</v>
      </c>
      <c r="B50" s="44"/>
      <c r="C50" s="38">
        <f>SUM(C34:C49)</f>
        <v>3677428</v>
      </c>
      <c r="D50" s="38">
        <f>SUM(D34:D49)</f>
        <v>345099</v>
      </c>
      <c r="E50" s="38">
        <f>SUM(E34:E49)</f>
        <v>0</v>
      </c>
      <c r="F50" s="38">
        <f>SUM(F34:F49)</f>
        <v>0</v>
      </c>
      <c r="G50" s="38">
        <f>SUM(G34:G49)</f>
        <v>2180998</v>
      </c>
      <c r="H50" s="38">
        <f t="shared" si="2"/>
        <v>6203525</v>
      </c>
      <c r="I50" s="90"/>
    </row>
    <row r="51" spans="1:9" ht="12" thickTop="1" x14ac:dyDescent="0.2">
      <c r="A51" s="35" t="s">
        <v>884</v>
      </c>
      <c r="B51" s="2"/>
      <c r="C51" s="38">
        <f>C50+C31</f>
        <v>4897735</v>
      </c>
      <c r="D51" s="38">
        <f>D50+D31</f>
        <v>361962</v>
      </c>
      <c r="E51" s="38">
        <f>E50+E31</f>
        <v>575205</v>
      </c>
      <c r="F51" s="38">
        <f>F50+F31</f>
        <v>0</v>
      </c>
      <c r="G51" s="38">
        <f>G50+G31</f>
        <v>2180998</v>
      </c>
      <c r="H51" s="38">
        <f t="shared" si="2"/>
        <v>8015900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14680632</v>
      </c>
      <c r="D56" s="73">
        <f>'DOE25'!G60</f>
        <v>0</v>
      </c>
      <c r="E56" s="73">
        <f>'DOE25'!H60</f>
        <v>0</v>
      </c>
      <c r="F56" s="73">
        <f>'DOE25'!I60</f>
        <v>0</v>
      </c>
      <c r="G56" s="73">
        <f>'DOE25'!J60</f>
        <v>0</v>
      </c>
      <c r="H56" s="13">
        <f t="shared" ref="H56:H63" si="3">SUM(C56:G56)</f>
        <v>14680632</v>
      </c>
      <c r="I56"/>
    </row>
    <row r="57" spans="1:9" x14ac:dyDescent="0.2">
      <c r="A57" s="1" t="s">
        <v>164</v>
      </c>
      <c r="B57" s="6" t="s">
        <v>165</v>
      </c>
      <c r="C57" s="73">
        <f>'DOE25'!F79</f>
        <v>46118</v>
      </c>
      <c r="D57" s="23" t="s">
        <v>288</v>
      </c>
      <c r="E57" s="73">
        <f>'DOE25'!H79</f>
        <v>0</v>
      </c>
      <c r="F57" s="23" t="s">
        <v>288</v>
      </c>
      <c r="G57" s="23" t="s">
        <v>288</v>
      </c>
      <c r="H57" s="13">
        <f t="shared" si="3"/>
        <v>46118</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214242</v>
      </c>
      <c r="D59" s="73">
        <f>'DOE25'!G96</f>
        <v>0</v>
      </c>
      <c r="E59" s="73">
        <f>'DOE25'!H96</f>
        <v>0</v>
      </c>
      <c r="F59" s="73">
        <f>'DOE25'!I96</f>
        <v>0</v>
      </c>
      <c r="G59" s="73">
        <f>'DOE25'!J96</f>
        <v>65111</v>
      </c>
      <c r="H59" s="13">
        <f t="shared" si="3"/>
        <v>279353</v>
      </c>
      <c r="I59"/>
    </row>
    <row r="60" spans="1:9" x14ac:dyDescent="0.2">
      <c r="A60" s="1" t="s">
        <v>170</v>
      </c>
      <c r="B60" s="22" t="s">
        <v>171</v>
      </c>
      <c r="C60" s="23" t="s">
        <v>288</v>
      </c>
      <c r="D60" s="73">
        <f>'DOE25'!G97</f>
        <v>337003</v>
      </c>
      <c r="E60" s="23" t="s">
        <v>288</v>
      </c>
      <c r="F60" s="23" t="s">
        <v>288</v>
      </c>
      <c r="G60" s="23" t="s">
        <v>288</v>
      </c>
      <c r="H60" s="13">
        <f t="shared" si="3"/>
        <v>337003</v>
      </c>
      <c r="I60"/>
    </row>
    <row r="61" spans="1:9" ht="12" thickBot="1" x14ac:dyDescent="0.25">
      <c r="A61" s="1" t="s">
        <v>172</v>
      </c>
      <c r="B61" s="22" t="s">
        <v>173</v>
      </c>
      <c r="C61" s="73">
        <f>SUM('DOE25'!F98:F110)</f>
        <v>242981</v>
      </c>
      <c r="D61" s="73">
        <f>SUM('DOE25'!G98:G110)</f>
        <v>12193</v>
      </c>
      <c r="E61" s="73">
        <f>SUM('DOE25'!H98:H110)</f>
        <v>0</v>
      </c>
      <c r="F61" s="73">
        <f>SUM('DOE25'!I98:I110)</f>
        <v>0</v>
      </c>
      <c r="G61" s="73">
        <f>SUM('DOE25'!J98:J110)</f>
        <v>0</v>
      </c>
      <c r="H61" s="13">
        <f t="shared" si="3"/>
        <v>255174</v>
      </c>
      <c r="I61"/>
    </row>
    <row r="62" spans="1:9" ht="12.75" thickTop="1" thickBot="1" x14ac:dyDescent="0.25">
      <c r="A62" s="28" t="s">
        <v>174</v>
      </c>
      <c r="B62" s="6"/>
      <c r="C62" s="93">
        <f>SUM(C57:C61)</f>
        <v>503341</v>
      </c>
      <c r="D62" s="93">
        <f>SUM(D57:D61)</f>
        <v>349196</v>
      </c>
      <c r="E62" s="93">
        <f>SUM(E57:E61)</f>
        <v>0</v>
      </c>
      <c r="F62" s="93">
        <f>SUM(F57:F61)</f>
        <v>0</v>
      </c>
      <c r="G62" s="93">
        <f>SUM(G57:G61)</f>
        <v>65111</v>
      </c>
      <c r="H62" s="13">
        <f t="shared" si="3"/>
        <v>917648</v>
      </c>
      <c r="I62"/>
    </row>
    <row r="63" spans="1:9" ht="12" thickTop="1" x14ac:dyDescent="0.2">
      <c r="A63" s="28" t="s">
        <v>175</v>
      </c>
      <c r="B63" s="6"/>
      <c r="C63" s="21">
        <f>C56+C62</f>
        <v>15183973</v>
      </c>
      <c r="D63" s="21">
        <f>D56+D62</f>
        <v>349196</v>
      </c>
      <c r="E63" s="21">
        <f>E56+E62</f>
        <v>0</v>
      </c>
      <c r="F63" s="21">
        <f>F56+F62</f>
        <v>0</v>
      </c>
      <c r="G63" s="21">
        <f>G56+G62</f>
        <v>65111</v>
      </c>
      <c r="H63" s="13">
        <f t="shared" si="3"/>
        <v>15598280</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7602998</v>
      </c>
      <c r="D66" s="23" t="s">
        <v>288</v>
      </c>
      <c r="E66" s="23" t="s">
        <v>288</v>
      </c>
      <c r="F66" s="23" t="s">
        <v>288</v>
      </c>
      <c r="G66" s="23" t="s">
        <v>288</v>
      </c>
      <c r="H66" s="13">
        <f t="shared" ref="H66:H81" si="4">SUM(C66:G66)</f>
        <v>7602998</v>
      </c>
      <c r="I66"/>
    </row>
    <row r="67" spans="1:9" x14ac:dyDescent="0.2">
      <c r="A67" s="1" t="s">
        <v>770</v>
      </c>
      <c r="B67" s="6">
        <v>3112</v>
      </c>
      <c r="C67" s="73">
        <f>'DOE25'!F118</f>
        <v>2030873</v>
      </c>
      <c r="D67" s="23"/>
      <c r="E67" s="23"/>
      <c r="F67" s="23"/>
      <c r="G67" s="23"/>
      <c r="H67" s="13">
        <f t="shared" si="4"/>
        <v>2030873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173468</v>
      </c>
      <c r="D69" s="73">
        <f>'DOE25'!G120</f>
        <v>0</v>
      </c>
      <c r="E69" s="73">
        <f>'DOE25'!H120</f>
        <v>0</v>
      </c>
      <c r="F69" s="73">
        <f>'DOE25'!I120</f>
        <v>0</v>
      </c>
      <c r="G69" s="73">
        <f>'DOE25'!J120</f>
        <v>0</v>
      </c>
      <c r="H69" s="13">
        <f t="shared" si="4"/>
        <v>173468</v>
      </c>
      <c r="I69"/>
    </row>
    <row r="70" spans="1:9" ht="12" thickTop="1" x14ac:dyDescent="0.2">
      <c r="A70" s="28" t="s">
        <v>252</v>
      </c>
      <c r="B70" s="2"/>
      <c r="C70" s="97">
        <f>SUM(C66:C69)</f>
        <v>9807339</v>
      </c>
      <c r="D70" s="97">
        <f>D69</f>
        <v>0</v>
      </c>
      <c r="E70" s="97">
        <f>E69</f>
        <v>0</v>
      </c>
      <c r="F70" s="97">
        <f>F69</f>
        <v>0</v>
      </c>
      <c r="G70" s="97">
        <f>G69</f>
        <v>0</v>
      </c>
      <c r="H70" s="13">
        <f t="shared" si="4"/>
        <v>9807339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135229</v>
      </c>
      <c r="D72" s="23" t="s">
        <v>288</v>
      </c>
      <c r="E72" s="23" t="s">
        <v>288</v>
      </c>
      <c r="F72" s="73">
        <f>'DOE25'!I123</f>
        <v>0</v>
      </c>
      <c r="G72" s="23" t="s">
        <v>288</v>
      </c>
      <c r="H72" s="13">
        <f t="shared" si="4"/>
        <v>135229</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50616</v>
      </c>
      <c r="D75" s="23" t="s">
        <v>288</v>
      </c>
      <c r="E75" s="23" t="s">
        <v>288</v>
      </c>
      <c r="F75" s="23" t="s">
        <v>288</v>
      </c>
      <c r="G75" s="23" t="s">
        <v>288</v>
      </c>
      <c r="H75" s="13">
        <f t="shared" si="4"/>
        <v>50616</v>
      </c>
      <c r="I75"/>
    </row>
    <row r="76" spans="1:9" x14ac:dyDescent="0.2">
      <c r="A76" s="1" t="s">
        <v>257</v>
      </c>
      <c r="B76" s="6" t="s">
        <v>179</v>
      </c>
      <c r="C76" s="73">
        <f>SUM('DOE25'!F127:F130)</f>
        <v>51956</v>
      </c>
      <c r="D76" s="23" t="s">
        <v>288</v>
      </c>
      <c r="E76" s="73">
        <f>SUM('DOE25'!H127:H130)</f>
        <v>0</v>
      </c>
      <c r="F76" s="73">
        <f>SUM('DOE25'!I127:I130)</f>
        <v>0</v>
      </c>
      <c r="G76" s="23" t="s">
        <v>288</v>
      </c>
      <c r="H76" s="13">
        <f t="shared" si="4"/>
        <v>51956</v>
      </c>
      <c r="I76"/>
    </row>
    <row r="77" spans="1:9" ht="12" thickBot="1" x14ac:dyDescent="0.25">
      <c r="A77" s="1" t="s">
        <v>258</v>
      </c>
      <c r="B77" s="6" t="s">
        <v>180</v>
      </c>
      <c r="C77" s="73">
        <f>SUM('DOE25'!F131:F135)</f>
        <v>0</v>
      </c>
      <c r="D77" s="73">
        <f>SUM('DOE25'!G131:G135)</f>
        <v>7643</v>
      </c>
      <c r="E77" s="73">
        <f>SUM('DOE25'!H131:H135)</f>
        <v>0</v>
      </c>
      <c r="F77" s="73">
        <f>SUM('DOE25'!I131:I135)</f>
        <v>0</v>
      </c>
      <c r="G77" s="73">
        <f>SUM('DOE25'!J131:J135)</f>
        <v>0</v>
      </c>
      <c r="H77" s="13">
        <f t="shared" si="4"/>
        <v>7643</v>
      </c>
      <c r="I77"/>
    </row>
    <row r="78" spans="1:9" ht="12.75" thickTop="1" thickBot="1" x14ac:dyDescent="0.25">
      <c r="A78" s="28" t="s">
        <v>259</v>
      </c>
      <c r="B78" s="6"/>
      <c r="C78" s="93">
        <f>SUM(C72:C77)</f>
        <v>237801</v>
      </c>
      <c r="D78" s="93">
        <f>SUM(D72:D77)</f>
        <v>7643</v>
      </c>
      <c r="E78" s="93">
        <f>SUM(E72:E77)</f>
        <v>0</v>
      </c>
      <c r="F78" s="93">
        <f>SUM(F72:F77)</f>
        <v>0</v>
      </c>
      <c r="G78" s="93">
        <f>SUM(G72:G77)</f>
        <v>0</v>
      </c>
      <c r="H78" s="13">
        <f t="shared" si="4"/>
        <v>245444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10045140</v>
      </c>
      <c r="D81" s="93">
        <f>SUM(D79:D80)+D78+D70</f>
        <v>7643</v>
      </c>
      <c r="E81" s="93">
        <f>SUM(E79:E80)+E78+E70</f>
        <v>0</v>
      </c>
      <c r="F81" s="93">
        <f>SUM(F79:F80)+F78+F70</f>
        <v>0</v>
      </c>
      <c r="G81" s="93">
        <f>SUM(G79:G80)+G78+G70</f>
        <v>0</v>
      </c>
      <c r="H81" s="93">
        <f t="shared" si="4"/>
        <v>10052783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295919</v>
      </c>
      <c r="D88" s="253">
        <f>SUM('DOE25'!G153:G162)</f>
        <v>397417</v>
      </c>
      <c r="E88" s="253">
        <f>SUM('DOE25'!H153:H162)</f>
        <v>1988913</v>
      </c>
      <c r="F88" s="253">
        <f>SUM('DOE25'!I153:I162)</f>
        <v>0</v>
      </c>
      <c r="G88" s="23" t="s">
        <v>288</v>
      </c>
      <c r="H88" s="13">
        <f t="shared" si="5"/>
        <v>2682249</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295919</v>
      </c>
      <c r="D91" s="94">
        <f>SUM(D85:D90)</f>
        <v>397417</v>
      </c>
      <c r="E91" s="94">
        <f>SUM(E85:E90)</f>
        <v>1988913</v>
      </c>
      <c r="F91" s="94">
        <f>SUM(F85:F90)</f>
        <v>0</v>
      </c>
      <c r="G91" s="23" t="s">
        <v>288</v>
      </c>
      <c r="H91" s="13">
        <f t="shared" si="5"/>
        <v>2682249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500000</v>
      </c>
      <c r="H96" s="13">
        <f t="shared" si="5"/>
        <v>500000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489935</v>
      </c>
      <c r="D99" s="73">
        <f>'DOE25'!G186</f>
        <v>0</v>
      </c>
      <c r="E99" s="73">
        <f>'DOE25'!H186</f>
        <v>0</v>
      </c>
      <c r="F99" s="73">
        <f>'DOE25'!I186</f>
        <v>0</v>
      </c>
      <c r="G99" s="23" t="s">
        <v>288</v>
      </c>
      <c r="H99" s="13">
        <f t="shared" si="5"/>
        <v>489935</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489935</v>
      </c>
      <c r="D103" s="68">
        <f>SUM(D93:D102)</f>
        <v>0</v>
      </c>
      <c r="E103" s="68">
        <f>SUM(E93:E102)</f>
        <v>0</v>
      </c>
      <c r="F103" s="68">
        <f>SUM(F93:F102)</f>
        <v>0</v>
      </c>
      <c r="G103" s="68">
        <f>SUM(G93:G102)</f>
        <v>500000</v>
      </c>
      <c r="H103" s="68">
        <f t="shared" si="5"/>
        <v>989935</v>
      </c>
    </row>
    <row r="104" spans="1:8" ht="12.75" thickTop="1" thickBot="1" x14ac:dyDescent="0.25">
      <c r="A104" s="32" t="s">
        <v>761</v>
      </c>
      <c r="C104" s="68">
        <f>C63+C81+C91+C103</f>
        <v>26014967</v>
      </c>
      <c r="D104" s="68">
        <f>D63+D81+D91+D103</f>
        <v>754256</v>
      </c>
      <c r="E104" s="68">
        <f>E63+E81+E91+E103</f>
        <v>1988913</v>
      </c>
      <c r="F104" s="68">
        <f>F63+F81+F91+F103</f>
        <v>0</v>
      </c>
      <c r="G104" s="68">
        <f>G63+G81+G103</f>
        <v>565111</v>
      </c>
      <c r="H104" s="68">
        <f t="shared" si="5"/>
        <v>29323247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8062270</v>
      </c>
      <c r="D109" s="23" t="s">
        <v>288</v>
      </c>
      <c r="E109" s="73">
        <f>('DOE25'!L277)+('DOE25'!L296)+('DOE25'!L315)</f>
        <v>634420</v>
      </c>
      <c r="F109" s="23" t="s">
        <v>288</v>
      </c>
      <c r="G109" s="23" t="s">
        <v>288</v>
      </c>
      <c r="H109" s="13">
        <f t="shared" ref="H109:H115" si="6">SUM(C109:G109)</f>
        <v>8696690</v>
      </c>
    </row>
    <row r="110" spans="1:8" x14ac:dyDescent="0.2">
      <c r="A110" t="s">
        <v>198</v>
      </c>
      <c r="B110" s="31" t="s">
        <v>199</v>
      </c>
      <c r="C110" s="73">
        <f>('DOE25'!L199)+('DOE25'!L217)+('DOE25'!L235)</f>
        <v>4749932</v>
      </c>
      <c r="D110" s="23" t="s">
        <v>288</v>
      </c>
      <c r="E110" s="73">
        <f>('DOE25'!L278)+('DOE25'!L297)+('DOE25'!L316)</f>
        <v>423337</v>
      </c>
      <c r="F110" s="23" t="s">
        <v>288</v>
      </c>
      <c r="G110" s="23" t="s">
        <v>288</v>
      </c>
      <c r="H110" s="13">
        <f t="shared" si="6"/>
        <v>5173269</v>
      </c>
    </row>
    <row r="111" spans="1:8" x14ac:dyDescent="0.2">
      <c r="A111" t="s">
        <v>200</v>
      </c>
      <c r="B111" s="31" t="s">
        <v>165</v>
      </c>
      <c r="C111" s="73">
        <f>('DOE25'!L200)+('DOE25'!L218)+('DOE25'!L236)</f>
        <v>348544</v>
      </c>
      <c r="D111" s="23" t="s">
        <v>288</v>
      </c>
      <c r="E111" s="73">
        <f>('DOE25'!L279)+('DOE25'!L298)+('DOE25'!L317)</f>
        <v>3794</v>
      </c>
      <c r="F111" s="23" t="s">
        <v>288</v>
      </c>
      <c r="G111" s="23" t="s">
        <v>288</v>
      </c>
      <c r="H111" s="13">
        <f t="shared" si="6"/>
        <v>352338</v>
      </c>
    </row>
    <row r="112" spans="1:8" x14ac:dyDescent="0.2">
      <c r="A112" t="s">
        <v>201</v>
      </c>
      <c r="B112" s="31" t="s">
        <v>167</v>
      </c>
      <c r="C112" s="73">
        <f>('DOE25'!L201)+('DOE25'!L219)+('DOE25'!L237)</f>
        <v>568358</v>
      </c>
      <c r="D112" s="23" t="s">
        <v>288</v>
      </c>
      <c r="E112" s="73">
        <f>+('DOE25'!L280)+('DOE25'!L299)+('DOE25'!L318)</f>
        <v>90779</v>
      </c>
      <c r="F112" s="23" t="s">
        <v>288</v>
      </c>
      <c r="G112" s="23" t="s">
        <v>288</v>
      </c>
      <c r="H112" s="13">
        <f t="shared" si="6"/>
        <v>659137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13729104</v>
      </c>
      <c r="D115" s="68">
        <f>SUM(D109:D114)</f>
        <v>0</v>
      </c>
      <c r="E115" s="68">
        <f>SUM(E109:E114)</f>
        <v>1152330</v>
      </c>
      <c r="F115" s="68">
        <f>SUM(F109:F114)</f>
        <v>0</v>
      </c>
      <c r="G115" s="68">
        <f>SUM(G109:G114)</f>
        <v>0</v>
      </c>
      <c r="H115" s="68">
        <f t="shared" si="6"/>
        <v>14881434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1413870</v>
      </c>
      <c r="D118" s="23" t="s">
        <v>288</v>
      </c>
      <c r="E118" s="73">
        <f>+('DOE25'!L282)+('DOE25'!L301)+('DOE25'!L320)</f>
        <v>675427</v>
      </c>
      <c r="F118" s="23" t="s">
        <v>288</v>
      </c>
      <c r="G118" s="23" t="s">
        <v>288</v>
      </c>
      <c r="H118" s="13">
        <f t="shared" ref="H118:H145" si="7">SUM(C118:G118)</f>
        <v>2089297</v>
      </c>
    </row>
    <row r="119" spans="1:8" x14ac:dyDescent="0.2">
      <c r="A119" t="s">
        <v>208</v>
      </c>
      <c r="B119" s="31" t="s">
        <v>209</v>
      </c>
      <c r="C119" s="73">
        <f>('DOE25'!L204)+('DOE25'!L222)+('DOE25'!L240)</f>
        <v>817597</v>
      </c>
      <c r="D119" s="23" t="s">
        <v>288</v>
      </c>
      <c r="E119" s="73">
        <f>+('DOE25'!L283)+('DOE25'!L302)+('DOE25'!L321)</f>
        <v>94126</v>
      </c>
      <c r="F119" s="23" t="s">
        <v>288</v>
      </c>
      <c r="G119" s="23" t="s">
        <v>288</v>
      </c>
      <c r="H119" s="13">
        <f t="shared" si="7"/>
        <v>911723</v>
      </c>
    </row>
    <row r="120" spans="1:8" x14ac:dyDescent="0.2">
      <c r="A120" t="s">
        <v>210</v>
      </c>
      <c r="B120" s="31" t="s">
        <v>211</v>
      </c>
      <c r="C120" s="73">
        <f>('DOE25'!L205)+('DOE25'!L223)+('DOE25'!L241)</f>
        <v>1879549</v>
      </c>
      <c r="D120" s="23" t="s">
        <v>288</v>
      </c>
      <c r="E120" s="73">
        <f>+('DOE25'!L284)+('DOE25'!L303)+('DOE25'!L322)</f>
        <v>10129</v>
      </c>
      <c r="F120" s="23" t="s">
        <v>288</v>
      </c>
      <c r="G120" s="23" t="s">
        <v>288</v>
      </c>
      <c r="H120" s="13">
        <f t="shared" si="7"/>
        <v>1889678</v>
      </c>
    </row>
    <row r="121" spans="1:8" x14ac:dyDescent="0.2">
      <c r="A121" t="s">
        <v>212</v>
      </c>
      <c r="B121" s="31" t="s">
        <v>213</v>
      </c>
      <c r="C121" s="73">
        <f>('DOE25'!L206)+('DOE25'!L224)+('DOE25'!L242)</f>
        <v>1467664</v>
      </c>
      <c r="D121" s="23" t="s">
        <v>288</v>
      </c>
      <c r="E121" s="73">
        <f>+('DOE25'!L285)+('DOE25'!L304)+('DOE25'!L323)</f>
        <v>1648</v>
      </c>
      <c r="F121" s="23" t="s">
        <v>288</v>
      </c>
      <c r="G121" s="23" t="s">
        <v>288</v>
      </c>
      <c r="H121" s="13">
        <f t="shared" si="7"/>
        <v>1469312</v>
      </c>
    </row>
    <row r="122" spans="1:8" x14ac:dyDescent="0.2">
      <c r="A122" t="s">
        <v>214</v>
      </c>
      <c r="B122" s="31" t="s">
        <v>215</v>
      </c>
      <c r="C122" s="73">
        <f>('DOE25'!L207)+('DOE25'!L225)+('DOE25'!L243)</f>
        <v>730539</v>
      </c>
      <c r="D122" s="23" t="s">
        <v>288</v>
      </c>
      <c r="E122" s="73">
        <f>+('DOE25'!L286)+('DOE25'!L305)+('DOE25'!L324)</f>
        <v>0</v>
      </c>
      <c r="F122" s="23" t="s">
        <v>288</v>
      </c>
      <c r="G122" s="23" t="s">
        <v>288</v>
      </c>
      <c r="H122" s="13">
        <f t="shared" si="7"/>
        <v>730539</v>
      </c>
    </row>
    <row r="123" spans="1:8" x14ac:dyDescent="0.2">
      <c r="A123" t="s">
        <v>216</v>
      </c>
      <c r="B123" s="31" t="s">
        <v>217</v>
      </c>
      <c r="C123" s="73">
        <f>('DOE25'!L208)+('DOE25'!L226)+('DOE25'!L244)</f>
        <v>2194066</v>
      </c>
      <c r="D123" s="23" t="s">
        <v>288</v>
      </c>
      <c r="E123" s="73">
        <f>+('DOE25'!L287)+('DOE25'!L306)+('DOE25'!L325)</f>
        <v>3845</v>
      </c>
      <c r="F123" s="23" t="s">
        <v>288</v>
      </c>
      <c r="G123" s="23" t="s">
        <v>288</v>
      </c>
      <c r="H123" s="13">
        <f t="shared" si="7"/>
        <v>2197911</v>
      </c>
    </row>
    <row r="124" spans="1:8" x14ac:dyDescent="0.2">
      <c r="A124" t="s">
        <v>218</v>
      </c>
      <c r="B124" s="31" t="s">
        <v>219</v>
      </c>
      <c r="C124" s="73">
        <f>('DOE25'!L209)+('DOE25'!L227)+('DOE25'!L245+'DOE25'!L255)</f>
        <v>1317549</v>
      </c>
      <c r="D124" s="23" t="s">
        <v>288</v>
      </c>
      <c r="E124" s="73">
        <f>+('DOE25'!L288)+('DOE25'!L307)+('DOE25'!L326)</f>
        <v>234</v>
      </c>
      <c r="F124" s="23" t="s">
        <v>288</v>
      </c>
      <c r="G124" s="23" t="s">
        <v>288</v>
      </c>
      <c r="H124" s="13">
        <f t="shared" si="7"/>
        <v>1317783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872567</v>
      </c>
      <c r="E127" s="23" t="s">
        <v>288</v>
      </c>
      <c r="F127" s="23" t="s">
        <v>288</v>
      </c>
      <c r="G127" s="23" t="s">
        <v>288</v>
      </c>
      <c r="H127" s="13">
        <f t="shared" si="7"/>
        <v>872567</v>
      </c>
    </row>
    <row r="128" spans="1:8" ht="12.75" thickTop="1" thickBot="1" x14ac:dyDescent="0.25">
      <c r="A128" s="32" t="s">
        <v>226</v>
      </c>
      <c r="C128" s="68">
        <f>SUM(C118:C127)</f>
        <v>9820834</v>
      </c>
      <c r="D128" s="68">
        <f>SUM(D118:D127)</f>
        <v>872567</v>
      </c>
      <c r="E128" s="68">
        <f>SUM(E118:E127)</f>
        <v>785409</v>
      </c>
      <c r="F128" s="68">
        <f>SUM(F118:F127)</f>
        <v>0</v>
      </c>
      <c r="G128" s="68">
        <f>SUM(G118:G127)</f>
        <v>0</v>
      </c>
      <c r="H128" s="68">
        <f t="shared" si="7"/>
        <v>11478810</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376637</v>
      </c>
      <c r="D130" s="23" t="s">
        <v>288</v>
      </c>
      <c r="E130" s="92">
        <f>'DOE25'!L337</f>
        <v>0</v>
      </c>
      <c r="F130" s="92">
        <f>SUM('DOE25'!L375:'DOE25'!L381)</f>
        <v>0</v>
      </c>
      <c r="G130" s="23" t="s">
        <v>288</v>
      </c>
      <c r="H130" s="13">
        <f t="shared" si="7"/>
        <v>376637</v>
      </c>
    </row>
    <row r="131" spans="1:8" x14ac:dyDescent="0.2">
      <c r="A131" t="s">
        <v>229</v>
      </c>
      <c r="B131" s="31">
        <v>5110</v>
      </c>
      <c r="C131" s="73">
        <f>'DOE25'!L261</f>
        <v>230978</v>
      </c>
      <c r="D131" s="23" t="s">
        <v>288</v>
      </c>
      <c r="E131" s="92">
        <f>'DOE25'!L342</f>
        <v>0</v>
      </c>
      <c r="F131" s="23" t="s">
        <v>288</v>
      </c>
      <c r="G131" s="23" t="s">
        <v>288</v>
      </c>
      <c r="H131" s="13">
        <f t="shared" si="7"/>
        <v>230978</v>
      </c>
    </row>
    <row r="132" spans="1:8" x14ac:dyDescent="0.2">
      <c r="A132" t="s">
        <v>230</v>
      </c>
      <c r="B132" s="31">
        <v>5120</v>
      </c>
      <c r="C132" s="73">
        <f>'DOE25'!L262</f>
        <v>9753</v>
      </c>
      <c r="D132" s="23" t="s">
        <v>288</v>
      </c>
      <c r="E132" s="92">
        <f>'DOE25'!L343</f>
        <v>0</v>
      </c>
      <c r="F132" s="23" t="s">
        <v>288</v>
      </c>
      <c r="G132" s="23" t="s">
        <v>288</v>
      </c>
      <c r="H132" s="13">
        <f t="shared" si="7"/>
        <v>9753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51174</v>
      </c>
      <c r="F134" s="73">
        <f>'DOE25'!K382</f>
        <v>0</v>
      </c>
      <c r="G134" s="73">
        <f>'DOE25'!K435</f>
        <v>379527</v>
      </c>
      <c r="H134" s="13">
        <f t="shared" si="7"/>
        <v>430701</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565111</v>
      </c>
      <c r="D138" s="23" t="s">
        <v>288</v>
      </c>
      <c r="E138" s="23" t="s">
        <v>288</v>
      </c>
      <c r="F138" s="23" t="s">
        <v>288</v>
      </c>
      <c r="G138" s="23" t="s">
        <v>288</v>
      </c>
      <c r="H138" s="13">
        <f t="shared" si="7"/>
        <v>565111</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-65111</v>
      </c>
      <c r="D141" s="23" t="s">
        <v>288</v>
      </c>
      <c r="E141" s="23" t="s">
        <v>288</v>
      </c>
      <c r="F141" s="23" t="s">
        <v>288</v>
      </c>
      <c r="G141" s="23" t="s">
        <v>288</v>
      </c>
      <c r="H141" s="13">
        <f t="shared" si="7"/>
        <v>-65111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1117368</v>
      </c>
      <c r="D144" s="98">
        <f>SUM(D130:D143)</f>
        <v>0</v>
      </c>
      <c r="E144" s="98">
        <f>SUM(E130:E143)</f>
        <v>51174</v>
      </c>
      <c r="F144" s="98">
        <f>SUM(F130:F143)</f>
        <v>0</v>
      </c>
      <c r="G144" s="98">
        <f>SUM(G130:G143)</f>
        <v>379527</v>
      </c>
      <c r="H144" s="98">
        <f t="shared" si="7"/>
        <v>1548069</v>
      </c>
    </row>
    <row r="145" spans="1:9" ht="12.75" thickTop="1" thickBot="1" x14ac:dyDescent="0.25">
      <c r="A145" s="32" t="s">
        <v>244</v>
      </c>
      <c r="C145" s="68">
        <f>(C115+C128+C144)</f>
        <v>24667306</v>
      </c>
      <c r="D145" s="68">
        <f>(D115+D128+D144)</f>
        <v>872567</v>
      </c>
      <c r="E145" s="68">
        <f>(E115+E128+E144)</f>
        <v>1988913</v>
      </c>
      <c r="F145" s="68">
        <f>(F115+F128+F144)</f>
        <v>0</v>
      </c>
      <c r="G145" s="68">
        <f>(G115+G128+G144)</f>
        <v>379527</v>
      </c>
      <c r="H145" s="68">
        <f t="shared" si="7"/>
        <v>27908313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11/09</v>
      </c>
      <c r="C152" s="109">
        <f>'DOE25'!G492</f>
        <v>0</v>
      </c>
      <c r="D152" s="109">
        <f>'DOE25'!H492</f>
        <v>0</v>
      </c>
      <c r="E152" s="109">
        <f>'DOE25'!I492</f>
        <v>0</v>
      </c>
      <c r="F152" s="109">
        <f>'DOE25'!J492</f>
        <v>0</v>
      </c>
      <c r="G152" s="23" t="s">
        <v>288</v>
      </c>
    </row>
    <row r="153" spans="1:9" x14ac:dyDescent="0.2">
      <c r="A153" s="21" t="s">
        <v>29</v>
      </c>
      <c r="B153" s="109" t="str">
        <f>'DOE25'!F493</f>
        <v>12/24</v>
      </c>
      <c r="C153" s="109">
        <f>'DOE25'!G493</f>
        <v>0</v>
      </c>
      <c r="D153" s="109">
        <f>'DOE25'!H493</f>
        <v>0</v>
      </c>
      <c r="E153" s="109">
        <f>'DOE25'!I493</f>
        <v>0</v>
      </c>
      <c r="F153" s="109">
        <f>'DOE25'!J493</f>
        <v>0</v>
      </c>
      <c r="G153" s="23" t="s">
        <v>288</v>
      </c>
    </row>
    <row r="154" spans="1:9" x14ac:dyDescent="0.2">
      <c r="A154" s="21" t="s">
        <v>30</v>
      </c>
      <c r="B154" s="19">
        <f>'DOE25'!F494</f>
        <v>3396240</v>
      </c>
      <c r="C154" s="19">
        <f>'DOE25'!G494</f>
        <v>0</v>
      </c>
      <c r="D154" s="19">
        <f>'DOE25'!H494</f>
        <v>0</v>
      </c>
      <c r="E154" s="19">
        <f>'DOE25'!I494</f>
        <v>0</v>
      </c>
      <c r="F154" s="19">
        <f>'DOE25'!J494</f>
        <v>0</v>
      </c>
      <c r="G154" s="23" t="s">
        <v>288</v>
      </c>
    </row>
    <row r="155" spans="1:9" x14ac:dyDescent="0.2">
      <c r="A155" s="21" t="s">
        <v>31</v>
      </c>
      <c r="B155" s="19">
        <f>'DOE25'!F495</f>
        <v>1.4</v>
      </c>
      <c r="C155" s="19">
        <f>'DOE25'!G495</f>
        <v>0</v>
      </c>
      <c r="D155" s="19">
        <f>'DOE25'!H495</f>
        <v>0</v>
      </c>
      <c r="E155" s="19">
        <f>'DOE25'!I495</f>
        <v>0</v>
      </c>
      <c r="F155" s="19">
        <f>'DOE25'!J495</f>
        <v>0</v>
      </c>
      <c r="G155" s="23" t="s">
        <v>288</v>
      </c>
    </row>
    <row r="156" spans="1:9" x14ac:dyDescent="0.2">
      <c r="A156" s="21" t="s">
        <v>32</v>
      </c>
      <c r="B156" s="19">
        <f>'DOE25'!F496</f>
        <v>696659</v>
      </c>
      <c r="C156" s="19">
        <f>'DOE25'!G496</f>
        <v>0</v>
      </c>
      <c r="D156" s="19">
        <f>'DOE25'!H496</f>
        <v>0</v>
      </c>
      <c r="E156" s="19">
        <f>'DOE25'!I496</f>
        <v>0</v>
      </c>
      <c r="F156" s="19">
        <f>'DOE25'!J496</f>
        <v>0</v>
      </c>
      <c r="G156" s="96">
        <f>SUM(B156:F156)</f>
        <v>696659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230978</v>
      </c>
      <c r="C158" s="19">
        <f>'DOE25'!G498</f>
        <v>0</v>
      </c>
      <c r="D158" s="19">
        <f>'DOE25'!H498</f>
        <v>0</v>
      </c>
      <c r="E158" s="19">
        <f>'DOE25'!I498</f>
        <v>0</v>
      </c>
      <c r="F158" s="19">
        <f>'DOE25'!J498</f>
        <v>0</v>
      </c>
      <c r="G158" s="96">
        <f t="shared" si="8"/>
        <v>230978</v>
      </c>
    </row>
    <row r="159" spans="1:9" x14ac:dyDescent="0.2">
      <c r="A159" s="21" t="s">
        <v>35</v>
      </c>
      <c r="B159" s="19">
        <f>'DOE25'!F499</f>
        <v>465681</v>
      </c>
      <c r="C159" s="19">
        <f>'DOE25'!G499</f>
        <v>0</v>
      </c>
      <c r="D159" s="19">
        <f>'DOE25'!H499</f>
        <v>0</v>
      </c>
      <c r="E159" s="19">
        <f>'DOE25'!I499</f>
        <v>0</v>
      </c>
      <c r="F159" s="19">
        <f>'DOE25'!J499</f>
        <v>0</v>
      </c>
      <c r="G159" s="96">
        <f t="shared" si="8"/>
        <v>465681</v>
      </c>
    </row>
    <row r="160" spans="1:9" x14ac:dyDescent="0.2">
      <c r="A160" s="21" t="s">
        <v>36</v>
      </c>
      <c r="B160" s="19">
        <f>'DOE25'!F500</f>
        <v>9777</v>
      </c>
      <c r="C160" s="19">
        <f>'DOE25'!G500</f>
        <v>0</v>
      </c>
      <c r="D160" s="19">
        <f>'DOE25'!H500</f>
        <v>0</v>
      </c>
      <c r="E160" s="19">
        <f>'DOE25'!I500</f>
        <v>0</v>
      </c>
      <c r="F160" s="19">
        <f>'DOE25'!J500</f>
        <v>0</v>
      </c>
      <c r="G160" s="96">
        <f t="shared" si="8"/>
        <v>9777</v>
      </c>
    </row>
    <row r="161" spans="1:7" x14ac:dyDescent="0.2">
      <c r="A161" s="21" t="s">
        <v>37</v>
      </c>
      <c r="B161" s="19">
        <f>'DOE25'!F501</f>
        <v>475458</v>
      </c>
      <c r="C161" s="19">
        <f>'DOE25'!G501</f>
        <v>0</v>
      </c>
      <c r="D161" s="19">
        <f>'DOE25'!H501</f>
        <v>0</v>
      </c>
      <c r="E161" s="19">
        <f>'DOE25'!I501</f>
        <v>0</v>
      </c>
      <c r="F161" s="19">
        <f>'DOE25'!J501</f>
        <v>0</v>
      </c>
      <c r="G161" s="96">
        <f t="shared" si="8"/>
        <v>475458</v>
      </c>
    </row>
    <row r="162" spans="1:7" x14ac:dyDescent="0.2">
      <c r="A162" s="21" t="s">
        <v>38</v>
      </c>
      <c r="B162" s="19">
        <f>'DOE25'!F502</f>
        <v>232088</v>
      </c>
      <c r="C162" s="19">
        <f>'DOE25'!G502</f>
        <v>0</v>
      </c>
      <c r="D162" s="19">
        <f>'DOE25'!H502</f>
        <v>0</v>
      </c>
      <c r="E162" s="19">
        <f>'DOE25'!I502</f>
        <v>0</v>
      </c>
      <c r="F162" s="19">
        <f>'DOE25'!J502</f>
        <v>0</v>
      </c>
      <c r="G162" s="96">
        <f t="shared" si="8"/>
        <v>232088</v>
      </c>
    </row>
    <row r="163" spans="1:7" x14ac:dyDescent="0.2">
      <c r="A163" s="21" t="s">
        <v>39</v>
      </c>
      <c r="B163" s="19">
        <f>'DOE25'!F503</f>
        <v>6513</v>
      </c>
      <c r="C163" s="19">
        <f>'DOE25'!G503</f>
        <v>0</v>
      </c>
      <c r="D163" s="19">
        <f>'DOE25'!H503</f>
        <v>0</v>
      </c>
      <c r="E163" s="19">
        <f>'DOE25'!I503</f>
        <v>0</v>
      </c>
      <c r="F163" s="19">
        <f>'DOE25'!J503</f>
        <v>0</v>
      </c>
      <c r="G163" s="96">
        <f t="shared" si="8"/>
        <v>6513</v>
      </c>
    </row>
    <row r="164" spans="1:7" x14ac:dyDescent="0.2">
      <c r="A164" s="21" t="s">
        <v>246</v>
      </c>
      <c r="B164" s="19">
        <f>'DOE25'!F504</f>
        <v>238601</v>
      </c>
      <c r="C164" s="19">
        <f>'DOE25'!G504</f>
        <v>0</v>
      </c>
      <c r="D164" s="19">
        <f>'DOE25'!H504</f>
        <v>0</v>
      </c>
      <c r="E164" s="19">
        <f>'DOE25'!I504</f>
        <v>0</v>
      </c>
      <c r="F164" s="19">
        <f>'DOE25'!J504</f>
        <v>0</v>
      </c>
      <c r="G164" s="96">
        <f t="shared" si="8"/>
        <v>238601</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4" manualBreakCount="4">
    <brk id="51"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Winnisquam Regional</v>
      </c>
    </row>
    <row r="3" spans="1:4" x14ac:dyDescent="0.2">
      <c r="B3" s="137" t="s">
        <v>1799</v>
      </c>
    </row>
    <row r="4" spans="1:4" x14ac:dyDescent="0.2">
      <c r="B4" t="s">
        <v>61</v>
      </c>
      <c r="C4" s="129">
        <f>IF('DOE25'!F666+'DOE25'!F671=0,0,ROUND('DOE25'!F673,0))</f>
        <v>22760</v>
      </c>
    </row>
    <row r="5" spans="1:4" x14ac:dyDescent="0.2">
      <c r="B5" t="s">
        <v>700</v>
      </c>
      <c r="C5" s="129">
        <f>IF('DOE25'!G666+'DOE25'!G671=0,0,ROUND('DOE25'!G673,0))</f>
        <v>17338</v>
      </c>
    </row>
    <row r="6" spans="1:4" x14ac:dyDescent="0.2">
      <c r="B6" t="s">
        <v>62</v>
      </c>
      <c r="C6" s="129">
        <f>IF('DOE25'!H666+'DOE25'!H671=0,0,ROUND('DOE25'!H673,0))</f>
        <v>18445</v>
      </c>
    </row>
    <row r="7" spans="1:4" x14ac:dyDescent="0.2">
      <c r="B7" t="s">
        <v>701</v>
      </c>
      <c r="C7" s="129">
        <f>IF('DOE25'!I666+'DOE25'!I671=0,0,ROUND('DOE25'!I673,0))</f>
        <v>19618</v>
      </c>
    </row>
    <row r="9" spans="1:4" x14ac:dyDescent="0.2">
      <c r="A9" s="136" t="s">
        <v>94</v>
      </c>
      <c r="B9" s="137" t="s">
        <v>1800</v>
      </c>
      <c r="C9" s="131" t="s">
        <v>720</v>
      </c>
      <c r="D9" s="131" t="s">
        <v>721</v>
      </c>
    </row>
    <row r="10" spans="1:4" x14ac:dyDescent="0.2">
      <c r="A10">
        <v>1100</v>
      </c>
      <c r="B10" t="s">
        <v>702</v>
      </c>
      <c r="C10" s="129">
        <f>ROUND('DOE25'!L198+'DOE25'!L216+'DOE25'!L234+'DOE25'!L277+'DOE25'!L296+'DOE25'!L315,0)</f>
        <v>8696690</v>
      </c>
      <c r="D10" s="132">
        <f>ROUND((C10/$C$28)*100,1)</f>
        <v>33.4</v>
      </c>
    </row>
    <row r="11" spans="1:4" x14ac:dyDescent="0.2">
      <c r="A11">
        <v>1200</v>
      </c>
      <c r="B11" t="s">
        <v>703</v>
      </c>
      <c r="C11" s="129">
        <f>ROUND('DOE25'!L199+'DOE25'!L217+'DOE25'!L235+'DOE25'!L278+'DOE25'!L297+'DOE25'!L316,0)</f>
        <v>5173269</v>
      </c>
      <c r="D11" s="132">
        <f>ROUND((C11/$C$28)*100,1)</f>
        <v>19.899999999999999</v>
      </c>
    </row>
    <row r="12" spans="1:4" x14ac:dyDescent="0.2">
      <c r="A12">
        <v>1300</v>
      </c>
      <c r="B12" t="s">
        <v>704</v>
      </c>
      <c r="C12" s="129">
        <f>ROUND('DOE25'!L200+'DOE25'!L218+'DOE25'!L236+'DOE25'!L279+'DOE25'!L298+'DOE25'!L317,0)</f>
        <v>352338</v>
      </c>
      <c r="D12" s="132">
        <f>ROUND((C12/$C$28)*100,1)</f>
        <v>1.4</v>
      </c>
    </row>
    <row r="13" spans="1:4" x14ac:dyDescent="0.2">
      <c r="A13">
        <v>1400</v>
      </c>
      <c r="B13" t="s">
        <v>705</v>
      </c>
      <c r="C13" s="129">
        <f>ROUND('DOE25'!L201+'DOE25'!L219+'DOE25'!L237+'DOE25'!L280+'DOE25'!L299+'DOE25'!L318,0)</f>
        <v>659137</v>
      </c>
      <c r="D13" s="132">
        <f>ROUND((C13/$C$28)*100,1)</f>
        <v>2.5</v>
      </c>
    </row>
    <row r="14" spans="1:4" x14ac:dyDescent="0.2">
      <c r="D14" s="132"/>
    </row>
    <row r="15" spans="1:4" x14ac:dyDescent="0.2">
      <c r="A15">
        <v>2100</v>
      </c>
      <c r="B15" t="s">
        <v>706</v>
      </c>
      <c r="C15" s="129">
        <f>ROUND('DOE25'!L203+'DOE25'!L221+'DOE25'!L239+'DOE25'!L282+'DOE25'!L301+'DOE25'!L320,0)</f>
        <v>2089297</v>
      </c>
      <c r="D15" s="132">
        <f t="shared" ref="D15:D27" si="0">ROUND((C15/$C$28)*100,1)</f>
        <v>8</v>
      </c>
    </row>
    <row r="16" spans="1:4" x14ac:dyDescent="0.2">
      <c r="A16">
        <v>2200</v>
      </c>
      <c r="B16" t="s">
        <v>707</v>
      </c>
      <c r="C16" s="129">
        <f>ROUND('DOE25'!L204+'DOE25'!L222+'DOE25'!L240+'DOE25'!L283+'DOE25'!L302+'DOE25'!L321,0)</f>
        <v>911723</v>
      </c>
      <c r="D16" s="132">
        <f t="shared" si="0"/>
        <v>3.5</v>
      </c>
    </row>
    <row r="17" spans="1:4" x14ac:dyDescent="0.2">
      <c r="A17" s="133" t="s">
        <v>723</v>
      </c>
      <c r="B17" t="s">
        <v>738</v>
      </c>
      <c r="C17" s="129">
        <f>ROUND('DOE25'!L205+'DOE25'!L210+'DOE25'!L223+'DOE25'!L228+'DOE25'!L241+'DOE25'!L246+'DOE25'!L284+'DOE25'!L289+'DOE25'!L303+'DOE25'!L308+'DOE25'!L322+'DOE25'!L327,0)</f>
        <v>1889678</v>
      </c>
      <c r="D17" s="132">
        <f t="shared" si="0"/>
        <v>7.3</v>
      </c>
    </row>
    <row r="18" spans="1:4" x14ac:dyDescent="0.2">
      <c r="A18">
        <v>2400</v>
      </c>
      <c r="B18" t="s">
        <v>711</v>
      </c>
      <c r="C18" s="129">
        <f>ROUND('DOE25'!L206+'DOE25'!L224+'DOE25'!L242+'DOE25'!L285+'DOE25'!L304+'DOE25'!L323,0)</f>
        <v>1469312</v>
      </c>
      <c r="D18" s="132">
        <f t="shared" si="0"/>
        <v>5.6</v>
      </c>
    </row>
    <row r="19" spans="1:4" x14ac:dyDescent="0.2">
      <c r="A19">
        <v>2500</v>
      </c>
      <c r="B19" t="s">
        <v>708</v>
      </c>
      <c r="C19" s="129">
        <f>ROUND('DOE25'!L207+'DOE25'!L225+'DOE25'!L243+'DOE25'!L286+'DOE25'!L305+'DOE25'!L324,0)</f>
        <v>730539</v>
      </c>
      <c r="D19" s="132">
        <f t="shared" si="0"/>
        <v>2.8</v>
      </c>
    </row>
    <row r="20" spans="1:4" x14ac:dyDescent="0.2">
      <c r="A20">
        <v>2600</v>
      </c>
      <c r="B20" t="s">
        <v>709</v>
      </c>
      <c r="C20" s="129">
        <f>ROUND('DOE25'!L208+'DOE25'!L226+'DOE25'!L244+'DOE25'!L287+'DOE25'!L306+'DOE25'!L325,0)</f>
        <v>2197911</v>
      </c>
      <c r="D20" s="132">
        <f t="shared" si="0"/>
        <v>8.4</v>
      </c>
    </row>
    <row r="21" spans="1:4" x14ac:dyDescent="0.2">
      <c r="A21">
        <v>2700</v>
      </c>
      <c r="B21" t="s">
        <v>710</v>
      </c>
      <c r="C21" s="129">
        <f>ROUND('DOE25'!L209+'DOE25'!L227+'DOE25'!L245+'DOE25'!L288+'DOE25'!L307+'DOE25'!L326,0)</f>
        <v>1317783</v>
      </c>
      <c r="D21" s="132">
        <f t="shared" si="0"/>
        <v>5.0999999999999996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9753</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523371</v>
      </c>
      <c r="D27" s="132">
        <f t="shared" si="0"/>
        <v>2</v>
      </c>
    </row>
    <row r="28" spans="1:4" x14ac:dyDescent="0.2">
      <c r="B28" s="136" t="s">
        <v>719</v>
      </c>
      <c r="C28" s="130">
        <f>SUM(C10:C27)</f>
        <v>26020801</v>
      </c>
      <c r="D28" s="134">
        <f>ROUND(SUM(D10:D27),0)</f>
        <v>100</v>
      </c>
    </row>
    <row r="29" spans="1:4" x14ac:dyDescent="0.2">
      <c r="A29">
        <v>4000</v>
      </c>
      <c r="B29" t="s">
        <v>724</v>
      </c>
      <c r="C29" s="129">
        <f>ROUND('DOE25'!L256+'DOE25'!L337+'DOE25'!L375+'DOE25'!L376+'DOE25'!L377+'DOE25'!L378+'DOE25'!L379+'DOE25'!L380+'DOE25'!L381,0)</f>
        <v>376637</v>
      </c>
    </row>
    <row r="30" spans="1:4" x14ac:dyDescent="0.2">
      <c r="B30" s="136" t="s">
        <v>725</v>
      </c>
      <c r="C30" s="130">
        <f>SUM(C28:C29)</f>
        <v>26397438</v>
      </c>
    </row>
    <row r="31" spans="1:4" x14ac:dyDescent="0.2">
      <c r="B31" s="32"/>
      <c r="C31" s="130"/>
    </row>
    <row r="32" spans="1:4" x14ac:dyDescent="0.2">
      <c r="A32">
        <v>5100</v>
      </c>
      <c r="B32" s="32" t="s">
        <v>726</v>
      </c>
      <c r="C32" s="130">
        <f>ROUND('DOE25'!L261+'DOE25'!L342,0)</f>
        <v>230978</v>
      </c>
    </row>
    <row r="34" spans="1:4" x14ac:dyDescent="0.2">
      <c r="A34" s="136" t="s">
        <v>94</v>
      </c>
      <c r="B34" s="137" t="s">
        <v>1801</v>
      </c>
      <c r="C34" s="131" t="s">
        <v>720</v>
      </c>
      <c r="D34" s="131" t="s">
        <v>721</v>
      </c>
    </row>
    <row r="35" spans="1:4" x14ac:dyDescent="0.2">
      <c r="A35">
        <v>1100</v>
      </c>
      <c r="B35" s="71" t="s">
        <v>727</v>
      </c>
      <c r="C35" s="129">
        <f>ROUND('DOE25'!F60+'DOE25'!G60+'DOE25'!H60+'DOE25'!I60+'DOE25'!J60,0)</f>
        <v>14680632</v>
      </c>
      <c r="D35" s="132">
        <f t="shared" ref="D35:D40" si="1">ROUND((C35/$C$41)*100,1)</f>
        <v>52.5</v>
      </c>
    </row>
    <row r="36" spans="1:4" x14ac:dyDescent="0.2">
      <c r="B36" s="71" t="s">
        <v>739</v>
      </c>
      <c r="C36" s="129">
        <f>SUM('DOE25'!F112:J112)-SUM('DOE25'!G97:G110)+('DOE25'!F175+'DOE25'!F176+'DOE25'!I175+'DOE25'!I176)-C35</f>
        <v>568452</v>
      </c>
      <c r="D36" s="132">
        <f t="shared" si="1"/>
        <v>2</v>
      </c>
    </row>
    <row r="37" spans="1:4" x14ac:dyDescent="0.2">
      <c r="A37" s="133" t="s">
        <v>834</v>
      </c>
      <c r="B37" s="71" t="s">
        <v>728</v>
      </c>
      <c r="C37" s="129">
        <f>ROUND('DOE25'!F117+'DOE25'!F118,0)</f>
        <v>9633871</v>
      </c>
      <c r="D37" s="132">
        <f t="shared" si="1"/>
        <v>34.4</v>
      </c>
    </row>
    <row r="38" spans="1:4" x14ac:dyDescent="0.2">
      <c r="A38" s="133" t="s">
        <v>734</v>
      </c>
      <c r="B38" s="71" t="s">
        <v>729</v>
      </c>
      <c r="C38" s="129">
        <f>ROUND(SUM('DOE25'!F140:J140)-SUM('DOE25'!F117:F119),0)</f>
        <v>418912</v>
      </c>
      <c r="D38" s="132">
        <f t="shared" si="1"/>
        <v>1.5</v>
      </c>
    </row>
    <row r="39" spans="1:4" x14ac:dyDescent="0.2">
      <c r="A39">
        <v>4000</v>
      </c>
      <c r="B39" s="71" t="s">
        <v>730</v>
      </c>
      <c r="C39" s="129">
        <f>ROUND('DOE25'!F170+'DOE25'!G170+'DOE25'!H170+'DOE25'!I170,0)</f>
        <v>2682249</v>
      </c>
      <c r="D39" s="132">
        <f t="shared" si="1"/>
        <v>9.6</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27984116</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3" sqref="C13:M13"/>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Winnisquam Regional</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261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71</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96</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275</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296</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f>IF('School Level Expenditures'!$B$2='School Tables'!L74,'School Tables'!S74,"")</f>
        <v>71</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f>IF('School Level Expenditures'!$B$2='School Tables'!W99,'School Tables'!AD99,"")</f>
        <v>96</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f>IF('School Level Expenditures'!$B$2=A264,'School Tables'!H264,"")</f>
        <v>261</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f>IF('School Level Expenditures'!$B$2=A278,'School Tables'!H278,"")</f>
        <v>275</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f>IF('School Level Expenditures'!$B$2=A299,'School Tables'!H299,"")</f>
        <v>296</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2023-10-02T16:08:34Z</cp:lastPrinted>
  <dcterms:created xsi:type="dcterms:W3CDTF">1997-12-04T19:04:30Z</dcterms:created>
  <dcterms:modified xsi:type="dcterms:W3CDTF">2023-12-29T15:13:32Z</dcterms:modified>
</cp:coreProperties>
</file>