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19DA2026-C5FA-4B92-A9BD-3FA2BF74F903}"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22" i="1" l="1"/>
  <c r="H216" i="1" l="1"/>
  <c r="H234" i="1"/>
  <c r="H198"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H112" i="2" s="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J111" i="1"/>
  <c r="J112" i="1" s="1"/>
  <c r="F121" i="1"/>
  <c r="F136" i="1"/>
  <c r="G121" i="1"/>
  <c r="G136" i="1"/>
  <c r="H121" i="1"/>
  <c r="H136" i="1"/>
  <c r="H140" i="1" s="1"/>
  <c r="I121" i="1"/>
  <c r="I136" i="1"/>
  <c r="J121" i="1"/>
  <c r="J136" i="1"/>
  <c r="J140" i="1" s="1"/>
  <c r="F147" i="1"/>
  <c r="F170" i="1"/>
  <c r="G147" i="1"/>
  <c r="D85" i="2" s="1"/>
  <c r="H147" i="1"/>
  <c r="H170" i="1" s="1"/>
  <c r="I147" i="1"/>
  <c r="F85" i="2" s="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D115" i="2"/>
  <c r="F115" i="2"/>
  <c r="G115" i="2"/>
  <c r="C125"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H58" i="2" l="1"/>
  <c r="H125" i="2"/>
  <c r="D29" i="13"/>
  <c r="H87" i="2"/>
  <c r="H61" i="2"/>
  <c r="I112" i="1"/>
  <c r="H13" i="2"/>
  <c r="I409" i="1"/>
  <c r="H69" i="2"/>
  <c r="H30" i="2"/>
  <c r="H28" i="2"/>
  <c r="H25" i="2"/>
  <c r="H17" i="2"/>
  <c r="H143" i="2"/>
  <c r="H38" i="2"/>
  <c r="H43" i="2"/>
  <c r="H102" i="2"/>
  <c r="H23" i="2"/>
  <c r="H97" i="2"/>
  <c r="H26" i="2"/>
  <c r="H100" i="2"/>
  <c r="H15" i="2"/>
  <c r="G409" i="1"/>
  <c r="H646" i="1" s="1"/>
  <c r="H96" i="2"/>
  <c r="H80" i="2"/>
  <c r="H77" i="2"/>
  <c r="E124" i="2"/>
  <c r="G663" i="1"/>
  <c r="H9" i="2"/>
  <c r="E13" i="13"/>
  <c r="C13" i="13" s="1"/>
  <c r="H11" i="2"/>
  <c r="I170" i="1"/>
  <c r="H89" i="2"/>
  <c r="H59" i="2"/>
  <c r="H34" i="2"/>
  <c r="C32" i="10"/>
  <c r="D18" i="13"/>
  <c r="C18" i="13" s="1"/>
  <c r="C12" i="10"/>
  <c r="H93" i="2"/>
  <c r="H22" i="2"/>
  <c r="H35" i="2"/>
  <c r="D144" i="2"/>
  <c r="H134" i="2"/>
  <c r="H98" i="2"/>
  <c r="H135" i="2"/>
  <c r="H94" i="2"/>
  <c r="H29" i="2"/>
  <c r="H27" i="2"/>
  <c r="H24" i="2"/>
  <c r="H12" i="2"/>
  <c r="H8" i="2"/>
  <c r="H113" i="2"/>
  <c r="H132" i="2"/>
  <c r="G662" i="1"/>
  <c r="H36" i="2"/>
  <c r="H44" i="2"/>
  <c r="H48" i="2"/>
  <c r="G62" i="2"/>
  <c r="G63" i="2" s="1"/>
  <c r="J652" i="1"/>
  <c r="H477" i="1"/>
  <c r="H625" i="1" s="1"/>
  <c r="D15" i="13"/>
  <c r="C15" i="13" s="1"/>
  <c r="C120" i="2"/>
  <c r="H120" i="2" s="1"/>
  <c r="K36" i="14"/>
  <c r="K37" i="14"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03" i="2" l="1"/>
  <c r="H21" i="2"/>
  <c r="I662" i="1"/>
  <c r="L572" i="1"/>
  <c r="H42" i="2"/>
  <c r="H16" i="2"/>
  <c r="H31" i="2"/>
  <c r="H62" i="2"/>
  <c r="H57" i="2"/>
  <c r="H85" i="2"/>
  <c r="D128" i="2"/>
  <c r="D145" i="2" s="1"/>
  <c r="H127" i="2"/>
  <c r="D51" i="2"/>
  <c r="H50" i="2"/>
  <c r="H18" i="2"/>
  <c r="I663" i="1"/>
  <c r="H91"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<sst xmlns="http://schemas.openxmlformats.org/spreadsheetml/2006/main" count="6638" uniqueCount="1841">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</sst>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R654" sqref="R654"/>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1739</v>
      </c>
      <c r="B2">
        <f>INDEX('School Tables'!$AH$3:$AH$213,MATCH('DOE25'!A2,'School Tables'!$AJ$3:$AJ$213,0))</f>
        <v>5</v>
      </c>
      <c r="C2">
        <f>INDEX('School Tables'!$AI$3:$AI$213,MATCH('DOE25'!A2,'School Tables'!$AJ$3:$AJ$213,0))</f>
        <v>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21454.43</v>
      </c>
      <c r="G9" s="18"/>
      <c r="H9" s="18"/>
      <c r="I9" s="18"/>
      <c r="J9" s="13">
        <f>SUM(I440)</f>
        <v>147386.07999999999</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11697.7</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20912.07</v>
      </c>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54064.200000000004</v>
      </c>
      <c r="G19" s="38">
        <f>SUM(G9:G18)</f>
        <v>0</v>
      </c>
      <c r="H19" s="38">
        <f>SUM(H9:H18)</f>
        <v>0</v>
      </c>
      <c r="I19" s="38">
        <f>SUM(I9:I18)</f>
        <v>0</v>
      </c>
      <c r="J19" s="38">
        <f>SUM(J9:J18)</f>
        <v>147386.07999999999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31310.82</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20912.07</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52222.89</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147386.07999999999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1841.31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1841.31</v>
      </c>
      <c r="G51" s="38">
        <f>SUM(G35:G50)</f>
        <v>0</v>
      </c>
      <c r="H51" s="38">
        <f>SUM(H35:H50)</f>
        <v>0</v>
      </c>
      <c r="I51" s="38">
        <f>SUM(I35:I50)</f>
        <v>0</v>
      </c>
      <c r="J51" s="38">
        <f>SUM(J35:J50)</f>
        <v>147386.07999999999</v>
      </c>
      <c r="K51" s="42" t="s">
        <v>288</v>
      </c>
      <c r="L51" s="42" t="s">
        <v>288</v>
      </c>
      <c r="N51" s="130"/>
    </row>
    <row r="52" spans="1:14" s="3" customFormat="1" ht="12.2" customHeight="1" thickTop="1" x14ac:dyDescent="0.15">
      <c r="A52" s="35" t="s">
        <v>455</v>
      </c>
      <c r="B52" s="36" t="s">
        <v>289</v>
      </c>
      <c r="C52" s="6">
        <v>37</v>
      </c>
      <c r="D52" s="36" t="s">
        <v>653</v>
      </c>
      <c r="E52" s="36"/>
      <c r="F52" s="38">
        <f>F51+F32</f>
        <v>54064.2</v>
      </c>
      <c r="G52" s="38">
        <f>G51+G32</f>
        <v>0</v>
      </c>
      <c r="H52" s="38">
        <f>H51+H32</f>
        <v>0</v>
      </c>
      <c r="I52" s="38">
        <f>I51+I32</f>
        <v>0</v>
      </c>
      <c r="J52" s="38">
        <f>J51+J32</f>
        <v>147386.07999999999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774855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774855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8430.36</v>
      </c>
      <c r="G96" s="18"/>
      <c r="H96" s="18"/>
      <c r="I96" s="18"/>
      <c r="J96" s="18">
        <v>4196.51</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8430.36</v>
      </c>
      <c r="G111" s="38">
        <f>SUM(G96:G110)</f>
        <v>0</v>
      </c>
      <c r="H111" s="38">
        <f>SUM(H96:H110)</f>
        <v>0</v>
      </c>
      <c r="I111" s="38">
        <f>SUM(I96:I110)</f>
        <v>0</v>
      </c>
      <c r="J111" s="38">
        <f>SUM(J96:J110)</f>
        <v>4196.51</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783285.36</v>
      </c>
      <c r="G112" s="38">
        <f>G60+G111</f>
        <v>0</v>
      </c>
      <c r="H112" s="38">
        <f>H60+H79+H94+H111</f>
        <v>0</v>
      </c>
      <c r="I112" s="38">
        <f>I60+I111</f>
        <v>0</v>
      </c>
      <c r="J112" s="38">
        <f>J60+J111</f>
        <v>4196.51</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521387.32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236874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2037.11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760298.43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760298.43</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16412.7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16412.7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19593.72</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19593.72</v>
      </c>
      <c r="G170" s="38">
        <f>G147+G163+SUM(G164:G169)</f>
        <v>0</v>
      </c>
      <c r="H170" s="38">
        <f>H147+H163+SUM(H164:H169)</f>
        <v>16412.7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1563177.51</v>
      </c>
      <c r="G194" s="38">
        <f>G112+G140+G170+G193</f>
        <v>0</v>
      </c>
      <c r="H194" s="38">
        <f>H112+H140+H170+H193</f>
        <v>16412.7</v>
      </c>
      <c r="I194" s="38">
        <f>I112+I140+I170+I193</f>
        <v>0</v>
      </c>
      <c r="J194" s="38">
        <f>J112+J140+J193</f>
        <v>4196.51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f>826279+21775+563</f>
        <v>848617</v>
      </c>
      <c r="I198" s="18"/>
      <c r="J198" s="18"/>
      <c r="K198" s="18"/>
      <c r="L198" s="13">
        <f>SUM(F198:K198)</f>
        <v>848617</v>
      </c>
      <c r="M198" s="8"/>
      <c r="N198" s="164"/>
    </row>
    <row r="199" spans="1:14" s="3" customFormat="1" ht="12.2" customHeight="1" x14ac:dyDescent="0.15">
      <c r="A199" s="1" t="s">
        <v>439</v>
      </c>
      <c r="B199" s="2" t="s">
        <v>341</v>
      </c>
      <c r="C199" s="2" t="s">
        <v>291</v>
      </c>
      <c r="D199" s="2" t="s">
        <v>431</v>
      </c>
      <c r="E199" s="6">
        <v>1200</v>
      </c>
      <c r="F199" s="18"/>
      <c r="G199" s="18"/>
      <c r="H199" s="18">
        <v>56971.57</v>
      </c>
      <c r="I199" s="18"/>
      <c r="J199" s="18"/>
      <c r="K199" s="18"/>
      <c r="L199" s="13">
        <f>SUM(F199:K199)</f>
        <v>56971.57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v>2730.19</v>
      </c>
      <c r="I203" s="18"/>
      <c r="J203" s="18"/>
      <c r="K203" s="18"/>
      <c r="L203" s="13">
        <f t="shared" ref="L203:L209" si="0">SUM(F203:K203)</f>
        <v>2730.19</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v>699.71</v>
      </c>
      <c r="G205" s="18">
        <v>174.93</v>
      </c>
      <c r="H205" s="18">
        <v>15222.64</v>
      </c>
      <c r="I205" s="18"/>
      <c r="J205" s="18"/>
      <c r="K205" s="18"/>
      <c r="L205" s="13">
        <f t="shared" si="0"/>
        <v>16097.279999999999</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v>45453.78</v>
      </c>
      <c r="I209" s="18"/>
      <c r="J209" s="18"/>
      <c r="K209" s="18"/>
      <c r="L209" s="13">
        <f t="shared" si="0"/>
        <v>45453.78</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699.71</v>
      </c>
      <c r="G212" s="38">
        <f t="shared" si="1"/>
        <v>174.93</v>
      </c>
      <c r="H212" s="38">
        <f t="shared" si="1"/>
        <v>968995.17999999993</v>
      </c>
      <c r="I212" s="38">
        <f t="shared" si="1"/>
        <v>0</v>
      </c>
      <c r="J212" s="38">
        <f t="shared" si="1"/>
        <v>0</v>
      </c>
      <c r="K212" s="38">
        <f t="shared" si="1"/>
        <v>0</v>
      </c>
      <c r="L212" s="38">
        <f t="shared" si="1"/>
        <v>969869.82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f>243932+7764+617</f>
        <v>252313</v>
      </c>
      <c r="I216" s="18"/>
      <c r="J216" s="18"/>
      <c r="K216" s="18"/>
      <c r="L216" s="13">
        <f>SUM(F216:K216)</f>
        <v>252313</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v>378.84</v>
      </c>
      <c r="G223" s="18">
        <v>94.71</v>
      </c>
      <c r="H223" s="18">
        <v>8241.85</v>
      </c>
      <c r="I223" s="18"/>
      <c r="J223" s="18"/>
      <c r="K223" s="18"/>
      <c r="L223" s="13">
        <f t="shared" si="2"/>
        <v>8715.4</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24609.59</v>
      </c>
      <c r="I227" s="18"/>
      <c r="J227" s="18"/>
      <c r="K227" s="18"/>
      <c r="L227" s="13">
        <f t="shared" si="2"/>
        <v>24609.59</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378.84</v>
      </c>
      <c r="G230" s="38">
        <f>SUM(G216:G229)</f>
        <v>94.71</v>
      </c>
      <c r="H230" s="38">
        <f>SUM(H216:H229)</f>
        <v>285164.44</v>
      </c>
      <c r="I230" s="38">
        <f>SUM(I216:I229)</f>
        <v>0</v>
      </c>
      <c r="J230" s="38">
        <f>SUM(J216:J229)</f>
        <v>0</v>
      </c>
      <c r="K230" s="38">
        <f t="shared" si="3"/>
        <v>0</v>
      </c>
      <c r="L230" s="38">
        <f t="shared" si="3"/>
        <v>285637.99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378474+13461+1203</f>
        <v>393138</v>
      </c>
      <c r="I234" s="18"/>
      <c r="J234" s="18"/>
      <c r="K234" s="18"/>
      <c r="L234" s="13">
        <f>SUM(F234:K234)</f>
        <v>393138</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521.45000000000005</v>
      </c>
      <c r="G241" s="18">
        <v>130.36000000000001</v>
      </c>
      <c r="H241" s="18">
        <v>11344.42</v>
      </c>
      <c r="I241" s="18"/>
      <c r="J241" s="18"/>
      <c r="K241" s="18"/>
      <c r="L241" s="13">
        <f t="shared" si="4"/>
        <v>11996.23</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33873.67</v>
      </c>
      <c r="I245" s="18"/>
      <c r="J245" s="18"/>
      <c r="K245" s="18"/>
      <c r="L245" s="13">
        <f t="shared" si="4"/>
        <v>33873.67</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521.45000000000005</v>
      </c>
      <c r="G248" s="38">
        <f t="shared" si="5"/>
        <v>130.36000000000001</v>
      </c>
      <c r="H248" s="38">
        <f t="shared" si="5"/>
        <v>438356.08999999997</v>
      </c>
      <c r="I248" s="38">
        <f t="shared" si="5"/>
        <v>0</v>
      </c>
      <c r="J248" s="38">
        <f t="shared" si="5"/>
        <v>0</v>
      </c>
      <c r="K248" s="38">
        <f t="shared" si="5"/>
        <v>0</v>
      </c>
      <c r="L248" s="38">
        <f t="shared" si="5"/>
        <v>439007.89999999997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1600</v>
      </c>
      <c r="G258" s="38">
        <f t="shared" si="8"/>
        <v>400</v>
      </c>
      <c r="H258" s="38">
        <f t="shared" si="8"/>
        <v>1692515.71</v>
      </c>
      <c r="I258" s="38">
        <f t="shared" si="8"/>
        <v>0</v>
      </c>
      <c r="J258" s="38">
        <f t="shared" si="8"/>
        <v>0</v>
      </c>
      <c r="K258" s="38">
        <f t="shared" si="8"/>
        <v>0</v>
      </c>
      <c r="L258" s="38">
        <f t="shared" si="8"/>
        <v>1694515.71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1600</v>
      </c>
      <c r="G272" s="39">
        <f t="shared" si="11"/>
        <v>400</v>
      </c>
      <c r="H272" s="39">
        <f t="shared" si="11"/>
        <v>1692515.71</v>
      </c>
      <c r="I272" s="39">
        <f t="shared" si="11"/>
        <v>0</v>
      </c>
      <c r="J272" s="39">
        <f t="shared" si="11"/>
        <v>0</v>
      </c>
      <c r="K272" s="39">
        <f t="shared" si="11"/>
        <v>0</v>
      </c>
      <c r="L272" s="39">
        <f t="shared" si="11"/>
        <v>1694515.71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v>2666</v>
      </c>
      <c r="I278" s="18"/>
      <c r="J278" s="18">
        <v>9031.7000000000007</v>
      </c>
      <c r="K278" s="18"/>
      <c r="L278" s="13">
        <f>SUM(F278:K278)</f>
        <v>11697.7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v>4715</v>
      </c>
      <c r="I288" s="18"/>
      <c r="J288" s="18"/>
      <c r="K288" s="18"/>
      <c r="L288" s="13">
        <f t="shared" si="12"/>
        <v>4715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7381</v>
      </c>
      <c r="I291" s="39">
        <f t="shared" si="13"/>
        <v>0</v>
      </c>
      <c r="J291" s="39">
        <f t="shared" si="13"/>
        <v>9031.7000000000007</v>
      </c>
      <c r="K291" s="39">
        <f t="shared" si="13"/>
        <v>0</v>
      </c>
      <c r="L291" s="38">
        <f t="shared" si="13"/>
        <v>16412.7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7381</v>
      </c>
      <c r="I339" s="38">
        <f t="shared" si="20"/>
        <v>0</v>
      </c>
      <c r="J339" s="38">
        <f t="shared" si="20"/>
        <v>9031.7000000000007</v>
      </c>
      <c r="K339" s="38">
        <f t="shared" si="20"/>
        <v>0</v>
      </c>
      <c r="L339" s="38">
        <f t="shared" si="20"/>
        <v>16412.7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7381</v>
      </c>
      <c r="I353" s="38">
        <f>I339</f>
        <v>0</v>
      </c>
      <c r="J353" s="38">
        <f>J339</f>
        <v>9031.7000000000007</v>
      </c>
      <c r="K353" s="38">
        <f>K339+K352</f>
        <v>0</v>
      </c>
      <c r="L353" s="38">
        <f>L339+L352</f>
        <v>16412.7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4196.51</v>
      </c>
      <c r="I398" s="18"/>
      <c r="J398" s="23" t="s">
        <v>288</v>
      </c>
      <c r="K398" s="23" t="s">
        <v>288</v>
      </c>
      <c r="L398" s="13">
        <f t="shared" si="26"/>
        <v>4196.51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4196.51</v>
      </c>
      <c r="I402" s="38">
        <f>SUM(I396:I401)</f>
        <v>0</v>
      </c>
      <c r="J402" s="42" t="s">
        <v>288</v>
      </c>
      <c r="K402" s="42" t="s">
        <v>288</v>
      </c>
      <c r="L402" s="38">
        <f>SUM(L396:L401)</f>
        <v>4196.51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4196.51</v>
      </c>
      <c r="I409" s="38">
        <f>I394+I402+I408</f>
        <v>0</v>
      </c>
      <c r="J409" s="23" t="s">
        <v>288</v>
      </c>
      <c r="K409" s="23" t="s">
        <v>288</v>
      </c>
      <c r="L409" s="38">
        <f>L394+L402+L408</f>
        <v>4196.51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147386.07999999999</v>
      </c>
      <c r="H440" s="18"/>
      <c r="I440" s="13">
        <f t="shared" ref="I440:I446" si="33">SUM(F440:H440)</f>
        <v>147386.07999999999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147386.07999999999</v>
      </c>
      <c r="H447" s="13">
        <f>SUM(H440:H446)</f>
        <v>0</v>
      </c>
      <c r="I447" s="13">
        <f>SUM(I440:I446)</f>
        <v>147386.07999999999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147386.07999999999</v>
      </c>
      <c r="H460" s="18"/>
      <c r="I460" s="13">
        <f t="shared" si="34"/>
        <v>147386.07999999999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147386.07999999999</v>
      </c>
      <c r="H461" s="65">
        <f>SUM(H455:H460)</f>
        <v>0</v>
      </c>
      <c r="I461" s="65">
        <f>SUM(I455:I460)</f>
        <v>147386.07999999999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147386.07999999999</v>
      </c>
      <c r="H462" s="39">
        <f>H453+H461</f>
        <v>0</v>
      </c>
      <c r="I462" s="39">
        <f>I453+I461</f>
        <v>147386.07999999999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133179.51</v>
      </c>
      <c r="G466" s="18"/>
      <c r="H466" s="18">
        <v>0</v>
      </c>
      <c r="I466" s="18"/>
      <c r="J466" s="18">
        <v>143189.57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1563177.51</v>
      </c>
      <c r="G469" s="18"/>
      <c r="H469" s="18">
        <v>16412.7</v>
      </c>
      <c r="I469" s="18"/>
      <c r="J469" s="18">
        <v>4196.51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1563177.51</v>
      </c>
      <c r="G471" s="19">
        <f>SUM(G469:G470)</f>
        <v>0</v>
      </c>
      <c r="H471" s="19">
        <f>SUM(H469:H470)</f>
        <v>16412.7</v>
      </c>
      <c r="I471" s="19">
        <f>SUM(I469:I470)</f>
        <v>0</v>
      </c>
      <c r="J471" s="19">
        <f>SUM(J469:J470)</f>
        <v>4196.51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1694515.71</v>
      </c>
      <c r="G473" s="18"/>
      <c r="H473" s="18">
        <v>16412.7</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1694515.71</v>
      </c>
      <c r="G475" s="19">
        <f>SUM(G473:G474)</f>
        <v>0</v>
      </c>
      <c r="H475" s="19">
        <f>SUM(H473:H474)</f>
        <v>16412.7</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1841.3100000000559</v>
      </c>
      <c r="G477" s="19">
        <f>(G466+G471)- G475</f>
        <v>0</v>
      </c>
      <c r="H477" s="19">
        <f>(H466+H471)- H475</f>
        <v>0</v>
      </c>
      <c r="I477" s="19">
        <f>(I466+I471)- I475</f>
        <v>0</v>
      </c>
      <c r="J477" s="19">
        <f>(J466+J471)- J475</f>
        <v>147386.08000000002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f>56971.57+2666</f>
        <v>59637.57</v>
      </c>
      <c r="I522" s="18"/>
      <c r="J522" s="18"/>
      <c r="K522" s="18"/>
      <c r="L522" s="69">
        <f>SUM(F522:K522)</f>
        <v>59637.57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59637.57</v>
      </c>
      <c r="I525" s="81">
        <f t="shared" si="36"/>
        <v>0</v>
      </c>
      <c r="J525" s="81">
        <f t="shared" si="36"/>
        <v>0</v>
      </c>
      <c r="K525" s="81">
        <f t="shared" si="36"/>
        <v>0</v>
      </c>
      <c r="L525" s="70">
        <f t="shared" si="36"/>
        <v>59637.57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v>2730.19</v>
      </c>
      <c r="I527" s="18"/>
      <c r="J527" s="18"/>
      <c r="K527" s="18"/>
      <c r="L527" s="69">
        <f>SUM(F527:K527)</f>
        <v>2730.19</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2730.19</v>
      </c>
      <c r="I530" s="70">
        <f t="shared" si="37"/>
        <v>0</v>
      </c>
      <c r="J530" s="70">
        <f t="shared" si="37"/>
        <v>0</v>
      </c>
      <c r="K530" s="70">
        <f t="shared" si="37"/>
        <v>0</v>
      </c>
      <c r="L530" s="70">
        <f t="shared" si="37"/>
        <v>2730.19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5260.11</v>
      </c>
      <c r="I532" s="18"/>
      <c r="J532" s="18"/>
      <c r="K532" s="18"/>
      <c r="L532" s="69">
        <f>SUM(F532:K532)</f>
        <v>5260.11</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5260.11</v>
      </c>
      <c r="I535" s="70">
        <f t="shared" si="38"/>
        <v>0</v>
      </c>
      <c r="J535" s="70">
        <f t="shared" si="38"/>
        <v>0</v>
      </c>
      <c r="K535" s="70">
        <f t="shared" si="38"/>
        <v>0</v>
      </c>
      <c r="L535" s="70">
        <f t="shared" si="38"/>
        <v>5260.11</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4715</v>
      </c>
      <c r="I542" s="18"/>
      <c r="J542" s="18"/>
      <c r="K542" s="18"/>
      <c r="L542" s="69">
        <f>SUM(F542:K542)</f>
        <v>4715</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4715</v>
      </c>
      <c r="I545" s="140">
        <f t="shared" si="40"/>
        <v>0</v>
      </c>
      <c r="J545" s="140">
        <f t="shared" si="40"/>
        <v>0</v>
      </c>
      <c r="K545" s="140">
        <f t="shared" si="40"/>
        <v>0</v>
      </c>
      <c r="L545" s="140">
        <f t="shared" si="40"/>
        <v>4715</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72342.87</v>
      </c>
      <c r="I546" s="70">
        <f t="shared" si="41"/>
        <v>0</v>
      </c>
      <c r="J546" s="70">
        <f t="shared" si="41"/>
        <v>0</v>
      </c>
      <c r="K546" s="70">
        <f t="shared" si="41"/>
        <v>0</v>
      </c>
      <c r="L546" s="70">
        <f t="shared" si="41"/>
        <v>72342.87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59637.57</v>
      </c>
      <c r="G550" s="69">
        <f>L527</f>
        <v>2730.19</v>
      </c>
      <c r="H550" s="69">
        <f>L532</f>
        <v>5260.11</v>
      </c>
      <c r="I550" s="69">
        <f>L537</f>
        <v>0</v>
      </c>
      <c r="J550" s="69">
        <f>L542</f>
        <v>4715</v>
      </c>
      <c r="K550" s="69">
        <f>SUM(F550:J550)</f>
        <v>72342.87</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59637.57</v>
      </c>
      <c r="G553" s="70">
        <f t="shared" si="42"/>
        <v>2730.19</v>
      </c>
      <c r="H553" s="70">
        <f t="shared" si="42"/>
        <v>5260.11</v>
      </c>
      <c r="I553" s="70">
        <f t="shared" si="42"/>
        <v>0</v>
      </c>
      <c r="J553" s="70">
        <f t="shared" si="42"/>
        <v>4715</v>
      </c>
      <c r="K553" s="70">
        <f t="shared" si="42"/>
        <v>72342.87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848617</v>
      </c>
      <c r="G576" s="18">
        <v>252313</v>
      </c>
      <c r="H576" s="18">
        <v>393138</v>
      </c>
      <c r="I576" s="69">
        <f>SUM(F576:H576)</f>
        <v>1494068</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50259.73</v>
      </c>
      <c r="G580" s="18"/>
      <c r="H580" s="18"/>
      <c r="I580" s="69">
        <f t="shared" si="47"/>
        <v>50259.73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898876.73</v>
      </c>
      <c r="G589" s="79">
        <f t="shared" ref="G589:I589" si="48">SUM(G576:G588)</f>
        <v>252313</v>
      </c>
      <c r="H589" s="79">
        <f t="shared" si="48"/>
        <v>393138</v>
      </c>
      <c r="I589" s="79">
        <f t="shared" si="48"/>
        <v>1544327.73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45453.78</v>
      </c>
      <c r="I592" s="18">
        <v>24609.59</v>
      </c>
      <c r="J592" s="18">
        <v>33873.67</v>
      </c>
      <c r="K592" s="80">
        <f t="shared" ref="K592:K598" si="49">SUM(H592:J592)</f>
        <v>103937.04</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45453.78</v>
      </c>
      <c r="I599" s="81">
        <f>SUM(I592:I598)</f>
        <v>24609.59</v>
      </c>
      <c r="J599" s="81">
        <f>SUM(J592:J598)</f>
        <v>33873.67</v>
      </c>
      <c r="K599" s="81">
        <f>SUM(K592:K598)</f>
        <v>103937.04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9031.7000000000007</v>
      </c>
      <c r="I605" s="18"/>
      <c r="J605" s="18"/>
      <c r="K605" s="80">
        <f>SUM(H605:J605)</f>
        <v>9031.7000000000007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9031.7000000000007</v>
      </c>
      <c r="I606" s="81">
        <f>SUM(I603:I605)</f>
        <v>0</v>
      </c>
      <c r="J606" s="81">
        <f>SUM(J603:J605)</f>
        <v>0</v>
      </c>
      <c r="K606" s="81">
        <f>SUM(K603:K605)</f>
        <v>9031.7000000000007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v>2708.34</v>
      </c>
      <c r="I612" s="18"/>
      <c r="J612" s="18">
        <v>9031.7000000000007</v>
      </c>
      <c r="K612" s="18"/>
      <c r="L612" s="69">
        <f>SUM(F612:K612)</f>
        <v>11740.04</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2708.34</v>
      </c>
      <c r="I615" s="81">
        <f t="shared" si="50"/>
        <v>0</v>
      </c>
      <c r="J615" s="81">
        <f t="shared" si="50"/>
        <v>9031.7000000000007</v>
      </c>
      <c r="K615" s="81">
        <f t="shared" si="50"/>
        <v>0</v>
      </c>
      <c r="L615" s="70">
        <f t="shared" si="50"/>
        <v>11740.04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54064.200000000004</v>
      </c>
      <c r="H618" s="80">
        <f>SUM(F52)</f>
        <v>54064.2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147386.07999999999</v>
      </c>
      <c r="H622" s="80">
        <f>SUM(J52)</f>
        <v>147386.07999999999</v>
      </c>
      <c r="I622" s="87" t="s">
        <v>875</v>
      </c>
      <c r="J622" s="80">
        <f>G622-H622</f>
        <v>0</v>
      </c>
      <c r="K622" s="80"/>
      <c r="L622" s="80"/>
      <c r="M622" s="8"/>
    </row>
    <row r="623" spans="1:14" s="3" customFormat="1" ht="12.2" customHeight="1" x14ac:dyDescent="0.15">
      <c r="A623" s="74"/>
      <c r="B623" s="22"/>
      <c r="C623" s="22"/>
      <c r="D623" s="22"/>
      <c r="E623" s="22"/>
      <c r="F623" s="87" t="s">
        <v>861</v>
      </c>
      <c r="G623" s="80">
        <f>F51</f>
        <v>1841.31</v>
      </c>
      <c r="H623" s="80">
        <f>F477</f>
        <v>1841.3100000000559</v>
      </c>
      <c r="I623" s="87" t="s">
        <v>101</v>
      </c>
      <c r="J623" s="80">
        <f t="shared" ref="J623:J656" si="51">G623-H623</f>
        <v>-5.5933924159035087E-11</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147386.07999999999</v>
      </c>
      <c r="H627" s="80">
        <f>J477</f>
        <v>147386.08000000002</v>
      </c>
      <c r="I627" s="87" t="s">
        <v>105</v>
      </c>
      <c r="J627" s="80">
        <f t="shared" si="51"/>
        <v>0</v>
      </c>
      <c r="K627" s="67"/>
      <c r="L627" s="69"/>
      <c r="M627" s="8"/>
    </row>
    <row r="628" spans="1:13" s="3" customFormat="1" ht="12.2" customHeight="1" x14ac:dyDescent="0.15">
      <c r="A628" s="21"/>
      <c r="B628" s="22"/>
      <c r="C628" s="22"/>
      <c r="D628" s="22"/>
      <c r="E628" s="22"/>
      <c r="F628" s="86" t="s">
        <v>658</v>
      </c>
      <c r="G628" s="80">
        <f>F194</f>
        <v>1563177.51</v>
      </c>
      <c r="H628" s="80">
        <f>SUM(F469)</f>
        <v>1563177.51</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16412.7</v>
      </c>
      <c r="H630" s="80">
        <f>SUM(H469)</f>
        <v>16412.7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4196.51</v>
      </c>
      <c r="H632" s="80">
        <f>SUM(J469)</f>
        <v>4196.51</v>
      </c>
      <c r="I632" s="87" t="s">
        <v>110</v>
      </c>
      <c r="J632" s="80">
        <f>G632-H632</f>
        <v>0</v>
      </c>
      <c r="K632" s="67"/>
      <c r="L632" s="69"/>
      <c r="M632" s="8"/>
    </row>
    <row r="633" spans="1:13" s="3" customFormat="1" ht="12.2" customHeight="1" x14ac:dyDescent="0.15">
      <c r="A633" s="21"/>
      <c r="B633" s="22"/>
      <c r="C633" s="22"/>
      <c r="D633" s="22"/>
      <c r="E633" s="22"/>
      <c r="F633" s="86" t="s">
        <v>394</v>
      </c>
      <c r="G633" s="80">
        <f>SUM(L272)</f>
        <v>1694515.71</v>
      </c>
      <c r="H633" s="80">
        <f>SUM(F473)</f>
        <v>1694515.71</v>
      </c>
      <c r="I633" s="87" t="s">
        <v>111</v>
      </c>
      <c r="J633" s="80">
        <f t="shared" si="51"/>
        <v>0</v>
      </c>
      <c r="K633" s="67"/>
      <c r="L633" s="69"/>
      <c r="M633" s="8"/>
    </row>
    <row r="634" spans="1:13" s="3" customFormat="1" ht="12.2" customHeight="1" x14ac:dyDescent="0.15">
      <c r="A634" s="21"/>
      <c r="B634" s="22"/>
      <c r="C634" s="22"/>
      <c r="D634" s="22"/>
      <c r="E634" s="22"/>
      <c r="F634" s="86" t="s">
        <v>395</v>
      </c>
      <c r="G634" s="80">
        <f>SUM(L353)</f>
        <v>16412.7</v>
      </c>
      <c r="H634" s="80">
        <f>SUM(H473)</f>
        <v>16412.7</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4196.51</v>
      </c>
      <c r="H638" s="108">
        <f>SUM(J469)</f>
        <v>4196.51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147386.07999999999</v>
      </c>
      <c r="H641" s="80">
        <f>SUM(G462)</f>
        <v>147386.07999999999</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147386.07999999999</v>
      </c>
      <c r="H643" s="80">
        <f>SUM(I462)</f>
        <v>147386.07999999999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4196.51</v>
      </c>
      <c r="H645" s="80">
        <f>H409</f>
        <v>4196.51</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4196.51</v>
      </c>
      <c r="H647" s="80">
        <f>L409</f>
        <v>4196.51</v>
      </c>
      <c r="I647" s="87" t="s">
        <v>477</v>
      </c>
      <c r="J647" s="80">
        <f t="shared" si="51"/>
        <v>0</v>
      </c>
      <c r="K647" s="67"/>
      <c r="L647" s="69"/>
      <c r="M647" s="8"/>
    </row>
    <row r="648" spans="1:13" s="3" customFormat="1" ht="12.2" customHeight="1" x14ac:dyDescent="0.15">
      <c r="A648" s="21"/>
      <c r="B648" s="22"/>
      <c r="C648" s="22"/>
      <c r="D648" s="22"/>
      <c r="E648" s="22"/>
      <c r="F648" s="86" t="s">
        <v>51</v>
      </c>
      <c r="G648" s="80">
        <f>K599</f>
        <v>103937.04</v>
      </c>
      <c r="H648" s="80">
        <f>L209+L227+L245</f>
        <v>103937.04</v>
      </c>
      <c r="I648" s="87" t="s">
        <v>396</v>
      </c>
      <c r="J648" s="80">
        <f t="shared" si="51"/>
        <v>0</v>
      </c>
      <c r="K648" s="67"/>
      <c r="L648" s="69"/>
      <c r="M648" s="8"/>
    </row>
    <row r="649" spans="1:13" s="3" customFormat="1" ht="12.2" customHeight="1" x14ac:dyDescent="0.15">
      <c r="A649" s="21"/>
      <c r="B649" s="22"/>
      <c r="C649" s="22"/>
      <c r="D649" s="22"/>
      <c r="E649" s="22"/>
      <c r="F649" s="86" t="s">
        <v>52</v>
      </c>
      <c r="G649" s="80">
        <f>K606</f>
        <v>9031.7000000000007</v>
      </c>
      <c r="H649" s="80">
        <f>(J258+J339)-(J256+J337)</f>
        <v>9031.7000000000007</v>
      </c>
      <c r="I649" s="87" t="s">
        <v>699</v>
      </c>
      <c r="J649" s="80">
        <f t="shared" si="51"/>
        <v>0</v>
      </c>
      <c r="K649" s="67"/>
      <c r="L649" s="69"/>
      <c r="M649" s="8"/>
    </row>
    <row r="650" spans="1:13" s="3" customFormat="1" ht="12.2" customHeight="1" x14ac:dyDescent="0.15">
      <c r="A650" s="21"/>
      <c r="B650" s="22"/>
      <c r="C650" s="22"/>
      <c r="D650" s="22"/>
      <c r="E650" s="22"/>
      <c r="F650" s="86" t="s">
        <v>387</v>
      </c>
      <c r="G650" s="80">
        <f>L209</f>
        <v>45453.78</v>
      </c>
      <c r="H650" s="80">
        <f>H599</f>
        <v>45453.78</v>
      </c>
      <c r="I650" s="87" t="s">
        <v>388</v>
      </c>
      <c r="J650" s="80">
        <f t="shared" si="51"/>
        <v>0</v>
      </c>
      <c r="K650" s="67"/>
      <c r="L650" s="69"/>
      <c r="M650" s="8"/>
    </row>
    <row r="651" spans="1:13" s="3" customFormat="1" ht="12.2" customHeight="1" x14ac:dyDescent="0.15">
      <c r="A651" s="21"/>
      <c r="B651" s="22"/>
      <c r="C651" s="22"/>
      <c r="D651" s="22"/>
      <c r="E651" s="22"/>
      <c r="F651" s="86" t="s">
        <v>392</v>
      </c>
      <c r="G651" s="80">
        <f>L227</f>
        <v>24609.59</v>
      </c>
      <c r="H651" s="80">
        <f>I599</f>
        <v>24609.59</v>
      </c>
      <c r="I651" s="87" t="s">
        <v>389</v>
      </c>
      <c r="J651" s="80">
        <f t="shared" si="51"/>
        <v>0</v>
      </c>
      <c r="K651" s="67"/>
      <c r="L651" s="69"/>
      <c r="M651" s="8"/>
    </row>
    <row r="652" spans="1:13" s="3" customFormat="1" ht="12.2" customHeight="1" x14ac:dyDescent="0.15">
      <c r="A652" s="21"/>
      <c r="B652" s="22"/>
      <c r="C652" s="22"/>
      <c r="D652" s="22"/>
      <c r="E652" s="22"/>
      <c r="F652" s="86" t="s">
        <v>393</v>
      </c>
      <c r="G652" s="80">
        <f>L245</f>
        <v>33873.67</v>
      </c>
      <c r="H652" s="80">
        <f>J599</f>
        <v>33873.67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986282.5199999999</v>
      </c>
      <c r="G661" s="13">
        <f>(L230+L310+L360)</f>
        <v>285637.99</v>
      </c>
      <c r="H661" s="13">
        <f>(L248+L329+L361)</f>
        <v>439007.89999999997</v>
      </c>
      <c r="I661" s="13">
        <f>SUM(F661:H661)</f>
        <v>1710928.4099999997</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50168.78</v>
      </c>
      <c r="G663" s="13">
        <f>(L227+L307)-(J227+J307)</f>
        <v>24609.59</v>
      </c>
      <c r="H663" s="13">
        <f>(L245+L326)-(J245+J326)</f>
        <v>33873.67</v>
      </c>
      <c r="I663" s="13">
        <f>SUM(F663:H663)</f>
        <v>108652.04</v>
      </c>
      <c r="J663"/>
      <c r="K663" s="13"/>
      <c r="L663" s="13"/>
      <c r="M663" s="9"/>
    </row>
    <row r="664" spans="1:13" s="3" customFormat="1" ht="12.2" customHeight="1" x14ac:dyDescent="0.15">
      <c r="A664" s="141" t="s">
        <v>129</v>
      </c>
      <c r="B664" s="124"/>
      <c r="C664" s="124"/>
      <c r="D664" s="124"/>
      <c r="E664" s="124"/>
      <c r="F664" s="142">
        <f>SUM(F576:F588)+SUM(H603:H605)+SUM(L612)</f>
        <v>919648.47</v>
      </c>
      <c r="G664" s="142">
        <f>SUM(G576:G588)+SUM(I603:I605)+L613</f>
        <v>252313</v>
      </c>
      <c r="H664" s="142">
        <f>SUM(H576:H588)+SUM(J603:J605)+L614</f>
        <v>393138</v>
      </c>
      <c r="I664" s="13">
        <f>SUM(F664:H664)</f>
        <v>1565099.47</v>
      </c>
      <c r="J664" s="13"/>
      <c r="K664" s="13"/>
      <c r="L664" s="13"/>
      <c r="M664" s="9"/>
    </row>
    <row r="665" spans="1:13" s="3" customFormat="1" ht="12.2" customHeight="1" x14ac:dyDescent="0.15">
      <c r="A665" s="1" t="s">
        <v>130</v>
      </c>
      <c r="F665" s="13">
        <f>F661-SUM(F662:F664)</f>
        <v>16465.269999999902</v>
      </c>
      <c r="G665" s="13">
        <f>G661-SUM(G662:G664)</f>
        <v>8715.3999999999651</v>
      </c>
      <c r="H665" s="13">
        <f>H661-SUM(H662:H664)</f>
        <v>11996.229999999981</v>
      </c>
      <c r="I665" s="13">
        <f>I661-SUM(I662:I664)</f>
        <v>37176.899999999674</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-16465.269999999902</v>
      </c>
      <c r="G670" s="73">
        <f t="shared" si="52"/>
        <v>-8715.3999999999651</v>
      </c>
      <c r="H670" s="73">
        <f t="shared" si="52"/>
        <v>-11996.229999999981</v>
      </c>
      <c r="I670" s="13">
        <f>SUM(F670:H670)</f>
        <v>-37176.899999999849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Albany</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Albany</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K46" sqref="K4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Albany</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1551039.5699999998</v>
      </c>
      <c r="D5" s="19">
        <f>SUM('DOE25'!L198:L201)+SUM('DOE25'!L216:L219)+SUM('DOE25'!L234:L237)-F5-G5-H5</f>
        <v>1551039.5699999998</v>
      </c>
      <c r="E5" s="179"/>
      <c r="F5" s="180"/>
      <c r="G5" s="19">
        <f>SUM('DOE25'!J198:J201)+SUM('DOE25'!J216:J219)+SUM('DOE25'!J234:J237)</f>
        <v>0</v>
      </c>
      <c r="H5" s="19">
        <f>SUM('DOE25'!K198:K201)+SUM('DOE25'!K216:K219)+SUM('DOE25'!K234:K237)</f>
        <v>0</v>
      </c>
      <c r="I5" s="191"/>
    </row>
    <row r="6" spans="1:9" x14ac:dyDescent="0.2">
      <c r="A6" s="31">
        <v>2100</v>
      </c>
      <c r="B6" t="s">
        <v>793</v>
      </c>
      <c r="C6" s="205">
        <f t="shared" si="0"/>
        <v>2730.19</v>
      </c>
      <c r="D6" s="19">
        <f>'DOE25'!L203+'DOE25'!L221+'DOE25'!L239-F6-G6-H6</f>
        <v>2730.19</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22444.400000000001</v>
      </c>
      <c r="D8" s="179"/>
      <c r="E8" s="19">
        <f>'DOE25'!L205+'DOE25'!L223+'DOE25'!L241-F8-G8-H8-D9-D11</f>
        <v>22444.400000000001</v>
      </c>
      <c r="F8" s="180"/>
      <c r="G8" s="19">
        <f>'DOE25'!J205+'DOE25'!J223+'DOE25'!J241</f>
        <v>0</v>
      </c>
      <c r="H8" s="19">
        <f>'DOE25'!K205+'DOE25'!K223+'DOE25'!K241</f>
        <v>0</v>
      </c>
      <c r="I8" s="191"/>
    </row>
    <row r="9" spans="1:9" ht="14.25" x14ac:dyDescent="0.2">
      <c r="A9" s="31">
        <v>2310</v>
      </c>
      <c r="B9" s="71" t="s">
        <v>884</v>
      </c>
      <c r="C9" s="205">
        <f t="shared" si="0"/>
        <v>6703.91</v>
      </c>
      <c r="D9" s="180">
        <v>6703.91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7660.6</v>
      </c>
      <c r="D11" s="180">
        <v>7660.6</v>
      </c>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103937.04</v>
      </c>
      <c r="D15" s="19">
        <f>'DOE25'!L209+'DOE25'!L227+'DOE25'!L245-F15-G15-H15</f>
        <v>0</v>
      </c>
      <c r="E15" s="179"/>
      <c r="F15" s="180">
        <v>103937.04</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16412.7</v>
      </c>
      <c r="D31" s="19">
        <f>'DOE25'!L291+'DOE25'!L310+'DOE25'!L329+'DOE25'!L334+'DOE25'!L335+'DOE25'!L336-F31-G31-H31</f>
        <v>7381</v>
      </c>
      <c r="E31" s="179"/>
      <c r="F31" s="180"/>
      <c r="G31" s="19">
        <f>'DOE25'!J291+'DOE25'!J310+'DOE25'!J329+'DOE25'!J334+'DOE25'!J335+'DOE25'!J336</f>
        <v>9031.7000000000007</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1575515.2699999998</v>
      </c>
      <c r="E33" s="181">
        <f t="shared" si="1"/>
        <v>22444.400000000001</v>
      </c>
      <c r="F33" s="181">
        <f t="shared" si="1"/>
        <v>103937.04</v>
      </c>
      <c r="G33" s="181">
        <f t="shared" si="1"/>
        <v>9031.7000000000007</v>
      </c>
      <c r="H33" s="181">
        <f t="shared" si="1"/>
        <v>0</v>
      </c>
      <c r="I33" s="181">
        <f t="shared" si="1"/>
        <v>0</v>
      </c>
    </row>
    <row r="34" spans="1:9" ht="12" thickBot="1" x14ac:dyDescent="0.25"/>
    <row r="35" spans="1:9" ht="12" thickBot="1" x14ac:dyDescent="0.25">
      <c r="B35" s="187" t="s">
        <v>827</v>
      </c>
      <c r="D35" s="188">
        <f>E33</f>
        <v>22444.400000000001</v>
      </c>
      <c r="E35" s="184"/>
      <c r="F35" s="294" t="s">
        <v>1596</v>
      </c>
      <c r="G35" s="295"/>
      <c r="H35" s="295"/>
      <c r="I35" s="296"/>
    </row>
    <row r="36" spans="1:9" ht="12" thickTop="1" x14ac:dyDescent="0.2">
      <c r="B36" t="s">
        <v>807</v>
      </c>
      <c r="D36" s="19">
        <f>D33</f>
        <v>1575515.2699999998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K40" sqref="K4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Albany</v>
      </c>
      <c r="B2">
        <f>'DOE25'!B2</f>
        <v>5</v>
      </c>
      <c r="J2" s="223" t="s">
        <v>1799</v>
      </c>
      <c r="K2" s="308">
        <f>SUM('DOE25'!L198:L201)+SUM('DOE25'!L277:L280)</f>
        <v>917286.2699999999</v>
      </c>
      <c r="L2" s="308">
        <f>'DOE25'!L203+'DOE25'!L282</f>
        <v>2730.19</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986282.5199999999</v>
      </c>
      <c r="G4" s="228">
        <f>'DOE25'!L212+'DOE25'!L291</f>
        <v>986282.5199999999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969869.82</v>
      </c>
      <c r="E5" s="219">
        <v>16412.7</v>
      </c>
      <c r="F5" s="231">
        <f>D5+E5</f>
        <v>986282.5199999999</v>
      </c>
      <c r="G5" s="222"/>
      <c r="H5" s="222"/>
      <c r="J5" s="71" t="s">
        <v>1840</v>
      </c>
      <c r="K5" s="20">
        <v>917286.27</v>
      </c>
      <c r="L5" s="20">
        <v>2730.19</v>
      </c>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969869.82</v>
      </c>
      <c r="E21" s="261">
        <f>SUM(E5:E20)</f>
        <v>16412.7</v>
      </c>
      <c r="F21" s="216"/>
      <c r="G21" s="216"/>
      <c r="H21" s="216"/>
      <c r="K21" s="262">
        <f t="shared" ref="K21:Q21" si="4">SUM(K5:K20)</f>
        <v>917286.27</v>
      </c>
      <c r="L21" s="262">
        <f t="shared" si="4"/>
        <v>2730.19</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252313</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285637.99</v>
      </c>
      <c r="G25" s="228">
        <f>'DOE25'!L230+'DOE25'!L310</f>
        <v>285637.99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285637.99</v>
      </c>
      <c r="E26" s="219"/>
      <c r="F26" s="231">
        <f>D26+E26</f>
        <v>285637.99</v>
      </c>
      <c r="G26" s="222"/>
      <c r="H26" s="222"/>
      <c r="J26" s="71" t="s">
        <v>1840</v>
      </c>
      <c r="K26" s="315">
        <v>252313</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285637.99</v>
      </c>
      <c r="E34" s="261">
        <f>SUM(E26:E33)</f>
        <v>0</v>
      </c>
      <c r="F34" s="216"/>
      <c r="G34" s="216"/>
      <c r="H34" s="216"/>
      <c r="K34" s="262">
        <f t="shared" ref="K34:Q34" si="8">SUM(K26:K33)</f>
        <v>252313</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393138</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439007.9</v>
      </c>
      <c r="G38" s="228">
        <f>'DOE25'!L248+'DOE25'!L329</f>
        <v>439007.89999999997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439007.9</v>
      </c>
      <c r="E39" s="219"/>
      <c r="F39" s="231">
        <f t="shared" ref="F39:F44" si="10">D39+E39</f>
        <v>439007.9</v>
      </c>
      <c r="G39" s="222"/>
      <c r="H39" s="222"/>
      <c r="J39" s="71" t="s">
        <v>1840</v>
      </c>
      <c r="K39" s="315">
        <v>393138</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439007.9</v>
      </c>
      <c r="E45" s="262">
        <f>SUM(E39:E44)</f>
        <v>0</v>
      </c>
      <c r="K45" s="262">
        <f t="shared" ref="K45:Q45" si="11">SUM(K39:K44)</f>
        <v>393138</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Albany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21454.43</v>
      </c>
      <c r="D8" s="73">
        <f>'DOE25'!G9</f>
        <v>0</v>
      </c>
      <c r="E8" s="73">
        <f>'DOE25'!H9</f>
        <v>0</v>
      </c>
      <c r="F8" s="73">
        <f>'DOE25'!I9</f>
        <v>0</v>
      </c>
      <c r="G8" s="73">
        <f>'DOE25'!J9</f>
        <v>147386.07999999999</v>
      </c>
      <c r="H8" s="13">
        <f>SUM(C8:G8)</f>
        <v>168840.50999999998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11697.7</v>
      </c>
      <c r="D11" s="73">
        <f>'DOE25'!G12</f>
        <v>0</v>
      </c>
      <c r="E11" s="73">
        <f>'DOE25'!H12</f>
        <v>0</v>
      </c>
      <c r="F11" s="73">
        <f>'DOE25'!I12</f>
        <v>0</v>
      </c>
      <c r="G11" s="73">
        <f>'DOE25'!J12</f>
        <v>0</v>
      </c>
      <c r="H11" s="13">
        <f t="shared" si="0"/>
        <v>11697.7</v>
      </c>
      <c r="I11" s="90"/>
    </row>
    <row r="12" spans="1:9" x14ac:dyDescent="0.2">
      <c r="A12" s="1" t="s">
        <v>143</v>
      </c>
      <c r="B12" s="6">
        <v>140</v>
      </c>
      <c r="C12" s="73">
        <f>'DOE25'!F13</f>
        <v>20912.07</v>
      </c>
      <c r="D12" s="73">
        <f>'DOE25'!G13</f>
        <v>0</v>
      </c>
      <c r="E12" s="73">
        <f>'DOE25'!H13</f>
        <v>0</v>
      </c>
      <c r="F12" s="73">
        <f>'DOE25'!I13</f>
        <v>0</v>
      </c>
      <c r="G12" s="73">
        <f>'DOE25'!J13</f>
        <v>0</v>
      </c>
      <c r="H12" s="13">
        <f t="shared" si="0"/>
        <v>20912.07</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54064.200000000004</v>
      </c>
      <c r="D18" s="38">
        <f>SUM(D8:D17)</f>
        <v>0</v>
      </c>
      <c r="E18" s="38">
        <f>SUM(E8:E17)</f>
        <v>0</v>
      </c>
      <c r="F18" s="38">
        <f>SUM(F8:F17)</f>
        <v>0</v>
      </c>
      <c r="G18" s="38">
        <f>SUM(G8:G17)</f>
        <v>147386.07999999999</v>
      </c>
      <c r="H18" s="38">
        <f t="shared" si="0"/>
        <v>201450.28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31310.82</v>
      </c>
      <c r="D23" s="73">
        <f>'DOE25'!G24</f>
        <v>0</v>
      </c>
      <c r="E23" s="73">
        <f>'DOE25'!H24</f>
        <v>0</v>
      </c>
      <c r="F23" s="73">
        <f>'DOE25'!I24</f>
        <v>0</v>
      </c>
      <c r="G23" s="73">
        <f>'DOE25'!J24</f>
        <v>0</v>
      </c>
      <c r="H23" s="13">
        <f t="shared" si="1"/>
        <v>31310.82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20912.07</v>
      </c>
      <c r="D29" s="73">
        <f>'DOE25'!G30</f>
        <v>0</v>
      </c>
      <c r="E29" s="73">
        <f>'DOE25'!H30</f>
        <v>0</v>
      </c>
      <c r="F29" s="73">
        <f>'DOE25'!I30</f>
        <v>0</v>
      </c>
      <c r="G29" s="23" t="s">
        <v>288</v>
      </c>
      <c r="H29" s="13">
        <f t="shared" si="1"/>
        <v>20912.07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52222.89</v>
      </c>
      <c r="D31" s="38">
        <f>SUM(D21:D30)</f>
        <v>0</v>
      </c>
      <c r="E31" s="38">
        <f>SUM(E21:E30)</f>
        <v>0</v>
      </c>
      <c r="F31" s="38">
        <f>SUM(F21:F30)</f>
        <v>0</v>
      </c>
      <c r="G31" s="38">
        <f>SUM(G21:G30)</f>
        <v>0</v>
      </c>
      <c r="H31" s="38">
        <f t="shared" si="1"/>
        <v>52222.89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147386.07999999999</v>
      </c>
      <c r="H47" s="13">
        <f t="shared" si="2"/>
        <v>147386.07999999999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1841.31</v>
      </c>
      <c r="D49" s="23" t="s">
        <v>288</v>
      </c>
      <c r="E49" s="23" t="s">
        <v>288</v>
      </c>
      <c r="F49" s="23" t="s">
        <v>288</v>
      </c>
      <c r="G49" s="23" t="s">
        <v>288</v>
      </c>
      <c r="H49" s="13">
        <f t="shared" si="2"/>
        <v>1841.31</v>
      </c>
      <c r="I49" s="90"/>
    </row>
    <row r="50" spans="1:9" ht="12.75" thickTop="1" thickBot="1" x14ac:dyDescent="0.25">
      <c r="A50" s="35" t="s">
        <v>880</v>
      </c>
      <c r="B50" s="44"/>
      <c r="C50" s="38">
        <f>SUM(C34:C49)</f>
        <v>1841.31</v>
      </c>
      <c r="D50" s="38">
        <f>SUM(D34:D49)</f>
        <v>0</v>
      </c>
      <c r="E50" s="38">
        <f>SUM(E34:E49)</f>
        <v>0</v>
      </c>
      <c r="F50" s="38">
        <f>SUM(F34:F49)</f>
        <v>0</v>
      </c>
      <c r="G50" s="38">
        <f>SUM(G34:G49)</f>
        <v>147386.07999999999</v>
      </c>
      <c r="H50" s="38">
        <f t="shared" si="2"/>
        <v>149227.38999999998</v>
      </c>
      <c r="I50" s="90"/>
    </row>
    <row r="51" spans="1:9" ht="12" thickTop="1" x14ac:dyDescent="0.2">
      <c r="A51" s="35" t="s">
        <v>881</v>
      </c>
      <c r="B51" s="2"/>
      <c r="C51" s="38">
        <f>C50+C31</f>
        <v>54064.2</v>
      </c>
      <c r="D51" s="38">
        <f>D50+D31</f>
        <v>0</v>
      </c>
      <c r="E51" s="38">
        <f>E50+E31</f>
        <v>0</v>
      </c>
      <c r="F51" s="38">
        <f>F50+F31</f>
        <v>0</v>
      </c>
      <c r="G51" s="38">
        <f>G50+G31</f>
        <v>147386.07999999999</v>
      </c>
      <c r="H51" s="38">
        <f t="shared" si="2"/>
        <v>201450.27999999997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774855</v>
      </c>
      <c r="D56" s="73">
        <f>'DOE25'!G60</f>
        <v>0</v>
      </c>
      <c r="E56" s="73">
        <f>'DOE25'!H60</f>
        <v>0</v>
      </c>
      <c r="F56" s="73">
        <f>'DOE25'!I60</f>
        <v>0</v>
      </c>
      <c r="G56" s="73">
        <f>'DOE25'!J60</f>
        <v>0</v>
      </c>
      <c r="H56" s="13">
        <f t="shared" ref="H56:H63" si="3">SUM(C56:G56)</f>
        <v>774855</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8430.36</v>
      </c>
      <c r="D59" s="73">
        <f>'DOE25'!G96</f>
        <v>0</v>
      </c>
      <c r="E59" s="73">
        <f>'DOE25'!H96</f>
        <v>0</v>
      </c>
      <c r="F59" s="73">
        <f>'DOE25'!I96</f>
        <v>0</v>
      </c>
      <c r="G59" s="73">
        <f>'DOE25'!J96</f>
        <v>4196.51</v>
      </c>
      <c r="H59" s="13">
        <f t="shared" si="3"/>
        <v>12626.87</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8430.36</v>
      </c>
      <c r="D62" s="93">
        <f>SUM(D57:D61)</f>
        <v>0</v>
      </c>
      <c r="E62" s="93">
        <f>SUM(E57:E61)</f>
        <v>0</v>
      </c>
      <c r="F62" s="93">
        <f>SUM(F57:F61)</f>
        <v>0</v>
      </c>
      <c r="G62" s="93">
        <f>SUM(G57:G61)</f>
        <v>4196.51</v>
      </c>
      <c r="H62" s="13">
        <f t="shared" si="3"/>
        <v>12626.87</v>
      </c>
      <c r="I62"/>
    </row>
    <row r="63" spans="1:9" ht="12" thickTop="1" x14ac:dyDescent="0.2">
      <c r="A63" s="28" t="s">
        <v>175</v>
      </c>
      <c r="B63" s="6"/>
      <c r="C63" s="21">
        <f>C56+C62</f>
        <v>783285.36</v>
      </c>
      <c r="D63" s="21">
        <f>D56+D62</f>
        <v>0</v>
      </c>
      <c r="E63" s="21">
        <f>E56+E62</f>
        <v>0</v>
      </c>
      <c r="F63" s="21">
        <f>F56+F62</f>
        <v>0</v>
      </c>
      <c r="G63" s="21">
        <f>G56+G62</f>
        <v>4196.51</v>
      </c>
      <c r="H63" s="13">
        <f t="shared" si="3"/>
        <v>787481.87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521387.32</v>
      </c>
      <c r="D66" s="23" t="s">
        <v>288</v>
      </c>
      <c r="E66" s="23" t="s">
        <v>288</v>
      </c>
      <c r="F66" s="23" t="s">
        <v>288</v>
      </c>
      <c r="G66" s="23" t="s">
        <v>288</v>
      </c>
      <c r="H66" s="13">
        <f t="shared" ref="H66:H81" si="4">SUM(C66:G66)</f>
        <v>521387.32</v>
      </c>
      <c r="I66"/>
    </row>
    <row r="67" spans="1:9" x14ac:dyDescent="0.2">
      <c r="A67" s="1" t="s">
        <v>767</v>
      </c>
      <c r="B67" s="6">
        <v>3112</v>
      </c>
      <c r="C67" s="73">
        <f>'DOE25'!F118</f>
        <v>236874</v>
      </c>
      <c r="D67" s="23"/>
      <c r="E67" s="23"/>
      <c r="F67" s="23"/>
      <c r="G67" s="23"/>
      <c r="H67" s="13">
        <f t="shared" si="4"/>
        <v>236874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2037.11</v>
      </c>
      <c r="D69" s="73">
        <f>'DOE25'!G120</f>
        <v>0</v>
      </c>
      <c r="E69" s="73">
        <f>'DOE25'!H120</f>
        <v>0</v>
      </c>
      <c r="F69" s="73">
        <f>'DOE25'!I120</f>
        <v>0</v>
      </c>
      <c r="G69" s="73">
        <f>'DOE25'!J120</f>
        <v>0</v>
      </c>
      <c r="H69" s="13">
        <f t="shared" si="4"/>
        <v>2037.11</v>
      </c>
      <c r="I69"/>
    </row>
    <row r="70" spans="1:9" ht="12" thickTop="1" x14ac:dyDescent="0.2">
      <c r="A70" s="28" t="s">
        <v>252</v>
      </c>
      <c r="B70" s="2"/>
      <c r="C70" s="97">
        <f>SUM(C66:C69)</f>
        <v>760298.43</v>
      </c>
      <c r="D70" s="97">
        <f>D69</f>
        <v>0</v>
      </c>
      <c r="E70" s="97">
        <f>E69</f>
        <v>0</v>
      </c>
      <c r="F70" s="97">
        <f>F69</f>
        <v>0</v>
      </c>
      <c r="G70" s="97">
        <f>G69</f>
        <v>0</v>
      </c>
      <c r="H70" s="13">
        <f t="shared" si="4"/>
        <v>760298.43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760298.43</v>
      </c>
      <c r="D81" s="93">
        <f>SUM(D79:D80)+D78+D70</f>
        <v>0</v>
      </c>
      <c r="E81" s="93">
        <f>SUM(E79:E80)+E78+E70</f>
        <v>0</v>
      </c>
      <c r="F81" s="93">
        <f>SUM(F79:F80)+F78+F70</f>
        <v>0</v>
      </c>
      <c r="G81" s="93">
        <f>SUM(G79:G80)+G78+G70</f>
        <v>0</v>
      </c>
      <c r="H81" s="93">
        <f t="shared" si="4"/>
        <v>760298.43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16412.7</v>
      </c>
      <c r="F88" s="252">
        <f>SUM('DOE25'!I153:I162)</f>
        <v>0</v>
      </c>
      <c r="G88" s="23" t="s">
        <v>288</v>
      </c>
      <c r="H88" s="13">
        <f t="shared" si="5"/>
        <v>16412.7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19593.72</v>
      </c>
      <c r="D90" s="23" t="s">
        <v>288</v>
      </c>
      <c r="E90" s="23" t="s">
        <v>288</v>
      </c>
      <c r="F90" s="23" t="s">
        <v>288</v>
      </c>
      <c r="G90" s="23" t="s">
        <v>288</v>
      </c>
      <c r="H90" s="13">
        <f t="shared" si="5"/>
        <v>19593.72</v>
      </c>
    </row>
    <row r="91" spans="1:9" ht="12.75" thickTop="1" thickBot="1" x14ac:dyDescent="0.25">
      <c r="A91" s="32" t="s">
        <v>747</v>
      </c>
      <c r="C91" s="94">
        <f>SUM(C85:C90)</f>
        <v>19593.72</v>
      </c>
      <c r="D91" s="94">
        <f>SUM(D85:D90)</f>
        <v>0</v>
      </c>
      <c r="E91" s="94">
        <f>SUM(E85:E90)</f>
        <v>16412.7</v>
      </c>
      <c r="F91" s="94">
        <f>SUM(F85:F90)</f>
        <v>0</v>
      </c>
      <c r="G91" s="23" t="s">
        <v>288</v>
      </c>
      <c r="H91" s="13">
        <f t="shared" si="5"/>
        <v>36006.42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1563177.51</v>
      </c>
      <c r="D104" s="68">
        <f>D63+D81+D91+D103</f>
        <v>0</v>
      </c>
      <c r="E104" s="68">
        <f>E63+E81+E91+E103</f>
        <v>16412.7</v>
      </c>
      <c r="F104" s="68">
        <f>F63+F81+F91+F103</f>
        <v>0</v>
      </c>
      <c r="G104" s="68">
        <f>G63+G81+G103</f>
        <v>4196.51</v>
      </c>
      <c r="H104" s="68">
        <f t="shared" si="5"/>
        <v>1583786.72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1494068</v>
      </c>
      <c r="D109" s="23" t="s">
        <v>288</v>
      </c>
      <c r="E109" s="73">
        <f>('DOE25'!L277)+('DOE25'!L296)+('DOE25'!L315)</f>
        <v>0</v>
      </c>
      <c r="F109" s="23" t="s">
        <v>288</v>
      </c>
      <c r="G109" s="23" t="s">
        <v>288</v>
      </c>
      <c r="H109" s="13">
        <f t="shared" ref="H109:H115" si="6">SUM(C109:G109)</f>
        <v>1494068</v>
      </c>
    </row>
    <row r="110" spans="1:8" x14ac:dyDescent="0.2">
      <c r="A110" t="s">
        <v>198</v>
      </c>
      <c r="B110" s="31" t="s">
        <v>199</v>
      </c>
      <c r="C110" s="73">
        <f>('DOE25'!L199)+('DOE25'!L217)+('DOE25'!L235)</f>
        <v>56971.57</v>
      </c>
      <c r="D110" s="23" t="s">
        <v>288</v>
      </c>
      <c r="E110" s="73">
        <f>('DOE25'!L278)+('DOE25'!L297)+('DOE25'!L316)</f>
        <v>11697.7</v>
      </c>
      <c r="F110" s="23" t="s">
        <v>288</v>
      </c>
      <c r="G110" s="23" t="s">
        <v>288</v>
      </c>
      <c r="H110" s="13">
        <f t="shared" si="6"/>
        <v>68669.27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1551039.57</v>
      </c>
      <c r="D115" s="68">
        <f>SUM(D109:D114)</f>
        <v>0</v>
      </c>
      <c r="E115" s="68">
        <f>SUM(E109:E114)</f>
        <v>11697.7</v>
      </c>
      <c r="F115" s="68">
        <f>SUM(F109:F114)</f>
        <v>0</v>
      </c>
      <c r="G115" s="68">
        <f>SUM(G109:G114)</f>
        <v>0</v>
      </c>
      <c r="H115" s="68">
        <f t="shared" si="6"/>
        <v>1562737.27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2730.19</v>
      </c>
      <c r="D118" s="23" t="s">
        <v>288</v>
      </c>
      <c r="E118" s="73">
        <f>+('DOE25'!L282)+('DOE25'!L301)+('DOE25'!L320)</f>
        <v>0</v>
      </c>
      <c r="F118" s="23" t="s">
        <v>288</v>
      </c>
      <c r="G118" s="23" t="s">
        <v>288</v>
      </c>
      <c r="H118" s="13">
        <f t="shared" ref="H118:H145" si="7">SUM(C118:G118)</f>
        <v>2730.19</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36808.910000000003</v>
      </c>
      <c r="D120" s="23" t="s">
        <v>288</v>
      </c>
      <c r="E120" s="73">
        <f>+('DOE25'!L284)+('DOE25'!L303)+('DOE25'!L322)</f>
        <v>0</v>
      </c>
      <c r="F120" s="23" t="s">
        <v>288</v>
      </c>
      <c r="G120" s="23" t="s">
        <v>288</v>
      </c>
      <c r="H120" s="13">
        <f t="shared" si="7"/>
        <v>36808.910000000003</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103937.04</v>
      </c>
      <c r="D124" s="23" t="s">
        <v>288</v>
      </c>
      <c r="E124" s="73">
        <f>+('DOE25'!L288)+('DOE25'!L307)+('DOE25'!L326)</f>
        <v>4715</v>
      </c>
      <c r="F124" s="23" t="s">
        <v>288</v>
      </c>
      <c r="G124" s="23" t="s">
        <v>288</v>
      </c>
      <c r="H124" s="13">
        <f t="shared" si="7"/>
        <v>108652.04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143476.14000000001</v>
      </c>
      <c r="D128" s="68">
        <f>SUM(D118:D127)</f>
        <v>0</v>
      </c>
      <c r="E128" s="68">
        <f>SUM(E118:E127)</f>
        <v>4715</v>
      </c>
      <c r="F128" s="68">
        <f>SUM(F118:F127)</f>
        <v>0</v>
      </c>
      <c r="G128" s="68">
        <f>SUM(G118:G127)</f>
        <v>0</v>
      </c>
      <c r="H128" s="68">
        <f t="shared" si="7"/>
        <v>148191.14000000001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4196.51</v>
      </c>
      <c r="D139" s="23" t="s">
        <v>288</v>
      </c>
      <c r="E139" s="23" t="s">
        <v>288</v>
      </c>
      <c r="F139" s="23" t="s">
        <v>288</v>
      </c>
      <c r="G139" s="23" t="s">
        <v>288</v>
      </c>
      <c r="H139" s="13">
        <f t="shared" si="7"/>
        <v>4196.51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-4196.51</v>
      </c>
      <c r="D141" s="23" t="s">
        <v>288</v>
      </c>
      <c r="E141" s="23" t="s">
        <v>288</v>
      </c>
      <c r="F141" s="23" t="s">
        <v>288</v>
      </c>
      <c r="G141" s="23" t="s">
        <v>288</v>
      </c>
      <c r="H141" s="13">
        <f t="shared" si="7"/>
        <v>-4196.51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1694515.71</v>
      </c>
      <c r="D145" s="68">
        <f>(D115+D128+D144)</f>
        <v>0</v>
      </c>
      <c r="E145" s="68">
        <f>(E115+E128+E144)</f>
        <v>16412.7</v>
      </c>
      <c r="F145" s="68">
        <f>(F115+F128+F144)</f>
        <v>0</v>
      </c>
      <c r="G145" s="68">
        <f>(G115+G128+G144)</f>
        <v>0</v>
      </c>
      <c r="H145" s="68">
        <f t="shared" si="7"/>
        <v>1710928.41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Albany</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1494068</v>
      </c>
      <c r="D10" s="131">
        <f>ROUND((C10/$C$28)*100,1)</f>
        <v>87.3</v>
      </c>
    </row>
    <row r="11" spans="1:4" x14ac:dyDescent="0.2">
      <c r="A11">
        <v>1200</v>
      </c>
      <c r="B11" t="s">
        <v>703</v>
      </c>
      <c r="C11" s="128">
        <f>ROUND('DOE25'!L199+'DOE25'!L217+'DOE25'!L235+'DOE25'!L278+'DOE25'!L297+'DOE25'!L316,0)</f>
        <v>68669</v>
      </c>
      <c r="D11" s="131">
        <f>ROUND((C11/$C$28)*100,1)</f>
        <v>4</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2730</v>
      </c>
      <c r="D15" s="131">
        <f t="shared" ref="D15:D27" si="0">ROUND((C15/$C$28)*100,1)</f>
        <v>0.2</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36809</v>
      </c>
      <c r="D17" s="131">
        <f t="shared" si="0"/>
        <v>2.2000000000000002</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108652</v>
      </c>
      <c r="D21" s="131">
        <f t="shared" si="0"/>
        <v>6.4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1710928</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1710928</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774855</v>
      </c>
      <c r="D35" s="131">
        <f t="shared" ref="D35:D40" si="1">ROUND((C35/$C$41)*100,1)</f>
        <v>48.9</v>
      </c>
    </row>
    <row r="36" spans="1:4" x14ac:dyDescent="0.2">
      <c r="B36" s="71" t="s">
        <v>739</v>
      </c>
      <c r="C36" s="128">
        <f>SUM('DOE25'!F112:J112)-SUM('DOE25'!G97:G110)+('DOE25'!F175+'DOE25'!F176+'DOE25'!I175+'DOE25'!I176)-C35</f>
        <v>12626.869999999995</v>
      </c>
      <c r="D36" s="131">
        <f t="shared" si="1"/>
        <v>0.8</v>
      </c>
    </row>
    <row r="37" spans="1:4" x14ac:dyDescent="0.2">
      <c r="A37" s="132" t="s">
        <v>831</v>
      </c>
      <c r="B37" s="71" t="s">
        <v>728</v>
      </c>
      <c r="C37" s="128">
        <f>ROUND('DOE25'!F117+'DOE25'!F118,0)</f>
        <v>758261</v>
      </c>
      <c r="D37" s="131">
        <f t="shared" si="1"/>
        <v>47.9</v>
      </c>
    </row>
    <row r="38" spans="1:4" x14ac:dyDescent="0.2">
      <c r="A38" s="132" t="s">
        <v>734</v>
      </c>
      <c r="B38" s="71" t="s">
        <v>729</v>
      </c>
      <c r="C38" s="128">
        <f>ROUND(SUM('DOE25'!F140:J140)-SUM('DOE25'!F117:F119),0)</f>
        <v>2037</v>
      </c>
      <c r="D38" s="131">
        <f t="shared" si="1"/>
        <v>0.1</v>
      </c>
    </row>
    <row r="39" spans="1:4" x14ac:dyDescent="0.2">
      <c r="A39">
        <v>4000</v>
      </c>
      <c r="B39" s="71" t="s">
        <v>730</v>
      </c>
      <c r="C39" s="128">
        <f>ROUND('DOE25'!F170+'DOE25'!G170+'DOE25'!H170+'DOE25'!I170,0)</f>
        <v>36006</v>
      </c>
      <c r="D39" s="131">
        <f t="shared" si="1"/>
        <v>2.2999999999999998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1583785.87</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Albany</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2024-10-22T12:43:43Z</dcterms:modified>
</cp:coreProperties>
</file>