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7B928185-656C-4816-9826-8B6345ADC674}"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61" i="15"/>
  <c r="AF59"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C16" i="14" s="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J111" i="1"/>
  <c r="F121" i="1"/>
  <c r="F136" i="1"/>
  <c r="G121" i="1"/>
  <c r="G136" i="1"/>
  <c r="H121" i="1"/>
  <c r="H136" i="1"/>
  <c r="H140" i="1" s="1"/>
  <c r="I121" i="1"/>
  <c r="I136" i="1"/>
  <c r="J121" i="1"/>
  <c r="J136" i="1"/>
  <c r="F147" i="1"/>
  <c r="C85" i="2" s="1"/>
  <c r="G147" i="1"/>
  <c r="D85" i="2" s="1"/>
  <c r="H147" i="1"/>
  <c r="H170" i="1" s="1"/>
  <c r="I147" i="1"/>
  <c r="F85" i="2" s="1"/>
  <c r="C13" i="10"/>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2" i="1"/>
  <c r="H653" i="1"/>
  <c r="G654" i="1"/>
  <c r="H654" i="1"/>
  <c r="H655" i="1"/>
  <c r="H656" i="1"/>
  <c r="H137" i="2" l="1"/>
  <c r="H98" i="2"/>
  <c r="E125" i="2"/>
  <c r="H101" i="2"/>
  <c r="J652" i="1"/>
  <c r="H135" i="2"/>
  <c r="G646" i="1"/>
  <c r="F170" i="1"/>
  <c r="H73" i="2"/>
  <c r="I409" i="1"/>
  <c r="H28" i="2"/>
  <c r="H24" i="2"/>
  <c r="H93" i="2"/>
  <c r="H100" i="2"/>
  <c r="H97" i="2"/>
  <c r="H12" i="2"/>
  <c r="I112" i="1"/>
  <c r="H132" i="2"/>
  <c r="E120" i="2"/>
  <c r="C112" i="2"/>
  <c r="H79" i="2"/>
  <c r="J112" i="1"/>
  <c r="J194" i="1" s="1"/>
  <c r="G647" i="1" s="1"/>
  <c r="I170" i="1"/>
  <c r="H89" i="2"/>
  <c r="H72" i="2"/>
  <c r="H9" i="2"/>
  <c r="J140" i="1"/>
  <c r="C32" i="10"/>
  <c r="C12" i="10"/>
  <c r="E13" i="13"/>
  <c r="C13" i="13" s="1"/>
  <c r="H13" i="2"/>
  <c r="H30" i="2"/>
  <c r="H27" i="2"/>
  <c r="H143" i="2"/>
  <c r="H36" i="2"/>
  <c r="H43" i="2"/>
  <c r="H48" i="2"/>
  <c r="H99" i="2"/>
  <c r="H15" i="2"/>
  <c r="E112" i="2"/>
  <c r="H96" i="2"/>
  <c r="H87" i="2"/>
  <c r="H26" i="2"/>
  <c r="H80" i="2"/>
  <c r="G409" i="1"/>
  <c r="H646" i="1" s="1"/>
  <c r="J646" i="1" s="1"/>
  <c r="H35" i="2"/>
  <c r="K36" i="14"/>
  <c r="K37" i="14" s="1"/>
  <c r="D15" i="13"/>
  <c r="C15" i="13" s="1"/>
  <c r="H58" i="2"/>
  <c r="C125" i="2"/>
  <c r="H125" i="2" s="1"/>
  <c r="H34" i="2"/>
  <c r="H102" i="2"/>
  <c r="H94" i="2"/>
  <c r="H76" i="2"/>
  <c r="H69" i="2"/>
  <c r="H25" i="2"/>
  <c r="H22" i="2"/>
  <c r="H17" i="2"/>
  <c r="H11" i="2"/>
  <c r="H113" i="2"/>
  <c r="H38" i="2"/>
  <c r="H44" i="2"/>
  <c r="C120" i="2"/>
  <c r="C119" i="2"/>
  <c r="H61" i="2"/>
  <c r="H59" i="2"/>
  <c r="H29" i="2"/>
  <c r="H23" i="2"/>
  <c r="H8" i="2"/>
  <c r="G477" i="1"/>
  <c r="B33" i="16" s="1"/>
  <c r="D29" i="13"/>
  <c r="C29" i="13" s="1"/>
  <c r="G662" i="1"/>
  <c r="D78" i="2"/>
  <c r="D81" i="2" s="1"/>
  <c r="H77" i="2"/>
  <c r="K2" i="14"/>
  <c r="K3" i="14" s="1"/>
  <c r="H47" i="2"/>
  <c r="H477" i="1"/>
  <c r="H625" i="1" s="1"/>
  <c r="J625" i="1" s="1"/>
  <c r="G62" i="2"/>
  <c r="G63" i="2"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G546" i="1"/>
  <c r="J644" i="1"/>
  <c r="F112" i="1"/>
  <c r="L394" i="1"/>
  <c r="C138" i="2" s="1"/>
  <c r="H138" i="2" s="1"/>
  <c r="L363" i="1"/>
  <c r="B17" i="16" s="1"/>
  <c r="B19" i="16" s="1"/>
  <c r="B28" i="16"/>
  <c r="L329" i="1"/>
  <c r="E122" i="2"/>
  <c r="L291" i="1"/>
  <c r="H624" i="1"/>
  <c r="J624" i="1" s="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G140" i="1"/>
  <c r="B11" i="16" s="1"/>
  <c r="F140" i="1"/>
  <c r="J619" i="1"/>
  <c r="G42" i="2"/>
  <c r="G50" i="2" s="1"/>
  <c r="J51" i="1"/>
  <c r="G16" i="2"/>
  <c r="G18" i="2" s="1"/>
  <c r="J19" i="1"/>
  <c r="G622" i="1" s="1"/>
  <c r="F546" i="1"/>
  <c r="H435" i="1"/>
  <c r="D103" i="2"/>
  <c r="I140" i="1"/>
  <c r="A22" i="12"/>
  <c r="J653" i="1"/>
  <c r="G572" i="1"/>
  <c r="I435" i="1"/>
  <c r="G435" i="1"/>
  <c r="I664" i="1"/>
  <c r="H112" i="2" l="1"/>
  <c r="H57" i="2"/>
  <c r="H119" i="2"/>
  <c r="E144" i="2"/>
  <c r="H21" i="2"/>
  <c r="H120" i="2"/>
  <c r="H16" i="2"/>
  <c r="H122" i="2"/>
  <c r="I662" i="1"/>
  <c r="H42" i="2"/>
  <c r="H123" i="2"/>
  <c r="H103" i="2"/>
  <c r="F194" i="1"/>
  <c r="G628" i="1" s="1"/>
  <c r="J628" i="1" s="1"/>
  <c r="C81" i="2"/>
  <c r="E91" i="2"/>
  <c r="H91" i="2" s="1"/>
  <c r="H85" i="2"/>
  <c r="D128" i="2"/>
  <c r="D145" i="2" s="1"/>
  <c r="H127" i="2"/>
  <c r="D51" i="2"/>
  <c r="H31" i="2"/>
  <c r="L572" i="1"/>
  <c r="H50" i="2"/>
  <c r="E81" i="2"/>
  <c r="E104" i="2" s="1"/>
  <c r="H78" i="2"/>
  <c r="H62" i="2"/>
  <c r="H18" i="2"/>
  <c r="G144" i="2"/>
  <c r="G145" i="2" s="1"/>
  <c r="H134"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81" i="2" l="1"/>
  <c r="C104" i="2"/>
  <c r="H63" i="2"/>
  <c r="H51" i="2"/>
  <c r="H104"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<sst xmlns="http://schemas.openxmlformats.org/spreadsheetml/2006/main" count="6639" uniqueCount="1841">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</sst>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62">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xf numFmtId="0" fontId="16" fillId="0" borderId="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0" borderId="0"/>
    <xf numFmtId="0" fontId="1" fillId="15" borderId="35" applyNumberFormat="0" applyFont="0" applyAlignment="0" applyProtection="0"/>
    <xf numFmtId="0" fontId="1" fillId="0" borderId="0"/>
    <xf numFmtId="0" fontId="36" fillId="0" borderId="0"/>
  </cellStyleXfs>
  <cellXfs count="347">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39" fontId="82" fillId="0" borderId="0" xfId="0" applyNumberFormat="1" applyFont="1"/>
    <xf numFmtId="40" fontId="9" fillId="0" borderId="6" xfId="0" applyNumberFormat="1" applyFont="1" applyBorder="1"/>
    <xf numFmtId="40" fontId="9" fillId="0" borderId="6" xfId="0" applyNumberFormat="1" applyFont="1" applyBorder="1" applyAlignment="1">
      <alignment horizontal="right"/>
    </xf>
    <xf numFmtId="0" fontId="48" fillId="0" borderId="0" xfId="0" applyFont="1" applyAlignment="1">
      <alignment wrapText="1"/>
    </xf>
    <xf numFmtId="0" fontId="83" fillId="40" borderId="0" xfId="0" applyFont="1" applyFill="1"/>
    <xf numFmtId="0" fontId="16" fillId="0" borderId="0" xfId="0" applyFont="1" applyProtection="1">
      <protection locked="0"/>
    </xf>
    <xf numFmtId="40" fontId="15" fillId="46" borderId="0" xfId="0" applyNumberFormat="1" applyFont="1" applyFill="1"/>
    <xf numFmtId="0" fontId="41" fillId="40" borderId="0" xfId="0" applyFont="1" applyFill="1"/>
    <xf numFmtId="40" fontId="7" fillId="0" borderId="3" xfId="45" applyNumberFormat="1" applyFont="1" applyBorder="1"/>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73" fillId="46" borderId="0" xfId="0" applyFont="1" applyFill="1" applyAlignment="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10" xfId="0" applyNumberFormat="1" applyFont="1" applyBorder="1" applyAlignment="1" applyProtection="1">
      <alignment horizontal="left"/>
      <protection locked="0"/>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xf numFmtId="49" fontId="16" fillId="0" borderId="0" xfId="0" applyNumberFormat="1" applyFont="1" applyAlignment="1">
      <alignment horizontal="left"/>
    </xf>
    <xf numFmtId="49" fontId="16" fillId="0" borderId="10" xfId="0" applyNumberFormat="1" applyFont="1" applyBorder="1" applyAlignment="1">
      <alignment horizontal="left"/>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cellXfs>
  <cellStyles count="62">
    <cellStyle name="20% - Accent1" xfId="17" builtinId="30" customBuiltin="1"/>
    <cellStyle name="20% - Accent1 2" xfId="46" xr:uid="{00000000-0005-0000-0000-000001000000}"/>
    <cellStyle name="20% - Accent2" xfId="21" builtinId="34" customBuiltin="1"/>
    <cellStyle name="20% - Accent2 2" xfId="48" xr:uid="{00000000-0005-0000-0000-000003000000}"/>
    <cellStyle name="20% - Accent3" xfId="25" builtinId="38" customBuiltin="1"/>
    <cellStyle name="20% - Accent3 2" xfId="50" xr:uid="{00000000-0005-0000-0000-000005000000}"/>
    <cellStyle name="20% - Accent4" xfId="29" builtinId="42" customBuiltin="1"/>
    <cellStyle name="20% - Accent4 2" xfId="52" xr:uid="{00000000-0005-0000-0000-000007000000}"/>
    <cellStyle name="20% - Accent5" xfId="33" builtinId="46" customBuiltin="1"/>
    <cellStyle name="20% - Accent5 2" xfId="54" xr:uid="{00000000-0005-0000-0000-000009000000}"/>
    <cellStyle name="20% - Accent6" xfId="37" builtinId="50" customBuiltin="1"/>
    <cellStyle name="20% - Accent6 2" xfId="56" xr:uid="{00000000-0005-0000-0000-00000B000000}"/>
    <cellStyle name="40% - Accent1" xfId="18" builtinId="31" customBuiltin="1"/>
    <cellStyle name="40% - Accent1 2" xfId="47" xr:uid="{00000000-0005-0000-0000-00000D000000}"/>
    <cellStyle name="40% - Accent2" xfId="22" builtinId="35" customBuiltin="1"/>
    <cellStyle name="40% - Accent2 2" xfId="49" xr:uid="{00000000-0005-0000-0000-00000F000000}"/>
    <cellStyle name="40% - Accent3" xfId="26" builtinId="39" customBuiltin="1"/>
    <cellStyle name="40% - Accent3 2" xfId="51" xr:uid="{00000000-0005-0000-0000-000011000000}"/>
    <cellStyle name="40% - Accent4" xfId="30" builtinId="43" customBuiltin="1"/>
    <cellStyle name="40% - Accent4 2" xfId="53" xr:uid="{00000000-0005-0000-0000-000013000000}"/>
    <cellStyle name="40% - Accent5" xfId="34" builtinId="47" customBuiltin="1"/>
    <cellStyle name="40% - Accent5 2" xfId="55" xr:uid="{00000000-0005-0000-0000-000015000000}"/>
    <cellStyle name="40% - Accent6" xfId="38" builtinId="51" customBuiltin="1"/>
    <cellStyle name="40% - Accent6 2" xfId="57" xr:uid="{00000000-0005-0000-0000-000017000000}"/>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31000000}"/>
    <cellStyle name="Normal 2 2" xfId="58" xr:uid="{00000000-0005-0000-0000-000032000000}"/>
    <cellStyle name="Normal 3" xfId="43" xr:uid="{00000000-0005-0000-0000-000033000000}"/>
    <cellStyle name="Normal 3 2" xfId="60" xr:uid="{00000000-0005-0000-0000-000034000000}"/>
    <cellStyle name="Normal 4" xfId="44" xr:uid="{00000000-0005-0000-0000-000035000000}"/>
    <cellStyle name="Normal 4 2" xfId="61" xr:uid="{00000000-0005-0000-0000-000036000000}"/>
    <cellStyle name="Normal 5" xfId="45" xr:uid="{00000000-0005-0000-0000-000037000000}"/>
    <cellStyle name="Note 2" xfId="42" xr:uid="{00000000-0005-0000-0000-000038000000}"/>
    <cellStyle name="Note 2 2" xfId="59" xr:uid="{00000000-0005-0000-0000-000039000000}"/>
    <cellStyle name="Output" xfId="9" builtinId="21" customBuiltin="1"/>
    <cellStyle name="Title 2" xfId="41" xr:uid="{00000000-0005-0000-0000-00003B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125" zoomScaleNormal="125"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909</v>
      </c>
      <c r="B2">
        <f>INDEX('School Tables'!$AH$3:$AH$213,MATCH('DOE25'!A2,'School Tables'!$AJ$3:$AJ$213,0))</f>
        <v>23</v>
      </c>
      <c r="C2">
        <f>INDEX('School Tables'!$AI$3:$AI$213,MATCH('DOE25'!A2,'School Tables'!$AJ$3:$AJ$213,0))</f>
        <v>23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375211.3</v>
      </c>
      <c r="G9" s="18"/>
      <c r="H9" s="18"/>
      <c r="I9" s="18"/>
      <c r="J9" s="13">
        <f>SUM(I440)</f>
        <v>343490.64</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v>236401.17</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15503.48</v>
      </c>
      <c r="G13" s="18">
        <v>12231.84</v>
      </c>
      <c r="H13" s="18">
        <v>85208.03</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1715.88</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392430.66</v>
      </c>
      <c r="G19" s="38">
        <f>SUM(G9:G18)</f>
        <v>248633.01</v>
      </c>
      <c r="H19" s="38">
        <f>SUM(H9:H18)</f>
        <v>85208.03</v>
      </c>
      <c r="I19" s="38">
        <f>SUM(I9:I18)</f>
        <v>0</v>
      </c>
      <c r="J19" s="38">
        <f>SUM(J9:J18)</f>
        <v>343490.64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20922.62</v>
      </c>
      <c r="G22" s="18">
        <v>198306.65</v>
      </c>
      <c r="H22" s="18">
        <v>17171.900000000001</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v>2110.23</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43763.61</v>
      </c>
      <c r="G24" s="18">
        <v>12909.57</v>
      </c>
      <c r="H24" s="18">
        <v>51925.65</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2486.86</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3008.69</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147.07</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70181.78</v>
      </c>
      <c r="G32" s="38">
        <f>SUM(G22:G31)</f>
        <v>211363.29</v>
      </c>
      <c r="H32" s="38">
        <f>SUM(H22:H31)</f>
        <v>71207.78</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37269.72</v>
      </c>
      <c r="H48" s="18">
        <v>14000.25</v>
      </c>
      <c r="I48" s="18"/>
      <c r="J48" s="13">
        <f>SUM(I460)</f>
        <v>343490.64</v>
      </c>
      <c r="K48" s="23" t="s">
        <v>288</v>
      </c>
      <c r="L48" s="23" t="s">
        <v>288</v>
      </c>
      <c r="M48" s="8"/>
      <c r="N48" s="164"/>
    </row>
    <row r="49" spans="1:14" s="3" customFormat="1" ht="12.2" customHeight="1" x14ac:dyDescent="0.15">
      <c r="A49" s="1" t="s">
        <v>855</v>
      </c>
      <c r="B49" s="2" t="s">
        <v>289</v>
      </c>
      <c r="C49" s="6">
        <v>34</v>
      </c>
      <c r="D49" s="2"/>
      <c r="E49" s="6">
        <v>753</v>
      </c>
      <c r="F49" s="18">
        <v>279416.33</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42832.55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322248.88</v>
      </c>
      <c r="G51" s="38">
        <f>SUM(G35:G50)</f>
        <v>37269.72</v>
      </c>
      <c r="H51" s="38">
        <f>SUM(H35:H50)</f>
        <v>14000.25</v>
      </c>
      <c r="I51" s="38">
        <f>SUM(I35:I50)</f>
        <v>0</v>
      </c>
      <c r="J51" s="38">
        <f>SUM(J35:J50)</f>
        <v>343490.64</v>
      </c>
      <c r="K51" s="42" t="s">
        <v>288</v>
      </c>
      <c r="L51" s="42" t="s">
        <v>288</v>
      </c>
      <c r="N51" s="130"/>
    </row>
    <row r="52" spans="1:14" s="3" customFormat="1" ht="12.2" customHeight="1" thickTop="1" x14ac:dyDescent="0.15">
      <c r="A52" s="35" t="s">
        <v>455</v>
      </c>
      <c r="B52" s="36" t="s">
        <v>289</v>
      </c>
      <c r="C52" s="6">
        <v>37</v>
      </c>
      <c r="D52" s="36" t="s">
        <v>653</v>
      </c>
      <c r="E52" s="36"/>
      <c r="F52" s="38">
        <f>F51+F32</f>
        <v>392430.66000000003</v>
      </c>
      <c r="G52" s="38">
        <f>G51+G32</f>
        <v>248633.01</v>
      </c>
      <c r="H52" s="38">
        <f>H51+H32</f>
        <v>85208.03</v>
      </c>
      <c r="I52" s="38">
        <f>I51+I32</f>
        <v>0</v>
      </c>
      <c r="J52" s="38">
        <f>J51+J32</f>
        <v>343490.64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2879135</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2879135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1245.6600000000001</v>
      </c>
      <c r="G96" s="18"/>
      <c r="H96" s="18"/>
      <c r="I96" s="18"/>
      <c r="J96" s="18">
        <v>4896.46</v>
      </c>
      <c r="K96" s="23" t="s">
        <v>288</v>
      </c>
      <c r="L96" s="23" t="s">
        <v>288</v>
      </c>
      <c r="M96" s="8"/>
      <c r="N96" s="164"/>
    </row>
    <row r="97" spans="1:14" s="3" customFormat="1" ht="12.2" customHeight="1" x14ac:dyDescent="0.15">
      <c r="A97" s="1" t="s">
        <v>503</v>
      </c>
      <c r="B97" s="2" t="s">
        <v>315</v>
      </c>
      <c r="C97" s="6">
        <v>12</v>
      </c>
      <c r="D97" s="2" t="s">
        <v>430</v>
      </c>
      <c r="E97" s="6">
        <v>1600</v>
      </c>
      <c r="F97" s="23" t="s">
        <v>288</v>
      </c>
      <c r="G97" s="18">
        <v>31411.25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1046.75</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7373.7</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1000</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3292.41</v>
      </c>
      <c r="G111" s="38">
        <f>SUM(G96:G110)</f>
        <v>31411.25</v>
      </c>
      <c r="H111" s="38">
        <f>SUM(H96:H110)</f>
        <v>7373.7</v>
      </c>
      <c r="I111" s="38">
        <f>SUM(I96:I110)</f>
        <v>0</v>
      </c>
      <c r="J111" s="38">
        <f>SUM(J96:J110)</f>
        <v>4896.46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2882427.41</v>
      </c>
      <c r="G112" s="38">
        <f>G60+G111</f>
        <v>31411.25</v>
      </c>
      <c r="H112" s="38">
        <f>H60+H79+H94+H111</f>
        <v>7373.7</v>
      </c>
      <c r="I112" s="38">
        <f>I60+I111</f>
        <v>0</v>
      </c>
      <c r="J112" s="38">
        <f>J60+J111</f>
        <v>4896.46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631881.68999999994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404392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1627.24</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1037900.9299999999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v>5675</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1445.52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1445.52</v>
      </c>
      <c r="H136" s="38">
        <f>SUM(H123:H135)</f>
        <v>5675</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1037900.9299999999</v>
      </c>
      <c r="G140" s="38">
        <f>G121+SUM(G136:G137)</f>
        <v>1445.52</v>
      </c>
      <c r="H140" s="38">
        <f>H121+SUM(H136:H139)</f>
        <v>5675</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v>4233.7700000000004</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4233.7700000000004</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93656.86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4535.3599999999997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63284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76436.63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42047.64</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100811.46</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215996.88</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42047.64</v>
      </c>
      <c r="G163" s="38">
        <f>SUM(G150:G162)</f>
        <v>63284</v>
      </c>
      <c r="H163" s="38">
        <f>SUM(H150:H162)</f>
        <v>491437.19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358.55</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42406.19</v>
      </c>
      <c r="G170" s="38">
        <f>G147+G163+SUM(G164:G169)</f>
        <v>63284</v>
      </c>
      <c r="H170" s="38">
        <f>H147+H163+SUM(H164:H169)</f>
        <v>495670.96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30000</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30000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96077</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96077</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96077</v>
      </c>
      <c r="G193" s="38">
        <f>G184+SUM(G189:G192)</f>
        <v>30000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4058811.53</v>
      </c>
      <c r="G194" s="38">
        <f>G112+G140+G170+G193</f>
        <v>126140.76999999999</v>
      </c>
      <c r="H194" s="38">
        <f>H112+H140+H170+H193</f>
        <v>508719.66000000003</v>
      </c>
      <c r="I194" s="38">
        <f>I112+I140+I170+I193</f>
        <v>0</v>
      </c>
      <c r="J194" s="38">
        <f>J112+J140+J193</f>
        <v>4896.46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1114045.8600000001</v>
      </c>
      <c r="G198" s="18">
        <v>607719.1</v>
      </c>
      <c r="H198" s="18">
        <v>6787</v>
      </c>
      <c r="I198" s="18">
        <v>31963.84</v>
      </c>
      <c r="J198" s="18">
        <v>2320.69</v>
      </c>
      <c r="K198" s="18">
        <v>655.25</v>
      </c>
      <c r="L198" s="13">
        <f>SUM(F198:K198)</f>
        <v>1763491.74</v>
      </c>
      <c r="M198" s="8"/>
      <c r="N198" s="164"/>
    </row>
    <row r="199" spans="1:14" s="3" customFormat="1" ht="12.2" customHeight="1" x14ac:dyDescent="0.15">
      <c r="A199" s="1" t="s">
        <v>439</v>
      </c>
      <c r="B199" s="2" t="s">
        <v>341</v>
      </c>
      <c r="C199" s="2" t="s">
        <v>291</v>
      </c>
      <c r="D199" s="2" t="s">
        <v>431</v>
      </c>
      <c r="E199" s="6">
        <v>1200</v>
      </c>
      <c r="F199" s="18">
        <v>273694.88</v>
      </c>
      <c r="G199" s="18">
        <v>131829.6</v>
      </c>
      <c r="H199" s="18">
        <v>167815.99</v>
      </c>
      <c r="I199" s="18">
        <v>1683.12</v>
      </c>
      <c r="J199" s="18"/>
      <c r="K199" s="18"/>
      <c r="L199" s="13">
        <f>SUM(F199:K199)</f>
        <v>575023.59</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31880</v>
      </c>
      <c r="G201" s="18">
        <v>8498.43</v>
      </c>
      <c r="H201" s="18">
        <v>3987</v>
      </c>
      <c r="I201" s="18">
        <v>3293.07</v>
      </c>
      <c r="J201" s="18">
        <v>4098</v>
      </c>
      <c r="K201" s="18"/>
      <c r="L201" s="13">
        <f>SUM(F201:K201)</f>
        <v>51756.5</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166495.51999999999</v>
      </c>
      <c r="G203" s="18">
        <v>89072.49</v>
      </c>
      <c r="H203" s="18">
        <v>136127.70000000001</v>
      </c>
      <c r="I203" s="18">
        <v>6672.82</v>
      </c>
      <c r="J203" s="18"/>
      <c r="K203" s="18">
        <v>535</v>
      </c>
      <c r="L203" s="13">
        <f t="shared" ref="L203:L209" si="0">SUM(F203:K203)</f>
        <v>398903.53</v>
      </c>
      <c r="M203" s="8"/>
      <c r="N203" s="164"/>
    </row>
    <row r="204" spans="1:14" s="3" customFormat="1" ht="12.2" customHeight="1" x14ac:dyDescent="0.15">
      <c r="A204" s="1" t="s">
        <v>443</v>
      </c>
      <c r="B204" s="2" t="s">
        <v>341</v>
      </c>
      <c r="C204" s="2" t="s">
        <v>295</v>
      </c>
      <c r="D204" s="2" t="s">
        <v>431</v>
      </c>
      <c r="E204" s="6">
        <v>2200</v>
      </c>
      <c r="F204" s="18">
        <v>103787.62</v>
      </c>
      <c r="G204" s="18">
        <v>53722.71</v>
      </c>
      <c r="H204" s="18">
        <v>23623.33</v>
      </c>
      <c r="I204" s="18">
        <v>52073.11</v>
      </c>
      <c r="J204" s="18">
        <v>37859.339999999997</v>
      </c>
      <c r="K204" s="18">
        <v>252</v>
      </c>
      <c r="L204" s="13">
        <f t="shared" si="0"/>
        <v>271318.11</v>
      </c>
      <c r="M204" s="8"/>
      <c r="N204" s="164"/>
    </row>
    <row r="205" spans="1:14" s="3" customFormat="1" ht="12.2" customHeight="1" x14ac:dyDescent="0.15">
      <c r="A205" s="1" t="s">
        <v>444</v>
      </c>
      <c r="B205" s="2" t="s">
        <v>341</v>
      </c>
      <c r="C205" s="2" t="s">
        <v>296</v>
      </c>
      <c r="D205" s="2" t="s">
        <v>431</v>
      </c>
      <c r="E205" s="6">
        <v>2300</v>
      </c>
      <c r="F205" s="18">
        <v>3658</v>
      </c>
      <c r="G205" s="18">
        <v>279.85000000000002</v>
      </c>
      <c r="H205" s="18">
        <v>163762.25</v>
      </c>
      <c r="I205" s="18">
        <v>419.83</v>
      </c>
      <c r="J205" s="18"/>
      <c r="K205" s="18">
        <v>4049.71</v>
      </c>
      <c r="L205" s="13">
        <f t="shared" si="0"/>
        <v>172169.63999999998</v>
      </c>
      <c r="M205" s="8"/>
      <c r="N205" s="164"/>
    </row>
    <row r="206" spans="1:14" s="3" customFormat="1" ht="12.2" customHeight="1" x14ac:dyDescent="0.15">
      <c r="A206" s="1" t="s">
        <v>445</v>
      </c>
      <c r="B206" s="2" t="s">
        <v>341</v>
      </c>
      <c r="C206" s="2" t="s">
        <v>297</v>
      </c>
      <c r="D206" s="2" t="s">
        <v>431</v>
      </c>
      <c r="E206" s="6">
        <v>2400</v>
      </c>
      <c r="F206" s="18">
        <v>184096</v>
      </c>
      <c r="G206" s="18">
        <v>93731.88</v>
      </c>
      <c r="H206" s="18">
        <v>5290.14</v>
      </c>
      <c r="I206" s="18">
        <v>1882.24</v>
      </c>
      <c r="J206" s="18"/>
      <c r="K206" s="18"/>
      <c r="L206" s="13">
        <f t="shared" si="0"/>
        <v>285000.26</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146406.38</v>
      </c>
      <c r="G208" s="18">
        <v>71805.38</v>
      </c>
      <c r="H208" s="18">
        <v>75762.009999999995</v>
      </c>
      <c r="I208" s="18">
        <v>128255.53</v>
      </c>
      <c r="J208" s="18">
        <v>105368.87</v>
      </c>
      <c r="K208" s="18"/>
      <c r="L208" s="13">
        <f t="shared" si="0"/>
        <v>527598.17000000004</v>
      </c>
      <c r="M208" s="8"/>
      <c r="N208" s="164"/>
    </row>
    <row r="209" spans="1:14" s="3" customFormat="1" ht="12.2" customHeight="1" x14ac:dyDescent="0.15">
      <c r="A209" s="1" t="s">
        <v>448</v>
      </c>
      <c r="B209" s="2" t="s">
        <v>341</v>
      </c>
      <c r="C209" s="2" t="s">
        <v>300</v>
      </c>
      <c r="D209" s="2" t="s">
        <v>431</v>
      </c>
      <c r="E209" s="6">
        <v>2700</v>
      </c>
      <c r="F209" s="18"/>
      <c r="G209" s="18"/>
      <c r="H209" s="18">
        <v>73036.89</v>
      </c>
      <c r="I209" s="18"/>
      <c r="J209" s="18"/>
      <c r="K209" s="18"/>
      <c r="L209" s="13">
        <f t="shared" si="0"/>
        <v>73036.89</v>
      </c>
      <c r="M209" s="8"/>
      <c r="N209" s="164"/>
    </row>
    <row r="210" spans="1:14" s="3" customFormat="1" ht="12.2" customHeight="1" x14ac:dyDescent="0.15">
      <c r="A210" s="1" t="s">
        <v>449</v>
      </c>
      <c r="B210" s="2" t="s">
        <v>341</v>
      </c>
      <c r="C210" s="2" t="s">
        <v>343</v>
      </c>
      <c r="D210" s="2" t="s">
        <v>431</v>
      </c>
      <c r="E210" s="6">
        <v>2800</v>
      </c>
      <c r="F210" s="18"/>
      <c r="G210" s="18">
        <v>6680</v>
      </c>
      <c r="H210" s="18"/>
      <c r="I210" s="18"/>
      <c r="J210" s="18"/>
      <c r="K210" s="18"/>
      <c r="L210" s="13">
        <f>SUM(F210:K210)</f>
        <v>6680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2024064.2600000002</v>
      </c>
      <c r="G212" s="38">
        <f t="shared" si="1"/>
        <v>1063339.44</v>
      </c>
      <c r="H212" s="38">
        <f t="shared" si="1"/>
        <v>656192.31000000006</v>
      </c>
      <c r="I212" s="38">
        <f t="shared" si="1"/>
        <v>226243.56</v>
      </c>
      <c r="J212" s="38">
        <f t="shared" si="1"/>
        <v>149646.9</v>
      </c>
      <c r="K212" s="38">
        <f t="shared" si="1"/>
        <v>5491.96</v>
      </c>
      <c r="L212" s="38">
        <f t="shared" si="1"/>
        <v>4124978.43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2024064.2600000002</v>
      </c>
      <c r="G258" s="38">
        <f t="shared" si="8"/>
        <v>1063339.44</v>
      </c>
      <c r="H258" s="38">
        <f t="shared" si="8"/>
        <v>656192.31000000006</v>
      </c>
      <c r="I258" s="38">
        <f t="shared" si="8"/>
        <v>226243.56</v>
      </c>
      <c r="J258" s="38">
        <f t="shared" si="8"/>
        <v>149646.9</v>
      </c>
      <c r="K258" s="38">
        <f t="shared" si="8"/>
        <v>5491.96</v>
      </c>
      <c r="L258" s="38">
        <f t="shared" si="8"/>
        <v>4124978.43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30000</v>
      </c>
      <c r="L264" s="13">
        <f>SUM(F264:K264)</f>
        <v>30000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30000</v>
      </c>
      <c r="L271" s="38">
        <f t="shared" si="9"/>
        <v>30000</v>
      </c>
      <c r="M271" s="8"/>
      <c r="N271" s="164"/>
    </row>
    <row r="272" spans="1:14" s="33" customFormat="1" ht="12.2" customHeight="1" thickTop="1" x14ac:dyDescent="0.2">
      <c r="A272" s="40" t="s">
        <v>464</v>
      </c>
      <c r="B272" s="37">
        <v>10</v>
      </c>
      <c r="C272" s="37">
        <v>18</v>
      </c>
      <c r="D272" s="36" t="s">
        <v>431</v>
      </c>
      <c r="E272" s="37"/>
      <c r="F272" s="39">
        <f t="shared" ref="F272:L272" si="11">F258+F271</f>
        <v>2024064.2600000002</v>
      </c>
      <c r="G272" s="39">
        <f t="shared" si="11"/>
        <v>1063339.44</v>
      </c>
      <c r="H272" s="39">
        <f t="shared" si="11"/>
        <v>656192.31000000006</v>
      </c>
      <c r="I272" s="39">
        <f t="shared" si="11"/>
        <v>226243.56</v>
      </c>
      <c r="J272" s="39">
        <f t="shared" si="11"/>
        <v>149646.9</v>
      </c>
      <c r="K272" s="39">
        <f t="shared" si="11"/>
        <v>35491.96</v>
      </c>
      <c r="L272" s="39">
        <f t="shared" si="11"/>
        <v>4154978.43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50312.05</v>
      </c>
      <c r="G277" s="18">
        <v>41688.85</v>
      </c>
      <c r="H277" s="18"/>
      <c r="I277" s="18">
        <v>8264.85</v>
      </c>
      <c r="J277" s="18">
        <v>599</v>
      </c>
      <c r="K277" s="18"/>
      <c r="L277" s="13">
        <f>SUM(F277:K277)</f>
        <v>100864.75</v>
      </c>
      <c r="M277" s="8"/>
      <c r="N277" s="164"/>
    </row>
    <row r="278" spans="1:14" s="3" customFormat="1" ht="12.2" customHeight="1" x14ac:dyDescent="0.15">
      <c r="A278" s="1" t="s">
        <v>439</v>
      </c>
      <c r="B278" s="2" t="s">
        <v>357</v>
      </c>
      <c r="C278" s="2" t="s">
        <v>291</v>
      </c>
      <c r="D278" s="2" t="s">
        <v>431</v>
      </c>
      <c r="E278" s="6">
        <v>1200</v>
      </c>
      <c r="F278" s="18">
        <v>14775</v>
      </c>
      <c r="G278" s="18">
        <v>2903.8</v>
      </c>
      <c r="H278" s="18">
        <v>32623.48</v>
      </c>
      <c r="I278" s="18"/>
      <c r="J278" s="18"/>
      <c r="K278" s="18"/>
      <c r="L278" s="13">
        <f>SUM(F278:K278)</f>
        <v>50302.28</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1570</v>
      </c>
      <c r="G280" s="18">
        <v>428.46</v>
      </c>
      <c r="H280" s="18">
        <v>613</v>
      </c>
      <c r="I280" s="18">
        <v>2813.54</v>
      </c>
      <c r="J280" s="18"/>
      <c r="K280" s="18">
        <v>250</v>
      </c>
      <c r="L280" s="13">
        <f>SUM(F280:K280)</f>
        <v>5675</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v>24819.37</v>
      </c>
      <c r="I282" s="18"/>
      <c r="J282" s="18"/>
      <c r="K282" s="18"/>
      <c r="L282" s="13">
        <f t="shared" ref="L282:L288" si="12">SUM(F282:K282)</f>
        <v>24819.37</v>
      </c>
      <c r="M282" s="8"/>
      <c r="N282" s="164"/>
    </row>
    <row r="283" spans="1:14" s="3" customFormat="1" ht="12.2" customHeight="1" x14ac:dyDescent="0.15">
      <c r="A283" s="1" t="s">
        <v>443</v>
      </c>
      <c r="B283" s="2" t="s">
        <v>357</v>
      </c>
      <c r="C283" s="2" t="s">
        <v>295</v>
      </c>
      <c r="D283" s="2" t="s">
        <v>431</v>
      </c>
      <c r="E283" s="6">
        <v>2200</v>
      </c>
      <c r="F283" s="18">
        <v>3500</v>
      </c>
      <c r="G283" s="18">
        <v>955.17</v>
      </c>
      <c r="H283" s="18"/>
      <c r="I283" s="18">
        <v>393</v>
      </c>
      <c r="J283" s="18">
        <v>3770</v>
      </c>
      <c r="K283" s="18"/>
      <c r="L283" s="13">
        <f t="shared" si="12"/>
        <v>8618.17</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v>6523.55</v>
      </c>
      <c r="L284" s="13">
        <f t="shared" si="12"/>
        <v>6523.55</v>
      </c>
      <c r="M284" s="8"/>
      <c r="N284" s="164"/>
    </row>
    <row r="285" spans="1:14" s="3" customFormat="1" ht="12.2" customHeight="1" x14ac:dyDescent="0.15">
      <c r="A285" s="1" t="s">
        <v>445</v>
      </c>
      <c r="B285" s="2" t="s">
        <v>357</v>
      </c>
      <c r="C285" s="2" t="s">
        <v>297</v>
      </c>
      <c r="D285" s="2" t="s">
        <v>431</v>
      </c>
      <c r="E285" s="6">
        <v>2400</v>
      </c>
      <c r="F285" s="18">
        <v>879.5</v>
      </c>
      <c r="G285" s="18">
        <v>7</v>
      </c>
      <c r="H285" s="18"/>
      <c r="I285" s="18"/>
      <c r="J285" s="18"/>
      <c r="K285" s="18"/>
      <c r="L285" s="13">
        <f t="shared" si="12"/>
        <v>886.5</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100811.46</v>
      </c>
      <c r="I287" s="18"/>
      <c r="J287" s="18"/>
      <c r="K287" s="18"/>
      <c r="L287" s="13">
        <f t="shared" si="12"/>
        <v>100811.46</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71036.55</v>
      </c>
      <c r="G291" s="39">
        <f t="shared" si="13"/>
        <v>45983.28</v>
      </c>
      <c r="H291" s="39">
        <f t="shared" si="13"/>
        <v>158867.31</v>
      </c>
      <c r="I291" s="39">
        <f t="shared" si="13"/>
        <v>11471.39</v>
      </c>
      <c r="J291" s="39">
        <f t="shared" si="13"/>
        <v>4369</v>
      </c>
      <c r="K291" s="39">
        <f t="shared" si="13"/>
        <v>6773.55</v>
      </c>
      <c r="L291" s="38">
        <f t="shared" si="13"/>
        <v>298501.08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211708.73</v>
      </c>
      <c r="I337" s="18"/>
      <c r="J337" s="18"/>
      <c r="K337" s="18"/>
      <c r="L337" s="13">
        <f t="shared" si="18"/>
        <v>211708.73</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211708.73</v>
      </c>
      <c r="I338" s="38">
        <f t="shared" si="19"/>
        <v>0</v>
      </c>
      <c r="J338" s="38">
        <f t="shared" si="19"/>
        <v>0</v>
      </c>
      <c r="K338" s="38">
        <f t="shared" si="19"/>
        <v>0</v>
      </c>
      <c r="L338" s="38">
        <f t="shared" si="18"/>
        <v>211708.73</v>
      </c>
      <c r="M338" s="8"/>
      <c r="N338" s="164"/>
    </row>
    <row r="339" spans="1:43" s="3" customFormat="1" ht="12.2" customHeight="1" thickTop="1" x14ac:dyDescent="0.15">
      <c r="A339" s="35" t="s">
        <v>468</v>
      </c>
      <c r="B339" s="37">
        <v>14</v>
      </c>
      <c r="C339" s="37">
        <v>7</v>
      </c>
      <c r="D339" s="36" t="s">
        <v>431</v>
      </c>
      <c r="E339" s="37"/>
      <c r="F339" s="38">
        <f t="shared" ref="F339:L339" si="20">F291+F310+F329+F338</f>
        <v>71036.55</v>
      </c>
      <c r="G339" s="38">
        <f t="shared" si="20"/>
        <v>45983.28</v>
      </c>
      <c r="H339" s="38">
        <f t="shared" si="20"/>
        <v>370576.04000000004</v>
      </c>
      <c r="I339" s="38">
        <f t="shared" si="20"/>
        <v>11471.39</v>
      </c>
      <c r="J339" s="38">
        <f t="shared" si="20"/>
        <v>4369</v>
      </c>
      <c r="K339" s="38">
        <f t="shared" si="20"/>
        <v>6773.55</v>
      </c>
      <c r="L339" s="38">
        <f t="shared" si="20"/>
        <v>510209.81000000006</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71036.55</v>
      </c>
      <c r="G353" s="38">
        <f>G339</f>
        <v>45983.28</v>
      </c>
      <c r="H353" s="38">
        <f>H339</f>
        <v>370576.04000000004</v>
      </c>
      <c r="I353" s="38">
        <f>I339</f>
        <v>11471.39</v>
      </c>
      <c r="J353" s="38">
        <f>J339</f>
        <v>4369</v>
      </c>
      <c r="K353" s="38">
        <f>K339+K352</f>
        <v>6773.55</v>
      </c>
      <c r="L353" s="38">
        <f>L339+L352</f>
        <v>510209.81000000006</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117907.38</v>
      </c>
      <c r="I359" s="18"/>
      <c r="J359" s="18">
        <v>7977.14</v>
      </c>
      <c r="K359" s="18"/>
      <c r="L359" s="13">
        <f>SUM(F359:K359)</f>
        <v>125884.52</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117907.38</v>
      </c>
      <c r="I363" s="38">
        <f t="shared" si="22"/>
        <v>0</v>
      </c>
      <c r="J363" s="38">
        <f t="shared" si="22"/>
        <v>7977.14</v>
      </c>
      <c r="K363" s="38">
        <f t="shared" si="22"/>
        <v>0</v>
      </c>
      <c r="L363" s="38">
        <f t="shared" si="22"/>
        <v>125884.52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2228.6</v>
      </c>
      <c r="I397" s="18"/>
      <c r="J397" s="23" t="s">
        <v>288</v>
      </c>
      <c r="K397" s="23" t="s">
        <v>288</v>
      </c>
      <c r="L397" s="13">
        <f t="shared" si="26"/>
        <v>2228.6</v>
      </c>
      <c r="M397" s="8"/>
      <c r="N397" s="164"/>
    </row>
    <row r="398" spans="1:14" s="3" customFormat="1" ht="12.2" customHeight="1" x14ac:dyDescent="0.15">
      <c r="A398" s="62" t="s">
        <v>515</v>
      </c>
      <c r="B398" s="2" t="s">
        <v>381</v>
      </c>
      <c r="C398" s="6">
        <v>10</v>
      </c>
      <c r="D398" s="2" t="s">
        <v>432</v>
      </c>
      <c r="E398" s="6"/>
      <c r="F398" s="18"/>
      <c r="G398" s="18"/>
      <c r="H398" s="18">
        <v>2660.38</v>
      </c>
      <c r="I398" s="18"/>
      <c r="J398" s="23" t="s">
        <v>288</v>
      </c>
      <c r="K398" s="23" t="s">
        <v>288</v>
      </c>
      <c r="L398" s="13">
        <f t="shared" si="26"/>
        <v>2660.38</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7.48</v>
      </c>
      <c r="I401" s="18"/>
      <c r="J401" s="23" t="s">
        <v>288</v>
      </c>
      <c r="K401" s="23" t="s">
        <v>288</v>
      </c>
      <c r="L401" s="13">
        <f t="shared" si="26"/>
        <v>7.48</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4896.4599999999991</v>
      </c>
      <c r="I402" s="38">
        <f>SUM(I396:I401)</f>
        <v>0</v>
      </c>
      <c r="J402" s="42" t="s">
        <v>288</v>
      </c>
      <c r="K402" s="42" t="s">
        <v>288</v>
      </c>
      <c r="L402" s="38">
        <f>SUM(L396:L401)</f>
        <v>4896.4599999999991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4896.4599999999991</v>
      </c>
      <c r="I409" s="38">
        <f>I394+I402+I408</f>
        <v>0</v>
      </c>
      <c r="J409" s="23" t="s">
        <v>288</v>
      </c>
      <c r="K409" s="23" t="s">
        <v>288</v>
      </c>
      <c r="L409" s="38">
        <f>L394+L402+L408</f>
        <v>4896.4599999999991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v>96077</v>
      </c>
      <c r="L424" s="13">
        <f t="shared" si="29"/>
        <v>96077</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96077</v>
      </c>
      <c r="L428" s="38">
        <f t="shared" si="30"/>
        <v>96077</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96077</v>
      </c>
      <c r="L435" s="38">
        <f t="shared" si="32"/>
        <v>96077</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343490.64</v>
      </c>
      <c r="H440" s="18"/>
      <c r="I440" s="13">
        <f t="shared" ref="I440:I446" si="33">SUM(F440:H440)</f>
        <v>343490.64</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343490.64</v>
      </c>
      <c r="H447" s="13">
        <f>SUM(H440:H446)</f>
        <v>0</v>
      </c>
      <c r="I447" s="13">
        <f>SUM(I440:I446)</f>
        <v>343490.64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343490.64</v>
      </c>
      <c r="H460" s="18"/>
      <c r="I460" s="13">
        <f t="shared" si="34"/>
        <v>343490.64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343490.64</v>
      </c>
      <c r="H461" s="65">
        <f>SUM(H455:H460)</f>
        <v>0</v>
      </c>
      <c r="I461" s="65">
        <f>SUM(I455:I460)</f>
        <v>343490.64</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343490.64</v>
      </c>
      <c r="H462" s="39">
        <f>H453+H461</f>
        <v>0</v>
      </c>
      <c r="I462" s="39">
        <f>I453+I461</f>
        <v>343490.64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thickBot="1" x14ac:dyDescent="0.25">
      <c r="A465" s="32"/>
      <c r="B465" s="22"/>
      <c r="C465" s="31"/>
      <c r="D465" s="31"/>
      <c r="E465" s="31"/>
      <c r="F465" s="66" t="s">
        <v>10</v>
      </c>
      <c r="G465" s="66" t="s">
        <v>11</v>
      </c>
      <c r="H465" s="66" t="s">
        <v>12</v>
      </c>
      <c r="I465" s="66" t="s">
        <v>13</v>
      </c>
      <c r="J465" s="66" t="s">
        <v>14</v>
      </c>
      <c r="N465" s="130"/>
    </row>
    <row r="466" spans="1:14" ht="12.2" customHeight="1" thickTop="1" x14ac:dyDescent="0.2">
      <c r="A466" s="137" t="s">
        <v>1784</v>
      </c>
      <c r="B466" s="22">
        <v>19</v>
      </c>
      <c r="C466" s="31">
        <v>1</v>
      </c>
      <c r="D466" s="2" t="s">
        <v>432</v>
      </c>
      <c r="E466" s="31"/>
      <c r="F466" s="318">
        <v>418415.78</v>
      </c>
      <c r="G466" s="318">
        <v>37013.47</v>
      </c>
      <c r="H466" s="318">
        <v>15490.4</v>
      </c>
      <c r="I466" s="318">
        <v>0</v>
      </c>
      <c r="J466" s="318">
        <v>434671.18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4058811.53</v>
      </c>
      <c r="G469" s="18">
        <v>126140.77</v>
      </c>
      <c r="H469" s="18">
        <v>508719.66</v>
      </c>
      <c r="I469" s="18"/>
      <c r="J469" s="18">
        <v>4896.46</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4058811.53</v>
      </c>
      <c r="G471" s="19">
        <f>SUM(G469:G470)</f>
        <v>126140.77</v>
      </c>
      <c r="H471" s="19">
        <f>SUM(H469:H470)</f>
        <v>508719.66</v>
      </c>
      <c r="I471" s="19">
        <f>SUM(I469:I470)</f>
        <v>0</v>
      </c>
      <c r="J471" s="19">
        <f>SUM(J469:J470)</f>
        <v>4896.46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4154978.43</v>
      </c>
      <c r="G473" s="18">
        <v>125884.52</v>
      </c>
      <c r="H473" s="18">
        <v>510209.81</v>
      </c>
      <c r="I473" s="18"/>
      <c r="J473" s="18">
        <v>96077</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4154978.43</v>
      </c>
      <c r="G475" s="19">
        <f>SUM(G473:G474)</f>
        <v>125884.52</v>
      </c>
      <c r="H475" s="19">
        <f>SUM(H473:H474)</f>
        <v>510209.81</v>
      </c>
      <c r="I475" s="19">
        <f>SUM(I473:I474)</f>
        <v>0</v>
      </c>
      <c r="J475" s="19">
        <f>SUM(J473:J474)</f>
        <v>96077</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322248.87999999942</v>
      </c>
      <c r="G477" s="19">
        <f>(G466+G471)- G475</f>
        <v>37269.719999999987</v>
      </c>
      <c r="H477" s="19">
        <f>(H466+H471)- H475</f>
        <v>14000.25</v>
      </c>
      <c r="I477" s="19">
        <f>(I466+I471)- I475</f>
        <v>0</v>
      </c>
      <c r="J477" s="19">
        <f>(J466+J471)- J475</f>
        <v>343490.64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288469.88</v>
      </c>
      <c r="G522" s="18">
        <v>134733.4</v>
      </c>
      <c r="H522" s="18">
        <v>200439.47</v>
      </c>
      <c r="I522" s="18">
        <v>1683.12</v>
      </c>
      <c r="J522" s="18"/>
      <c r="K522" s="18"/>
      <c r="L522" s="69">
        <f>SUM(F522:K522)</f>
        <v>625325.87</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288469.88</v>
      </c>
      <c r="G525" s="81">
        <f t="shared" ref="G525:L525" si="36">SUM(G522:G524)</f>
        <v>134733.4</v>
      </c>
      <c r="H525" s="81">
        <f t="shared" si="36"/>
        <v>200439.47</v>
      </c>
      <c r="I525" s="81">
        <f t="shared" si="36"/>
        <v>1683.12</v>
      </c>
      <c r="J525" s="81">
        <f t="shared" si="36"/>
        <v>0</v>
      </c>
      <c r="K525" s="81">
        <f t="shared" si="36"/>
        <v>0</v>
      </c>
      <c r="L525" s="70">
        <f t="shared" si="36"/>
        <v>625325.87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46327.85</v>
      </c>
      <c r="G527" s="18">
        <v>28929.58</v>
      </c>
      <c r="H527" s="18">
        <v>157616.24</v>
      </c>
      <c r="I527" s="18">
        <v>2264.67</v>
      </c>
      <c r="J527" s="18"/>
      <c r="K527" s="18">
        <v>107</v>
      </c>
      <c r="L527" s="69">
        <f>SUM(F527:K527)</f>
        <v>235245.34</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46327.85</v>
      </c>
      <c r="G530" s="70">
        <f t="shared" ref="G530:L530" si="37">SUM(G527:G529)</f>
        <v>28929.58</v>
      </c>
      <c r="H530" s="70">
        <f t="shared" si="37"/>
        <v>157616.24</v>
      </c>
      <c r="I530" s="70">
        <f t="shared" si="37"/>
        <v>2264.67</v>
      </c>
      <c r="J530" s="70">
        <f t="shared" si="37"/>
        <v>0</v>
      </c>
      <c r="K530" s="70">
        <f t="shared" si="37"/>
        <v>107</v>
      </c>
      <c r="L530" s="70">
        <f t="shared" si="37"/>
        <v>235245.34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v>20454.189999999999</v>
      </c>
      <c r="I532" s="18"/>
      <c r="J532" s="18"/>
      <c r="K532" s="18"/>
      <c r="L532" s="69">
        <f>SUM(F532:K532)</f>
        <v>20454.189999999999</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20454.189999999999</v>
      </c>
      <c r="I535" s="70">
        <f t="shared" si="38"/>
        <v>0</v>
      </c>
      <c r="J535" s="70">
        <f t="shared" si="38"/>
        <v>0</v>
      </c>
      <c r="K535" s="70">
        <f t="shared" si="38"/>
        <v>0</v>
      </c>
      <c r="L535" s="70">
        <f t="shared" si="38"/>
        <v>20454.189999999999</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56</v>
      </c>
      <c r="I537" s="18"/>
      <c r="J537" s="18"/>
      <c r="K537" s="18"/>
      <c r="L537" s="69">
        <f>SUM(F537:K537)</f>
        <v>56</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56</v>
      </c>
      <c r="I540" s="70">
        <f t="shared" si="39"/>
        <v>0</v>
      </c>
      <c r="J540" s="70">
        <f t="shared" si="39"/>
        <v>0</v>
      </c>
      <c r="K540" s="70">
        <f t="shared" si="39"/>
        <v>0</v>
      </c>
      <c r="L540" s="70">
        <f t="shared" si="39"/>
        <v>56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2943</v>
      </c>
      <c r="I542" s="18"/>
      <c r="J542" s="18"/>
      <c r="K542" s="18"/>
      <c r="L542" s="69">
        <f>SUM(F542:K542)</f>
        <v>2943</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2943</v>
      </c>
      <c r="I545" s="140">
        <f t="shared" si="40"/>
        <v>0</v>
      </c>
      <c r="J545" s="140">
        <f t="shared" si="40"/>
        <v>0</v>
      </c>
      <c r="K545" s="140">
        <f t="shared" si="40"/>
        <v>0</v>
      </c>
      <c r="L545" s="140">
        <f t="shared" si="40"/>
        <v>2943</v>
      </c>
      <c r="M545" s="8"/>
      <c r="N545" s="164"/>
    </row>
    <row r="546" spans="1:14" s="3" customFormat="1" ht="12.2" customHeight="1" thickTop="1" x14ac:dyDescent="0.15">
      <c r="A546" s="75" t="s">
        <v>72</v>
      </c>
      <c r="B546" s="41">
        <v>21</v>
      </c>
      <c r="C546" s="41">
        <v>21</v>
      </c>
      <c r="D546" s="115" t="s">
        <v>432</v>
      </c>
      <c r="E546" s="41"/>
      <c r="F546" s="70">
        <f>F525+F530+F535+F540+F545</f>
        <v>334797.73</v>
      </c>
      <c r="G546" s="70">
        <f t="shared" ref="G546:L546" si="41">G525+G530+G535+G540+G545</f>
        <v>163662.97999999998</v>
      </c>
      <c r="H546" s="70">
        <f t="shared" si="41"/>
        <v>381508.89999999997</v>
      </c>
      <c r="I546" s="70">
        <f t="shared" si="41"/>
        <v>3947.79</v>
      </c>
      <c r="J546" s="70">
        <f t="shared" si="41"/>
        <v>0</v>
      </c>
      <c r="K546" s="70">
        <f t="shared" si="41"/>
        <v>107</v>
      </c>
      <c r="L546" s="70">
        <f t="shared" si="41"/>
        <v>884024.39999999991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625325.87</v>
      </c>
      <c r="G550" s="69">
        <f>L527</f>
        <v>235245.34</v>
      </c>
      <c r="H550" s="69">
        <f>L532</f>
        <v>20454.189999999999</v>
      </c>
      <c r="I550" s="69">
        <f>L537</f>
        <v>56</v>
      </c>
      <c r="J550" s="69">
        <f>L542</f>
        <v>2943</v>
      </c>
      <c r="K550" s="69">
        <f>SUM(F550:J550)</f>
        <v>884024.39999999991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625325.87</v>
      </c>
      <c r="G553" s="70">
        <f t="shared" si="42"/>
        <v>235245.34</v>
      </c>
      <c r="H553" s="70">
        <f t="shared" si="42"/>
        <v>20454.189999999999</v>
      </c>
      <c r="I553" s="70">
        <f t="shared" si="42"/>
        <v>56</v>
      </c>
      <c r="J553" s="70">
        <f t="shared" si="42"/>
        <v>2943</v>
      </c>
      <c r="K553" s="70">
        <f t="shared" si="42"/>
        <v>884024.39999999991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v>50312.05</v>
      </c>
      <c r="G558" s="18">
        <v>41688.85</v>
      </c>
      <c r="H558" s="18"/>
      <c r="I558" s="18"/>
      <c r="J558" s="18"/>
      <c r="K558" s="18">
        <v>1655.96</v>
      </c>
      <c r="L558" s="69">
        <f>SUM(F558:K558)</f>
        <v>93656.86</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50312.05</v>
      </c>
      <c r="G561" s="81">
        <f t="shared" si="43"/>
        <v>41688.85</v>
      </c>
      <c r="H561" s="81">
        <f t="shared" si="43"/>
        <v>0</v>
      </c>
      <c r="I561" s="81">
        <f t="shared" si="43"/>
        <v>0</v>
      </c>
      <c r="J561" s="81">
        <f t="shared" si="43"/>
        <v>0</v>
      </c>
      <c r="K561" s="81">
        <f t="shared" si="43"/>
        <v>1655.96</v>
      </c>
      <c r="L561" s="70">
        <f t="shared" si="43"/>
        <v>93656.86</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v>33425.29</v>
      </c>
      <c r="I563" s="18"/>
      <c r="J563" s="18"/>
      <c r="K563" s="18"/>
      <c r="L563" s="69">
        <f>SUM(F563:K563)</f>
        <v>33425.29</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33425.29</v>
      </c>
      <c r="I566" s="70">
        <f t="shared" si="44"/>
        <v>0</v>
      </c>
      <c r="J566" s="70">
        <f t="shared" si="44"/>
        <v>0</v>
      </c>
      <c r="K566" s="70">
        <f t="shared" si="44"/>
        <v>0</v>
      </c>
      <c r="L566" s="70">
        <f t="shared" si="44"/>
        <v>33425.29</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50312.05</v>
      </c>
      <c r="G572" s="70">
        <f t="shared" ref="G572:L572" si="46">G561+G566+G571</f>
        <v>41688.85</v>
      </c>
      <c r="H572" s="70">
        <f t="shared" si="46"/>
        <v>33425.29</v>
      </c>
      <c r="I572" s="70">
        <f t="shared" si="46"/>
        <v>0</v>
      </c>
      <c r="J572" s="70">
        <f t="shared" si="46"/>
        <v>0</v>
      </c>
      <c r="K572" s="70">
        <f t="shared" si="46"/>
        <v>1655.96</v>
      </c>
      <c r="L572" s="70">
        <f t="shared" si="46"/>
        <v>127082.15</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70023.94</v>
      </c>
      <c r="G583" s="18"/>
      <c r="H583" s="18"/>
      <c r="I583" s="69">
        <f t="shared" si="47"/>
        <v>70023.94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70023.94</v>
      </c>
      <c r="G589" s="79">
        <f t="shared" ref="G589:I589" si="48">SUM(G576:G588)</f>
        <v>0</v>
      </c>
      <c r="H589" s="79">
        <f t="shared" si="48"/>
        <v>0</v>
      </c>
      <c r="I589" s="79">
        <f t="shared" si="48"/>
        <v>70023.94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58986.92</v>
      </c>
      <c r="I592" s="18"/>
      <c r="J592" s="18"/>
      <c r="K592" s="80">
        <f t="shared" ref="K592:K598" si="49">SUM(H592:J592)</f>
        <v>58986.92</v>
      </c>
      <c r="L592" s="23" t="s">
        <v>288</v>
      </c>
      <c r="M592" s="8"/>
      <c r="N592" s="164"/>
    </row>
    <row r="593" spans="1:14" s="3" customFormat="1" ht="12.2" customHeight="1" x14ac:dyDescent="0.15">
      <c r="A593" s="3" t="s">
        <v>638</v>
      </c>
      <c r="B593" s="22">
        <v>23</v>
      </c>
      <c r="C593" s="22">
        <v>2</v>
      </c>
      <c r="D593" s="2" t="s">
        <v>432</v>
      </c>
      <c r="E593" s="22"/>
      <c r="F593" s="78">
        <v>2722</v>
      </c>
      <c r="G593" s="79" t="s">
        <v>97</v>
      </c>
      <c r="H593" s="18">
        <v>2943</v>
      </c>
      <c r="I593" s="18"/>
      <c r="J593" s="18"/>
      <c r="K593" s="80">
        <f t="shared" si="49"/>
        <v>2943</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4504.83</v>
      </c>
      <c r="I595" s="18"/>
      <c r="J595" s="18"/>
      <c r="K595" s="80">
        <f t="shared" si="49"/>
        <v>4504.83</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2564.14</v>
      </c>
      <c r="I596" s="18"/>
      <c r="J596" s="18"/>
      <c r="K596" s="80">
        <f t="shared" si="49"/>
        <v>2564.14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4038</v>
      </c>
      <c r="I598" s="18"/>
      <c r="J598" s="18"/>
      <c r="K598" s="80">
        <f t="shared" si="49"/>
        <v>4038</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73036.89</v>
      </c>
      <c r="I599" s="81">
        <f>SUM(I592:I598)</f>
        <v>0</v>
      </c>
      <c r="J599" s="81">
        <f>SUM(J592:J598)</f>
        <v>0</v>
      </c>
      <c r="K599" s="81">
        <f>SUM(K592:K598)</f>
        <v>73036.89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154015.9</v>
      </c>
      <c r="I605" s="18"/>
      <c r="J605" s="18"/>
      <c r="K605" s="80">
        <f>SUM(H605:J605)</f>
        <v>154015.9</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154015.9</v>
      </c>
      <c r="I606" s="81">
        <f>SUM(I603:I605)</f>
        <v>0</v>
      </c>
      <c r="J606" s="81">
        <f>SUM(J603:J605)</f>
        <v>0</v>
      </c>
      <c r="K606" s="81">
        <f>SUM(K603:K605)</f>
        <v>154015.9</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10999.68</v>
      </c>
      <c r="G612" s="18">
        <v>2868.06</v>
      </c>
      <c r="H612" s="18">
        <v>1071.28</v>
      </c>
      <c r="I612" s="18">
        <v>188.68</v>
      </c>
      <c r="J612" s="18"/>
      <c r="K612" s="18"/>
      <c r="L612" s="69">
        <f>SUM(F612:K612)</f>
        <v>15127.7</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10999.68</v>
      </c>
      <c r="G615" s="81">
        <f t="shared" si="50"/>
        <v>2868.06</v>
      </c>
      <c r="H615" s="81">
        <f t="shared" si="50"/>
        <v>1071.28</v>
      </c>
      <c r="I615" s="81">
        <f t="shared" si="50"/>
        <v>188.68</v>
      </c>
      <c r="J615" s="81">
        <f t="shared" si="50"/>
        <v>0</v>
      </c>
      <c r="K615" s="81">
        <f t="shared" si="50"/>
        <v>0</v>
      </c>
      <c r="L615" s="70">
        <f t="shared" si="50"/>
        <v>15127.7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392430.66</v>
      </c>
      <c r="H618" s="80">
        <f>SUM(F52)</f>
        <v>392430.66000000003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248633.01</v>
      </c>
      <c r="H619" s="80">
        <f>SUM(G52)</f>
        <v>248633.01</v>
      </c>
      <c r="I619" s="87" t="s">
        <v>872</v>
      </c>
      <c r="J619" s="80">
        <f>G619-H619</f>
        <v>0</v>
      </c>
      <c r="K619" s="80"/>
      <c r="L619" s="80"/>
      <c r="M619" s="8"/>
    </row>
    <row r="620" spans="1:14" s="3" customFormat="1" ht="12.2" customHeight="1" x14ac:dyDescent="0.15">
      <c r="A620" s="74"/>
      <c r="B620" s="22"/>
      <c r="C620" s="22"/>
      <c r="D620" s="22"/>
      <c r="E620" s="22"/>
      <c r="F620" s="87" t="s">
        <v>685</v>
      </c>
      <c r="G620" s="80">
        <f>SUM(H19)</f>
        <v>85208.03</v>
      </c>
      <c r="H620" s="80">
        <f>SUM(H52)</f>
        <v>85208.03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343490.64</v>
      </c>
      <c r="H622" s="80">
        <f>SUM(J52)</f>
        <v>343490.64</v>
      </c>
      <c r="I622" s="87" t="s">
        <v>875</v>
      </c>
      <c r="J622" s="80">
        <f>G622-H622</f>
        <v>0</v>
      </c>
      <c r="K622" s="80"/>
      <c r="L622" s="80"/>
      <c r="M622" s="8"/>
    </row>
    <row r="623" spans="1:14" s="3" customFormat="1" ht="12.2" customHeight="1" x14ac:dyDescent="0.15">
      <c r="A623" s="74"/>
      <c r="B623" s="22"/>
      <c r="C623" s="22"/>
      <c r="D623" s="22"/>
      <c r="E623" s="22"/>
      <c r="F623" s="87" t="s">
        <v>861</v>
      </c>
      <c r="G623" s="80">
        <f>F51</f>
        <v>322248.88</v>
      </c>
      <c r="H623" s="80">
        <f>F477</f>
        <v>322248.87999999942</v>
      </c>
      <c r="I623" s="87" t="s">
        <v>101</v>
      </c>
      <c r="J623" s="80">
        <f t="shared" ref="J623:J656" si="51">G623-H623</f>
        <v>5.8207660913467407E-10</v>
      </c>
      <c r="K623" s="80"/>
      <c r="L623" s="80"/>
      <c r="M623" s="8"/>
    </row>
    <row r="624" spans="1:14" s="3" customFormat="1" ht="12.2" customHeight="1" x14ac:dyDescent="0.15">
      <c r="A624" s="74"/>
      <c r="B624" s="22"/>
      <c r="C624" s="85"/>
      <c r="D624" s="85"/>
      <c r="E624" s="85"/>
      <c r="F624" s="85" t="s">
        <v>862</v>
      </c>
      <c r="G624" s="80">
        <f>G51</f>
        <v>37269.72</v>
      </c>
      <c r="H624" s="80">
        <f>G477</f>
        <v>37269.719999999987</v>
      </c>
      <c r="I624" s="87" t="s">
        <v>102</v>
      </c>
      <c r="J624" s="80">
        <f t="shared" si="51"/>
        <v>0</v>
      </c>
      <c r="K624" s="80"/>
      <c r="L624" s="80"/>
      <c r="M624" s="8"/>
    </row>
    <row r="625" spans="1:13" s="3" customFormat="1" ht="12.2" customHeight="1" x14ac:dyDescent="0.15">
      <c r="A625" s="74"/>
      <c r="B625" s="22"/>
      <c r="C625" s="22"/>
      <c r="D625" s="22"/>
      <c r="E625" s="22"/>
      <c r="F625" s="86" t="s">
        <v>863</v>
      </c>
      <c r="G625" s="80">
        <f>H51</f>
        <v>14000.25</v>
      </c>
      <c r="H625" s="80">
        <f>H477</f>
        <v>14000.25</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343490.64</v>
      </c>
      <c r="H627" s="80">
        <f>J477</f>
        <v>343490.64</v>
      </c>
      <c r="I627" s="87" t="s">
        <v>105</v>
      </c>
      <c r="J627" s="80">
        <f t="shared" si="51"/>
        <v>0</v>
      </c>
      <c r="K627" s="67"/>
      <c r="L627" s="69"/>
      <c r="M627" s="8"/>
    </row>
    <row r="628" spans="1:13" s="3" customFormat="1" ht="12.2" customHeight="1" x14ac:dyDescent="0.15">
      <c r="A628" s="21"/>
      <c r="B628" s="22"/>
      <c r="C628" s="22"/>
      <c r="D628" s="22"/>
      <c r="E628" s="22"/>
      <c r="F628" s="86" t="s">
        <v>658</v>
      </c>
      <c r="G628" s="80">
        <f>F194</f>
        <v>4058811.53</v>
      </c>
      <c r="H628" s="80">
        <f>SUM(F469)</f>
        <v>4058811.53</v>
      </c>
      <c r="I628" s="87" t="s">
        <v>106</v>
      </c>
      <c r="J628" s="80">
        <f>G628-H628</f>
        <v>0</v>
      </c>
      <c r="K628" s="67"/>
      <c r="L628" s="69"/>
      <c r="M628" s="8"/>
    </row>
    <row r="629" spans="1:13" s="3" customFormat="1" ht="12.2" customHeight="1" x14ac:dyDescent="0.15">
      <c r="A629" s="21"/>
      <c r="B629" s="22"/>
      <c r="C629" s="22"/>
      <c r="D629" s="22"/>
      <c r="E629" s="22"/>
      <c r="F629" s="86" t="s">
        <v>659</v>
      </c>
      <c r="G629" s="80">
        <f>G194</f>
        <v>126140.76999999999</v>
      </c>
      <c r="H629" s="80">
        <f>SUM(G469)</f>
        <v>126140.77</v>
      </c>
      <c r="I629" s="87" t="s">
        <v>107</v>
      </c>
      <c r="J629" s="80">
        <f>G629-H629</f>
        <v>0</v>
      </c>
      <c r="K629" s="67"/>
      <c r="L629" s="69"/>
      <c r="M629" s="8"/>
    </row>
    <row r="630" spans="1:13" s="3" customFormat="1" ht="12.2" customHeight="1" x14ac:dyDescent="0.15">
      <c r="A630" s="21"/>
      <c r="B630" s="22"/>
      <c r="C630" s="22"/>
      <c r="D630" s="22"/>
      <c r="E630" s="22"/>
      <c r="F630" s="86" t="s">
        <v>660</v>
      </c>
      <c r="G630" s="80">
        <f>H194</f>
        <v>508719.66000000003</v>
      </c>
      <c r="H630" s="80">
        <f>SUM(H469)</f>
        <v>508719.66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4896.46</v>
      </c>
      <c r="H632" s="80">
        <f>SUM(J469)</f>
        <v>4896.46</v>
      </c>
      <c r="I632" s="87" t="s">
        <v>110</v>
      </c>
      <c r="J632" s="80">
        <f>G632-H632</f>
        <v>0</v>
      </c>
      <c r="K632" s="67"/>
      <c r="L632" s="69"/>
      <c r="M632" s="8"/>
    </row>
    <row r="633" spans="1:13" s="3" customFormat="1" ht="12.2" customHeight="1" x14ac:dyDescent="0.15">
      <c r="A633" s="21"/>
      <c r="B633" s="22"/>
      <c r="C633" s="22"/>
      <c r="D633" s="22"/>
      <c r="E633" s="22"/>
      <c r="F633" s="86" t="s">
        <v>394</v>
      </c>
      <c r="G633" s="80">
        <f>SUM(L272)</f>
        <v>4154978.43</v>
      </c>
      <c r="H633" s="80">
        <f>SUM(F473)</f>
        <v>4154978.43</v>
      </c>
      <c r="I633" s="87" t="s">
        <v>111</v>
      </c>
      <c r="J633" s="80">
        <f t="shared" si="51"/>
        <v>0</v>
      </c>
      <c r="K633" s="67"/>
      <c r="L633" s="69"/>
      <c r="M633" s="8"/>
    </row>
    <row r="634" spans="1:13" s="3" customFormat="1" ht="12.2" customHeight="1" x14ac:dyDescent="0.15">
      <c r="A634" s="21"/>
      <c r="B634" s="22"/>
      <c r="C634" s="22"/>
      <c r="D634" s="22"/>
      <c r="E634" s="22"/>
      <c r="F634" s="86" t="s">
        <v>395</v>
      </c>
      <c r="G634" s="80">
        <f>SUM(L353)</f>
        <v>510209.81000000006</v>
      </c>
      <c r="H634" s="80">
        <f>SUM(H473)</f>
        <v>510209.81</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125884.52</v>
      </c>
      <c r="H636" s="80">
        <f>SUM(G473)</f>
        <v>125884.52</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4896.4599999999991</v>
      </c>
      <c r="H638" s="108">
        <f>SUM(J469)</f>
        <v>4896.46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96077</v>
      </c>
      <c r="H639" s="108">
        <f>SUM(J473)</f>
        <v>96077</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343490.64</v>
      </c>
      <c r="H641" s="80">
        <f>SUM(G462)</f>
        <v>343490.64</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343490.64</v>
      </c>
      <c r="H643" s="80">
        <f>SUM(I462)</f>
        <v>343490.64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4896.46</v>
      </c>
      <c r="H645" s="80">
        <f>H409</f>
        <v>4896.4599999999991</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4896.46</v>
      </c>
      <c r="H647" s="80">
        <f>L409</f>
        <v>4896.4599999999991</v>
      </c>
      <c r="I647" s="87" t="s">
        <v>477</v>
      </c>
      <c r="J647" s="80">
        <f t="shared" si="51"/>
        <v>0</v>
      </c>
      <c r="K647" s="67"/>
      <c r="L647" s="69"/>
      <c r="M647" s="8"/>
    </row>
    <row r="648" spans="1:13" s="3" customFormat="1" ht="12.2" customHeight="1" x14ac:dyDescent="0.15">
      <c r="A648" s="21"/>
      <c r="B648" s="22"/>
      <c r="C648" s="22"/>
      <c r="D648" s="22"/>
      <c r="E648" s="22"/>
      <c r="F648" s="86" t="s">
        <v>51</v>
      </c>
      <c r="G648" s="80">
        <f>K599</f>
        <v>73036.89</v>
      </c>
      <c r="H648" s="80">
        <f>L209+L227+L245</f>
        <v>73036.89</v>
      </c>
      <c r="I648" s="87" t="s">
        <v>396</v>
      </c>
      <c r="J648" s="80">
        <f t="shared" si="51"/>
        <v>0</v>
      </c>
      <c r="K648" s="67"/>
      <c r="L648" s="69"/>
      <c r="M648" s="8"/>
    </row>
    <row r="649" spans="1:13" s="3" customFormat="1" ht="12.2" customHeight="1" x14ac:dyDescent="0.15">
      <c r="A649" s="21"/>
      <c r="B649" s="22"/>
      <c r="C649" s="22"/>
      <c r="D649" s="22"/>
      <c r="E649" s="22"/>
      <c r="F649" s="86" t="s">
        <v>52</v>
      </c>
      <c r="G649" s="80">
        <f>K606</f>
        <v>154015.9</v>
      </c>
      <c r="H649" s="80">
        <f>(J258+J339)-(J256+J337)</f>
        <v>154015.9</v>
      </c>
      <c r="I649" s="87" t="s">
        <v>699</v>
      </c>
      <c r="J649" s="80">
        <f t="shared" si="51"/>
        <v>0</v>
      </c>
      <c r="K649" s="67"/>
      <c r="L649" s="69"/>
      <c r="M649" s="8"/>
    </row>
    <row r="650" spans="1:13" s="3" customFormat="1" ht="12.2" customHeight="1" x14ac:dyDescent="0.15">
      <c r="A650" s="21"/>
      <c r="B650" s="22"/>
      <c r="C650" s="22"/>
      <c r="D650" s="22"/>
      <c r="E650" s="22"/>
      <c r="F650" s="86" t="s">
        <v>387</v>
      </c>
      <c r="G650" s="80">
        <f>L209</f>
        <v>73036.89</v>
      </c>
      <c r="H650" s="80">
        <f>H599</f>
        <v>73036.89</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30000</v>
      </c>
      <c r="H653" s="80">
        <f>K264+K346</f>
        <v>30000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4549364.0299999993</v>
      </c>
      <c r="G661" s="13">
        <f>(L230+L310+L360)</f>
        <v>0</v>
      </c>
      <c r="H661" s="13">
        <f>(L248+L329+L361)</f>
        <v>0</v>
      </c>
      <c r="I661" s="13">
        <f>SUM(F661:H661)</f>
        <v>4549364.0299999993</v>
      </c>
      <c r="J661" s="13"/>
      <c r="K661" s="13"/>
      <c r="L661" s="13"/>
      <c r="M661" s="9"/>
    </row>
    <row r="662" spans="1:13" s="3" customFormat="1" ht="12.2" customHeight="1" x14ac:dyDescent="0.2">
      <c r="A662" s="1" t="s">
        <v>127</v>
      </c>
      <c r="F662" s="13">
        <f>(L359/IF(SUM(L359:L361)=0,1,SUM(L359:L361))*(SUM(G97:G110)))</f>
        <v>31411.25</v>
      </c>
      <c r="G662" s="13">
        <f>(L360/IF(SUM(L359:L361)=0,1,SUM(L359:L361))*(SUM(G97:G110)))</f>
        <v>0</v>
      </c>
      <c r="H662" s="13">
        <f>(L361/IF(SUM(L359:L361)=0,1,SUM(L359:L361))*(SUM(G97:G110)))</f>
        <v>0</v>
      </c>
      <c r="I662" s="13">
        <f>SUM(F662:H662)</f>
        <v>31411.25</v>
      </c>
      <c r="J662"/>
      <c r="K662" s="13"/>
      <c r="L662" s="13"/>
      <c r="M662" s="8"/>
    </row>
    <row r="663" spans="1:13" s="3" customFormat="1" ht="12.2" customHeight="1" x14ac:dyDescent="0.2">
      <c r="A663" s="1" t="s">
        <v>128</v>
      </c>
      <c r="F663" s="13">
        <f>(L209+L288)-(J209+J288)</f>
        <v>73036.89</v>
      </c>
      <c r="G663" s="13">
        <f>(L227+L307)-(J227+J307)</f>
        <v>0</v>
      </c>
      <c r="H663" s="13">
        <f>(L245+L326)-(J245+J326)</f>
        <v>0</v>
      </c>
      <c r="I663" s="13">
        <f>SUM(F663:H663)</f>
        <v>73036.89</v>
      </c>
      <c r="J663"/>
      <c r="K663" s="13"/>
      <c r="L663" s="13"/>
      <c r="M663" s="9"/>
    </row>
    <row r="664" spans="1:13" s="3" customFormat="1" ht="12.2" customHeight="1" x14ac:dyDescent="0.15">
      <c r="A664" s="141" t="s">
        <v>129</v>
      </c>
      <c r="B664" s="124"/>
      <c r="C664" s="124"/>
      <c r="D664" s="124"/>
      <c r="E664" s="124"/>
      <c r="F664" s="142">
        <f>SUM(F576:F588)+SUM(H603:H605)+SUM(L612)</f>
        <v>239167.54</v>
      </c>
      <c r="G664" s="142">
        <f>SUM(G576:G588)+SUM(I603:I605)+L613</f>
        <v>0</v>
      </c>
      <c r="H664" s="142">
        <f>SUM(H576:H588)+SUM(J603:J605)+L614</f>
        <v>0</v>
      </c>
      <c r="I664" s="13">
        <f>SUM(F664:H664)</f>
        <v>239167.54</v>
      </c>
      <c r="J664" s="13"/>
      <c r="K664" s="13"/>
      <c r="L664" s="13"/>
      <c r="M664" s="9"/>
    </row>
    <row r="665" spans="1:13" s="3" customFormat="1" ht="12.2" customHeight="1" x14ac:dyDescent="0.15">
      <c r="A665" s="1" t="s">
        <v>130</v>
      </c>
      <c r="F665" s="13">
        <f>F661-SUM(F662:F664)</f>
        <v>4205748.3499999996</v>
      </c>
      <c r="G665" s="13">
        <f>G661-SUM(G662:G664)</f>
        <v>0</v>
      </c>
      <c r="H665" s="13">
        <f>H661-SUM(H662:H664)</f>
        <v>0</v>
      </c>
      <c r="I665" s="13">
        <f>I661-SUM(I662:I664)</f>
        <v>4205748.3499999996</v>
      </c>
      <c r="J665" s="13"/>
      <c r="K665" s="13"/>
      <c r="L665" s="13"/>
      <c r="M665" s="8"/>
    </row>
    <row r="666" spans="1:13" s="3" customFormat="1" ht="12.2" customHeight="1" x14ac:dyDescent="0.2">
      <c r="A666" s="1" t="s">
        <v>131</v>
      </c>
      <c r="F666" s="182">
        <v>149.44999999999999</v>
      </c>
      <c r="G666" s="183"/>
      <c r="H666" s="183"/>
      <c r="I666" s="13">
        <f>SUM(F666:H666)</f>
        <v>149.44999999999999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28141.51</v>
      </c>
      <c r="G668" s="13" t="e">
        <f>ROUND(G665/G666,2)</f>
        <v>#DIV/0!</v>
      </c>
      <c r="H668" s="13" t="e">
        <f>ROUND(H665/H666,2)</f>
        <v>#DIV/0!</v>
      </c>
      <c r="I668" s="13">
        <f>ROUND(I665/I666,2)</f>
        <v>28141.51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28141.51</v>
      </c>
      <c r="G673" s="13" t="e">
        <f>ROUND((G665+G670)/(G666+G671),2)</f>
        <v>#DIV/0!</v>
      </c>
      <c r="H673" s="13" t="e">
        <f>ROUND((H665+H670)/(H666+H671),2)</f>
        <v>#DIV/0!</v>
      </c>
      <c r="I673" s="13">
        <f>ROUND((I665+I670)/(I666+I671),2)</f>
        <v>28141.51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E23" sqref="E23"/>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9" t="s">
        <v>1611</v>
      </c>
      <c r="D2" s="319"/>
      <c r="E2" s="319"/>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4535.3599999999997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4535.3599999999997</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4233.7700000000004</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0" t="s">
        <v>1547</v>
      </c>
      <c r="B1" s="320"/>
      <c r="C1" s="320"/>
      <c r="D1" s="320"/>
      <c r="E1" s="320"/>
      <c r="F1" s="320"/>
      <c r="G1" s="320"/>
      <c r="H1" s="320"/>
    </row>
    <row r="2" spans="1:9" ht="15" x14ac:dyDescent="0.2">
      <c r="A2" s="320" t="s">
        <v>1787</v>
      </c>
      <c r="B2" s="320"/>
      <c r="C2" s="320"/>
      <c r="D2" s="320"/>
      <c r="E2" s="320"/>
      <c r="F2" s="320"/>
      <c r="G2" s="320"/>
      <c r="H2" s="320"/>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1" t="str">
        <f>'DOE25'!A2</f>
        <v>Ashland</v>
      </c>
      <c r="C5" s="322"/>
      <c r="D5" s="322"/>
      <c r="E5" s="322"/>
      <c r="F5" s="322"/>
    </row>
    <row r="8" spans="1:9" ht="18" x14ac:dyDescent="0.25">
      <c r="A8" s="239" t="s">
        <v>1548</v>
      </c>
      <c r="F8" s="246" t="s">
        <v>1566</v>
      </c>
    </row>
    <row r="9" spans="1:9" ht="15" x14ac:dyDescent="0.2">
      <c r="A9" s="237" t="s">
        <v>1549</v>
      </c>
      <c r="B9" s="240">
        <f>'DOE25'!G97</f>
        <v>31411.25</v>
      </c>
      <c r="F9" s="237" t="s">
        <v>1562</v>
      </c>
    </row>
    <row r="10" spans="1:9" ht="15" x14ac:dyDescent="0.2">
      <c r="A10" s="237" t="s">
        <v>1550</v>
      </c>
      <c r="B10" s="240">
        <f>'DOE25'!G112-'DOE25'!G97</f>
        <v>0</v>
      </c>
      <c r="F10" s="237" t="s">
        <v>1563</v>
      </c>
    </row>
    <row r="11" spans="1:9" ht="15" x14ac:dyDescent="0.2">
      <c r="A11" s="237" t="s">
        <v>1551</v>
      </c>
      <c r="B11" s="240">
        <f>'DOE25'!G140</f>
        <v>1445.52</v>
      </c>
      <c r="F11" s="237" t="s">
        <v>1564</v>
      </c>
    </row>
    <row r="12" spans="1:9" ht="15" x14ac:dyDescent="0.2">
      <c r="A12" s="237" t="s">
        <v>1552</v>
      </c>
      <c r="B12" s="240">
        <f>'DOE25'!G170</f>
        <v>63284</v>
      </c>
      <c r="F12" s="237" t="s">
        <v>1565</v>
      </c>
    </row>
    <row r="13" spans="1:9" ht="15" x14ac:dyDescent="0.2">
      <c r="A13" s="237" t="s">
        <v>1553</v>
      </c>
      <c r="B13" s="240">
        <f>'DOE25'!G193-'DOE25'!G180</f>
        <v>0</v>
      </c>
      <c r="F13" s="237" t="s">
        <v>1575</v>
      </c>
    </row>
    <row r="14" spans="1:9" ht="18" x14ac:dyDescent="0.25">
      <c r="A14" s="239" t="s">
        <v>732</v>
      </c>
      <c r="B14" s="241">
        <f>SUM(B9:B13)</f>
        <v>96140.76999999999</v>
      </c>
    </row>
    <row r="16" spans="1:9" ht="18" x14ac:dyDescent="0.25">
      <c r="A16" s="239" t="s">
        <v>783</v>
      </c>
      <c r="F16" s="246" t="s">
        <v>1567</v>
      </c>
    </row>
    <row r="17" spans="1:6" ht="15" x14ac:dyDescent="0.2">
      <c r="A17" s="237" t="s">
        <v>1554</v>
      </c>
      <c r="B17" s="240">
        <f>'DOE25'!L363-'DOE25'!L362</f>
        <v>125884.52</v>
      </c>
      <c r="F17" s="237" t="s">
        <v>1568</v>
      </c>
    </row>
    <row r="18" spans="1:6" ht="15" x14ac:dyDescent="0.2">
      <c r="A18" s="237" t="s">
        <v>1555</v>
      </c>
      <c r="B18" s="250"/>
      <c r="F18" s="246" t="s">
        <v>1592</v>
      </c>
    </row>
    <row r="19" spans="1:6" ht="18" x14ac:dyDescent="0.25">
      <c r="A19" s="239" t="s">
        <v>725</v>
      </c>
      <c r="B19" s="241">
        <f>SUM(B17:B18)</f>
        <v>125884.52</v>
      </c>
    </row>
    <row r="21" spans="1:6" ht="18.75" thickBot="1" x14ac:dyDescent="0.3">
      <c r="A21" s="239" t="s">
        <v>1556</v>
      </c>
    </row>
    <row r="22" spans="1:6" ht="18.75" thickTop="1" x14ac:dyDescent="0.25">
      <c r="A22" s="239" t="s">
        <v>1557</v>
      </c>
      <c r="B22" s="245">
        <f>B14-B19</f>
        <v>-29743.750000000015</v>
      </c>
      <c r="F22" s="237" t="s">
        <v>1569</v>
      </c>
    </row>
    <row r="26" spans="1:6" ht="18" x14ac:dyDescent="0.25">
      <c r="A26" s="239" t="s">
        <v>186</v>
      </c>
    </row>
    <row r="27" spans="1:6" ht="15" x14ac:dyDescent="0.2">
      <c r="A27" s="237" t="s">
        <v>1558</v>
      </c>
      <c r="B27" s="240">
        <f>'DOE25'!G180</f>
        <v>30000</v>
      </c>
      <c r="F27" s="237" t="s">
        <v>1570</v>
      </c>
    </row>
    <row r="28" spans="1:6" ht="15" x14ac:dyDescent="0.2">
      <c r="A28" s="237" t="s">
        <v>1560</v>
      </c>
      <c r="B28" s="240">
        <f>'DOE25'!L362</f>
        <v>0</v>
      </c>
      <c r="F28" s="237" t="s">
        <v>1571</v>
      </c>
    </row>
    <row r="31" spans="1:6" ht="15" x14ac:dyDescent="0.2">
      <c r="A31" s="237" t="s">
        <v>1789</v>
      </c>
      <c r="B31" s="240">
        <f>'DOE25'!G466</f>
        <v>37013.47</v>
      </c>
      <c r="F31" s="237" t="s">
        <v>1572</v>
      </c>
    </row>
    <row r="33" spans="1:6" ht="15" x14ac:dyDescent="0.2">
      <c r="A33" s="237" t="s">
        <v>1790</v>
      </c>
      <c r="B33" s="240">
        <f>'DOE25'!G477</f>
        <v>37269.719999999987</v>
      </c>
      <c r="F33" s="237" t="s">
        <v>1573</v>
      </c>
    </row>
    <row r="36" spans="1:6" ht="15" x14ac:dyDescent="0.2">
      <c r="A36" s="237" t="s">
        <v>1559</v>
      </c>
      <c r="B36" s="251">
        <v>6461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9" sqref="E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Ashland</v>
      </c>
      <c r="C1" s="174" t="s">
        <v>820</v>
      </c>
    </row>
    <row r="2" spans="1:3" x14ac:dyDescent="0.2">
      <c r="A2" s="170"/>
      <c r="B2" s="169"/>
    </row>
    <row r="3" spans="1:3" x14ac:dyDescent="0.2">
      <c r="A3" s="319" t="s">
        <v>777</v>
      </c>
      <c r="B3" s="319"/>
      <c r="C3" s="319"/>
    </row>
    <row r="4" spans="1:3" x14ac:dyDescent="0.2">
      <c r="A4" s="173"/>
      <c r="B4" s="24" t="str">
        <f>'DOE25'!H1</f>
        <v>DOE 25  2023-2024</v>
      </c>
      <c r="C4" s="173"/>
    </row>
    <row r="5" spans="1:3" x14ac:dyDescent="0.2">
      <c r="A5" s="170"/>
      <c r="B5" s="169"/>
    </row>
    <row r="6" spans="1:3" x14ac:dyDescent="0.2">
      <c r="A6" s="164"/>
      <c r="B6" s="325" t="s">
        <v>776</v>
      </c>
      <c r="C6" s="325"/>
    </row>
    <row r="7" spans="1:3" x14ac:dyDescent="0.2">
      <c r="A7" s="175" t="s">
        <v>779</v>
      </c>
      <c r="B7" s="323" t="s">
        <v>775</v>
      </c>
      <c r="C7" s="324"/>
    </row>
    <row r="8" spans="1:3" x14ac:dyDescent="0.2">
      <c r="B8" s="165" t="s">
        <v>54</v>
      </c>
      <c r="C8" s="165" t="s">
        <v>769</v>
      </c>
    </row>
    <row r="9" spans="1:3" x14ac:dyDescent="0.2">
      <c r="A9" s="32" t="s">
        <v>770</v>
      </c>
      <c r="B9" s="166">
        <f>'DOE25'!F198+'DOE25'!F216+'DOE25'!F234+'DOE25'!F277+'DOE25'!F296+'DOE25'!F315</f>
        <v>1164357.9100000001</v>
      </c>
      <c r="C9" s="166">
        <f>'DOE25'!G198+'DOE25'!G216+'DOE25'!G234+'DOE25'!G277+'DOE25'!G296+'DOE25'!G315</f>
        <v>649407.94999999995</v>
      </c>
    </row>
    <row r="10" spans="1:3" x14ac:dyDescent="0.2">
      <c r="A10" t="s">
        <v>772</v>
      </c>
      <c r="B10" s="176">
        <v>1085325.05</v>
      </c>
      <c r="C10" s="176">
        <v>609113.69999999995</v>
      </c>
    </row>
    <row r="11" spans="1:3" x14ac:dyDescent="0.2">
      <c r="A11" t="s">
        <v>773</v>
      </c>
      <c r="B11" s="176">
        <v>69633.16</v>
      </c>
      <c r="C11" s="176">
        <v>39575.17</v>
      </c>
    </row>
    <row r="12" spans="1:3" x14ac:dyDescent="0.2">
      <c r="A12" t="s">
        <v>774</v>
      </c>
      <c r="B12" s="176">
        <v>9399.7000000000007</v>
      </c>
      <c r="C12" s="176">
        <v>719.08</v>
      </c>
    </row>
    <row r="13" spans="1:3" x14ac:dyDescent="0.2">
      <c r="A13" t="str">
        <f>IF(B9=B13,IF(C9=C13,"Check Total OK","Check Total Error"),"Check Total Error")</f>
        <v>Check Total OK</v>
      </c>
      <c r="B13" s="168">
        <f>SUM(B10:B12)</f>
        <v>1164357.9099999999</v>
      </c>
      <c r="C13" s="168">
        <f>SUM(C10:C12)</f>
        <v>649407.94999999995</v>
      </c>
    </row>
    <row r="14" spans="1:3" x14ac:dyDescent="0.2">
      <c r="B14" s="167"/>
      <c r="C14" s="167"/>
    </row>
    <row r="15" spans="1:3" x14ac:dyDescent="0.2">
      <c r="B15" s="325" t="s">
        <v>776</v>
      </c>
      <c r="C15" s="325"/>
    </row>
    <row r="16" spans="1:3" x14ac:dyDescent="0.2">
      <c r="A16" s="175" t="s">
        <v>780</v>
      </c>
      <c r="B16" s="323" t="s">
        <v>703</v>
      </c>
      <c r="C16" s="324"/>
    </row>
    <row r="17" spans="1:3" x14ac:dyDescent="0.2">
      <c r="B17" s="165" t="s">
        <v>54</v>
      </c>
      <c r="C17" s="165" t="s">
        <v>769</v>
      </c>
    </row>
    <row r="18" spans="1:3" x14ac:dyDescent="0.2">
      <c r="A18" s="32" t="s">
        <v>770</v>
      </c>
      <c r="B18" s="166">
        <f>'DOE25'!F199+'DOE25'!F217+'DOE25'!F235+'DOE25'!F278+'DOE25'!F297+'DOE25'!F316</f>
        <v>288469.88</v>
      </c>
      <c r="C18" s="166">
        <f>'DOE25'!G199+'DOE25'!G217+'DOE25'!G235+'DOE25'!G278+'DOE25'!G297+'DOE25'!G316</f>
        <v>134733.4</v>
      </c>
    </row>
    <row r="19" spans="1:3" x14ac:dyDescent="0.2">
      <c r="A19" t="s">
        <v>772</v>
      </c>
      <c r="B19" s="176">
        <v>149765.4</v>
      </c>
      <c r="C19" s="176">
        <v>100805.09</v>
      </c>
    </row>
    <row r="20" spans="1:3" x14ac:dyDescent="0.2">
      <c r="A20" t="s">
        <v>773</v>
      </c>
      <c r="B20" s="176">
        <v>138704.48000000001</v>
      </c>
      <c r="C20" s="176">
        <v>33928.31</v>
      </c>
    </row>
    <row r="21" spans="1:3" x14ac:dyDescent="0.2">
      <c r="A21" t="s">
        <v>774</v>
      </c>
      <c r="B21" s="176"/>
      <c r="C21" s="176"/>
    </row>
    <row r="22" spans="1:3" x14ac:dyDescent="0.2">
      <c r="A22" t="str">
        <f>IF(B18=B22,IF(C18=C22,"Check Total OK","Check Total Error"),"Check Total Error")</f>
        <v>Check Total OK</v>
      </c>
      <c r="B22" s="168">
        <f>SUM(B19:B21)</f>
        <v>288469.88</v>
      </c>
      <c r="C22" s="168">
        <f>SUM(C19:C21)</f>
        <v>134733.4</v>
      </c>
    </row>
    <row r="23" spans="1:3" x14ac:dyDescent="0.2">
      <c r="B23" s="167"/>
      <c r="C23" s="167"/>
    </row>
    <row r="24" spans="1:3" x14ac:dyDescent="0.2">
      <c r="B24" s="325" t="s">
        <v>776</v>
      </c>
      <c r="C24" s="325"/>
    </row>
    <row r="25" spans="1:3" x14ac:dyDescent="0.2">
      <c r="A25" s="175" t="s">
        <v>781</v>
      </c>
      <c r="B25" s="323" t="s">
        <v>704</v>
      </c>
      <c r="C25" s="324"/>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5" t="s">
        <v>776</v>
      </c>
      <c r="C33" s="325"/>
    </row>
    <row r="34" spans="1:3" x14ac:dyDescent="0.2">
      <c r="A34" s="175" t="s">
        <v>782</v>
      </c>
      <c r="B34" s="323" t="s">
        <v>705</v>
      </c>
      <c r="C34" s="324"/>
    </row>
    <row r="35" spans="1:3" x14ac:dyDescent="0.2">
      <c r="B35" s="165" t="s">
        <v>54</v>
      </c>
      <c r="C35" s="165" t="s">
        <v>769</v>
      </c>
    </row>
    <row r="36" spans="1:3" x14ac:dyDescent="0.2">
      <c r="A36" s="32" t="s">
        <v>770</v>
      </c>
      <c r="B36" s="172">
        <f>'DOE25'!F201+'DOE25'!F219+'DOE25'!F237+'DOE25'!F280+'DOE25'!F299+'DOE25'!F318</f>
        <v>33450</v>
      </c>
      <c r="C36" s="172">
        <f>'DOE25'!G201+'DOE25'!G219+'DOE25'!G237+'DOE25'!G280+'DOE25'!G299+'DOE25'!G318</f>
        <v>8926.89</v>
      </c>
    </row>
    <row r="37" spans="1:3" x14ac:dyDescent="0.2">
      <c r="A37" t="s">
        <v>772</v>
      </c>
      <c r="B37" s="176"/>
      <c r="C37" s="176"/>
    </row>
    <row r="38" spans="1:3" x14ac:dyDescent="0.2">
      <c r="A38" t="s">
        <v>773</v>
      </c>
      <c r="B38" s="176"/>
      <c r="C38" s="176"/>
    </row>
    <row r="39" spans="1:3" x14ac:dyDescent="0.2">
      <c r="A39" t="s">
        <v>774</v>
      </c>
      <c r="B39" s="176">
        <v>33450</v>
      </c>
      <c r="C39" s="176">
        <v>8926.89</v>
      </c>
    </row>
    <row r="40" spans="1:3" x14ac:dyDescent="0.2">
      <c r="A40" t="str">
        <f>IF(B36=B40,IF(C36=C40,"Check Total OK","Check Total Error"),"Check Total Error")</f>
        <v>Check Total OK</v>
      </c>
      <c r="B40" s="168">
        <f>SUM(B37:B39)</f>
        <v>33450</v>
      </c>
      <c r="C40" s="168">
        <f>SUM(C37:C39)</f>
        <v>8926.89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G24" sqref="G2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5" t="s">
        <v>886</v>
      </c>
      <c r="B1" s="328"/>
      <c r="C1" s="328"/>
      <c r="D1" s="328"/>
      <c r="E1" s="328"/>
      <c r="F1" s="328"/>
      <c r="G1" s="328"/>
      <c r="H1" s="328"/>
      <c r="I1" s="130"/>
    </row>
    <row r="2" spans="1:9" x14ac:dyDescent="0.2">
      <c r="A2" s="32" t="s">
        <v>713</v>
      </c>
      <c r="B2" s="195" t="str">
        <f>'DOE25'!A2</f>
        <v>Ashland</v>
      </c>
      <c r="C2" s="207"/>
      <c r="D2" s="130" t="s">
        <v>784</v>
      </c>
      <c r="E2" s="130" t="s">
        <v>786</v>
      </c>
      <c r="F2" s="326" t="s">
        <v>885</v>
      </c>
      <c r="G2" s="327"/>
      <c r="H2" s="327"/>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2390271.83</v>
      </c>
      <c r="D5" s="19">
        <f>SUM('DOE25'!L198:L201)+SUM('DOE25'!L216:L219)+SUM('DOE25'!L234:L237)-F5-G5-H5</f>
        <v>2383197.89</v>
      </c>
      <c r="E5" s="179"/>
      <c r="F5" s="180"/>
      <c r="G5" s="19">
        <f>SUM('DOE25'!J198:J201)+SUM('DOE25'!J216:J219)+SUM('DOE25'!J234:J237)</f>
        <v>6418.6900000000005</v>
      </c>
      <c r="H5" s="19">
        <f>SUM('DOE25'!K198:K201)+SUM('DOE25'!K216:K219)+SUM('DOE25'!K234:K237)</f>
        <v>655.25</v>
      </c>
      <c r="I5" s="191"/>
    </row>
    <row r="6" spans="1:9" x14ac:dyDescent="0.2">
      <c r="A6" s="31">
        <v>2100</v>
      </c>
      <c r="B6" t="s">
        <v>793</v>
      </c>
      <c r="C6" s="205">
        <f t="shared" si="0"/>
        <v>398903.53</v>
      </c>
      <c r="D6" s="19">
        <f>'DOE25'!L203+'DOE25'!L221+'DOE25'!L239-F6-G6-H6</f>
        <v>345223.31000000006</v>
      </c>
      <c r="E6" s="179"/>
      <c r="F6" s="180">
        <v>53145.22</v>
      </c>
      <c r="G6" s="19">
        <f>'DOE25'!J203+'DOE25'!J221+'DOE25'!J239</f>
        <v>0</v>
      </c>
      <c r="H6" s="19">
        <f>'DOE25'!K203+'DOE25'!K221+'DOE25'!K239</f>
        <v>535</v>
      </c>
      <c r="I6" s="191"/>
    </row>
    <row r="7" spans="1:9" x14ac:dyDescent="0.2">
      <c r="A7" s="31">
        <v>2200</v>
      </c>
      <c r="B7" t="s">
        <v>817</v>
      </c>
      <c r="C7" s="205">
        <f t="shared" si="0"/>
        <v>271318.11</v>
      </c>
      <c r="D7" s="19">
        <f>'DOE25'!L204+'DOE25'!L222+'DOE25'!L240-F7-G7-H7</f>
        <v>233206.77</v>
      </c>
      <c r="E7" s="179"/>
      <c r="F7" s="180"/>
      <c r="G7" s="19">
        <f>'DOE25'!J204+'DOE25'!J222+'DOE25'!J240</f>
        <v>37859.339999999997</v>
      </c>
      <c r="H7" s="19">
        <f>'DOE25'!K204+'DOE25'!K222+'DOE25'!K240</f>
        <v>252</v>
      </c>
      <c r="I7" s="191"/>
    </row>
    <row r="8" spans="1:9" x14ac:dyDescent="0.2">
      <c r="A8" s="31">
        <v>2300</v>
      </c>
      <c r="B8" t="s">
        <v>794</v>
      </c>
      <c r="C8" s="205">
        <f t="shared" si="0"/>
        <v>159359.57999999999</v>
      </c>
      <c r="D8" s="179"/>
      <c r="E8" s="19">
        <f>'DOE25'!L205+'DOE25'!L223+'DOE25'!L241-F8-G8-H8-D9-D11</f>
        <v>155309.87</v>
      </c>
      <c r="F8" s="180"/>
      <c r="G8" s="19">
        <f>'DOE25'!J205+'DOE25'!J223+'DOE25'!J241</f>
        <v>0</v>
      </c>
      <c r="H8" s="19">
        <f>'DOE25'!K205+'DOE25'!K223+'DOE25'!K241</f>
        <v>4049.71</v>
      </c>
      <c r="I8" s="191"/>
    </row>
    <row r="9" spans="1:9" ht="14.25" x14ac:dyDescent="0.2">
      <c r="A9" s="31">
        <v>2310</v>
      </c>
      <c r="B9" s="71" t="s">
        <v>884</v>
      </c>
      <c r="C9" s="205">
        <f t="shared" si="0"/>
        <v>12810.06</v>
      </c>
      <c r="D9" s="180">
        <v>12810.06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v>0</v>
      </c>
      <c r="E11" s="179"/>
      <c r="F11" s="179"/>
      <c r="G11" s="179"/>
      <c r="H11" s="179"/>
      <c r="I11" s="191"/>
    </row>
    <row r="12" spans="1:9" x14ac:dyDescent="0.2">
      <c r="A12" s="31">
        <v>2400</v>
      </c>
      <c r="B12" t="s">
        <v>711</v>
      </c>
      <c r="C12" s="205">
        <f t="shared" si="0"/>
        <v>285000.26</v>
      </c>
      <c r="D12" s="19">
        <f>'DOE25'!L206+'DOE25'!L224+'DOE25'!L242-F12-G12-H12</f>
        <v>285000.26</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527598.17000000004</v>
      </c>
      <c r="D14" s="19">
        <f>'DOE25'!L208+'DOE25'!L226+'DOE25'!L244-F14-G14-H14</f>
        <v>422229.30000000005</v>
      </c>
      <c r="E14" s="179"/>
      <c r="F14" s="180"/>
      <c r="G14" s="19">
        <f>'DOE25'!J208+'DOE25'!J226+'DOE25'!J244</f>
        <v>105368.87</v>
      </c>
      <c r="H14" s="19">
        <f>'DOE25'!K208+'DOE25'!K226+'DOE25'!K244</f>
        <v>0</v>
      </c>
      <c r="I14" s="191"/>
    </row>
    <row r="15" spans="1:9" x14ac:dyDescent="0.2">
      <c r="A15" s="31">
        <v>2700</v>
      </c>
      <c r="B15" t="s">
        <v>796</v>
      </c>
      <c r="C15" s="205">
        <f t="shared" si="0"/>
        <v>73036.89</v>
      </c>
      <c r="D15" s="19">
        <f>'DOE25'!L209+'DOE25'!L227+'DOE25'!L245-F15-G15-H15</f>
        <v>39049.97</v>
      </c>
      <c r="E15" s="179"/>
      <c r="F15" s="180">
        <v>33986.92</v>
      </c>
      <c r="G15" s="19">
        <f>'DOE25'!J209+'DOE25'!J227+'DOE25'!J245</f>
        <v>0</v>
      </c>
      <c r="H15" s="19">
        <f>'DOE25'!K209+'DOE25'!K227+'DOE25'!K245</f>
        <v>0</v>
      </c>
      <c r="I15" s="191"/>
    </row>
    <row r="16" spans="1:9" x14ac:dyDescent="0.2">
      <c r="A16" s="31">
        <v>2800</v>
      </c>
      <c r="B16" t="s">
        <v>797</v>
      </c>
      <c r="C16" s="205">
        <f t="shared" si="0"/>
        <v>6680</v>
      </c>
      <c r="D16" s="179"/>
      <c r="E16" s="19">
        <f>'DOE25'!L210+'DOE25'!L228+'DOE25'!L246-F16-G16-H16</f>
        <v>6680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211708.73</v>
      </c>
      <c r="D22" s="179"/>
      <c r="E22" s="179"/>
      <c r="F22" s="179"/>
      <c r="G22" s="19">
        <f>'DOE25'!L256+'DOE25'!L337</f>
        <v>211708.73</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91074.63</v>
      </c>
      <c r="D29" s="211">
        <f>'DOE25'!L359+'DOE25'!L360+'DOE25'!L361-'DOE25'!I368-F29-G29-H29-F39</f>
        <v>83097.490000000005</v>
      </c>
      <c r="E29" s="179"/>
      <c r="F29" s="179"/>
      <c r="G29" s="19">
        <f>'DOE25'!J359+'DOE25'!J360+'DOE25'!J361</f>
        <v>7977.14</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298501.08</v>
      </c>
      <c r="D31" s="19">
        <f>'DOE25'!L291+'DOE25'!L310+'DOE25'!L329+'DOE25'!L334+'DOE25'!L335+'DOE25'!L336-F31-G31-H31</f>
        <v>262537.07</v>
      </c>
      <c r="E31" s="179"/>
      <c r="F31" s="180">
        <v>24821.46</v>
      </c>
      <c r="G31" s="19">
        <f>'DOE25'!J291+'DOE25'!J310+'DOE25'!J329+'DOE25'!J334+'DOE25'!J335+'DOE25'!J336</f>
        <v>4369</v>
      </c>
      <c r="H31" s="19">
        <f>'DOE25'!K291+'DOE25'!K310+'DOE25'!K329+'DOE25'!K334+'DOE25'!K335+'DOE25'!K336</f>
        <v>6773.55</v>
      </c>
      <c r="I31" s="191"/>
    </row>
    <row r="32" spans="1:9" ht="12" thickBot="1" x14ac:dyDescent="0.25">
      <c r="C32" s="206"/>
      <c r="G32" s="187"/>
      <c r="H32" s="187"/>
      <c r="I32" s="193"/>
    </row>
    <row r="33" spans="1:9" ht="12" thickTop="1" x14ac:dyDescent="0.2">
      <c r="B33" t="s">
        <v>806</v>
      </c>
      <c r="D33" s="181">
        <f t="shared" ref="D33:I33" si="1">SUM(D5:D31)</f>
        <v>4066352.12</v>
      </c>
      <c r="E33" s="181">
        <f t="shared" si="1"/>
        <v>161989.87</v>
      </c>
      <c r="F33" s="181">
        <f t="shared" si="1"/>
        <v>111953.60000000001</v>
      </c>
      <c r="G33" s="181">
        <f t="shared" si="1"/>
        <v>373701.77</v>
      </c>
      <c r="H33" s="181">
        <f t="shared" si="1"/>
        <v>12265.51</v>
      </c>
      <c r="I33" s="181">
        <f t="shared" si="1"/>
        <v>0</v>
      </c>
    </row>
    <row r="34" spans="1:9" ht="12" thickBot="1" x14ac:dyDescent="0.25"/>
    <row r="35" spans="1:9" ht="12" thickBot="1" x14ac:dyDescent="0.25">
      <c r="B35" s="187" t="s">
        <v>827</v>
      </c>
      <c r="D35" s="188">
        <f>E33</f>
        <v>161989.87</v>
      </c>
      <c r="E35" s="184"/>
      <c r="F35" s="294" t="s">
        <v>1596</v>
      </c>
      <c r="G35" s="295"/>
      <c r="H35" s="295"/>
      <c r="I35" s="296"/>
    </row>
    <row r="36" spans="1:9" ht="12" thickTop="1" x14ac:dyDescent="0.2">
      <c r="B36" t="s">
        <v>807</v>
      </c>
      <c r="D36" s="19">
        <f>D33</f>
        <v>4066352.12</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34809.89</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9" t="s">
        <v>1774</v>
      </c>
      <c r="C54" s="329"/>
      <c r="D54" s="329"/>
      <c r="E54" s="329"/>
      <c r="F54" s="329"/>
      <c r="G54" s="329"/>
      <c r="H54" s="329"/>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G10" sqref="G1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0" t="s">
        <v>1802</v>
      </c>
      <c r="P1" s="331"/>
      <c r="Q1" s="331"/>
      <c r="R1" s="331"/>
      <c r="S1" s="331"/>
      <c r="T1" s="331"/>
      <c r="U1" s="331"/>
      <c r="V1" s="331"/>
    </row>
    <row r="2" spans="1:22" ht="15.75" customHeight="1" thickBot="1" x14ac:dyDescent="0.25">
      <c r="A2" s="220" t="str">
        <f>'DOE25'!A2</f>
        <v>Ashland</v>
      </c>
      <c r="B2">
        <f>'DOE25'!B2</f>
        <v>23</v>
      </c>
      <c r="J2" s="223" t="s">
        <v>1799</v>
      </c>
      <c r="K2" s="308">
        <f>SUM('DOE25'!L198:L201)+SUM('DOE25'!L277:L280)</f>
        <v>2547113.86</v>
      </c>
      <c r="L2" s="308">
        <f>'DOE25'!L203+'DOE25'!L282</f>
        <v>423722.9</v>
      </c>
      <c r="M2" s="308">
        <f>'DOE25'!L204+'DOE25'!L283</f>
        <v>279936.27999999997</v>
      </c>
      <c r="N2" s="308">
        <f>'DOE25'!L206+'DOE25'!L285</f>
        <v>285886.76</v>
      </c>
      <c r="O2" s="316">
        <f>'Salaries-Benefits'!B10+'Salaries-Benefits'!B12+'Salaries-Benefits'!B19+'Salaries-Benefits'!B21+'Salaries-Benefits'!B28+'Salaries-Benefits'!B30+'Salaries-Benefits'!B37+'Salaries-Benefits'!B39</f>
        <v>1277940.1499999999</v>
      </c>
      <c r="P2" s="316">
        <f>'Salaries-Benefits'!B11+'Salaries-Benefits'!B20+'Salaries-Benefits'!B29+'Salaries-Benefits'!B38</f>
        <v>208337.64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4423479.5100000007</v>
      </c>
      <c r="G4" s="228">
        <f>'DOE25'!L212+'DOE25'!L291</f>
        <v>4423479.51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70023.94</v>
      </c>
      <c r="E5" s="219"/>
      <c r="F5" s="231">
        <f>D5+E5</f>
        <v>70023.94</v>
      </c>
      <c r="G5" s="222"/>
      <c r="H5" s="222"/>
      <c r="J5" s="71" t="s">
        <v>1840</v>
      </c>
      <c r="K5" s="20">
        <v>70023.94</v>
      </c>
      <c r="L5" s="20"/>
      <c r="M5" s="20"/>
      <c r="N5" s="20"/>
      <c r="O5" s="20"/>
      <c r="P5" s="20"/>
      <c r="Q5" s="20"/>
    </row>
    <row r="6" spans="1:22" x14ac:dyDescent="0.2">
      <c r="A6" t="str" cm="1">
        <f t="array" ref="A6">IFERROR(INDEX('School Tables'!$A$4:$G$365,'School Tables'!$J4,3),"")</f>
        <v>Ashland Elementary School</v>
      </c>
      <c r="B6" s="229">
        <f>IFERROR(VLOOKUP(A6,'School Tables'!$C$3:$D$365,2,FALSE),"")</f>
        <v>20010</v>
      </c>
      <c r="C6" s="222" t="str">
        <f>IFERROR(INDEX('School Tables'!$B$3:$B$365,MATCH('School Level Expenditures'!B6,'School Tables'!$D$3:$D$365,0)),"")</f>
        <v>Ashland</v>
      </c>
      <c r="D6" s="219">
        <v>4054954.49</v>
      </c>
      <c r="E6" s="219">
        <v>298501.08</v>
      </c>
      <c r="F6" s="231">
        <f t="shared" ref="F6:F20" si="2">D6+E6</f>
        <v>4353455.57</v>
      </c>
      <c r="G6" s="222"/>
      <c r="H6" s="222"/>
      <c r="J6" t="str">
        <f t="shared" ref="J6:J20" si="3">A6</f>
        <v>Ashland Elementary School</v>
      </c>
      <c r="K6" s="20">
        <v>2477089.92</v>
      </c>
      <c r="L6" s="20">
        <v>423722.9</v>
      </c>
      <c r="M6" s="307">
        <v>279936.28000000003</v>
      </c>
      <c r="N6" s="20">
        <v>285886.76</v>
      </c>
      <c r="O6" s="20">
        <v>1277940.1499999999</v>
      </c>
      <c r="P6" s="20">
        <v>208337.64</v>
      </c>
      <c r="Q6" s="20">
        <v>100484.53</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4124978.43</v>
      </c>
      <c r="E21" s="261">
        <f>SUM(E5:E20)</f>
        <v>298501.08</v>
      </c>
      <c r="F21" s="216"/>
      <c r="G21" s="216"/>
      <c r="H21" s="216"/>
      <c r="K21" s="262">
        <f t="shared" ref="K21:Q21" si="4">SUM(K5:K20)</f>
        <v>2547113.86</v>
      </c>
      <c r="L21" s="262">
        <f t="shared" si="4"/>
        <v>423722.9</v>
      </c>
      <c r="M21" s="262">
        <f t="shared" si="4"/>
        <v>279936.28000000003</v>
      </c>
      <c r="N21" s="262">
        <f t="shared" si="4"/>
        <v>285886.76</v>
      </c>
      <c r="O21" s="262">
        <f t="shared" si="4"/>
        <v>1277940.1499999999</v>
      </c>
      <c r="P21" s="262">
        <f t="shared" si="4"/>
        <v>208337.64</v>
      </c>
      <c r="Q21" s="262">
        <f t="shared" si="4"/>
        <v>100484.53</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9"/>
      <c r="B60" s="329"/>
      <c r="C60" s="329"/>
      <c r="D60" s="329"/>
      <c r="E60" s="329"/>
      <c r="F60" s="329"/>
      <c r="G60" s="329"/>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44" sqref="J4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Ashland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375211.3</v>
      </c>
      <c r="D8" s="73">
        <f>'DOE25'!G9</f>
        <v>0</v>
      </c>
      <c r="E8" s="73">
        <f>'DOE25'!H9</f>
        <v>0</v>
      </c>
      <c r="F8" s="73">
        <f>'DOE25'!I9</f>
        <v>0</v>
      </c>
      <c r="G8" s="73">
        <f>'DOE25'!J9</f>
        <v>343490.64</v>
      </c>
      <c r="H8" s="13">
        <f>SUM(C8:G8)</f>
        <v>718701.94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236401.17</v>
      </c>
      <c r="E11" s="73">
        <f>'DOE25'!H12</f>
        <v>0</v>
      </c>
      <c r="F11" s="73">
        <f>'DOE25'!I12</f>
        <v>0</v>
      </c>
      <c r="G11" s="73">
        <f>'DOE25'!J12</f>
        <v>0</v>
      </c>
      <c r="H11" s="13">
        <f t="shared" si="0"/>
        <v>236401.17</v>
      </c>
      <c r="I11" s="90"/>
    </row>
    <row r="12" spans="1:9" x14ac:dyDescent="0.2">
      <c r="A12" s="1" t="s">
        <v>143</v>
      </c>
      <c r="B12" s="6">
        <v>140</v>
      </c>
      <c r="C12" s="73">
        <f>'DOE25'!F13</f>
        <v>15503.48</v>
      </c>
      <c r="D12" s="73">
        <f>'DOE25'!G13</f>
        <v>12231.84</v>
      </c>
      <c r="E12" s="73">
        <f>'DOE25'!H13</f>
        <v>85208.03</v>
      </c>
      <c r="F12" s="73">
        <f>'DOE25'!I13</f>
        <v>0</v>
      </c>
      <c r="G12" s="73">
        <f>'DOE25'!J13</f>
        <v>0</v>
      </c>
      <c r="H12" s="13">
        <f t="shared" si="0"/>
        <v>112943.35</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1715.88</v>
      </c>
      <c r="D16" s="73">
        <f>'DOE25'!G17</f>
        <v>0</v>
      </c>
      <c r="E16" s="73">
        <f>'DOE25'!H17</f>
        <v>0</v>
      </c>
      <c r="F16" s="73">
        <f>'DOE25'!I17</f>
        <v>0</v>
      </c>
      <c r="G16" s="73">
        <f>'DOE25'!J17</f>
        <v>0</v>
      </c>
      <c r="H16" s="13">
        <f t="shared" si="0"/>
        <v>1715.88</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392430.66</v>
      </c>
      <c r="D18" s="38">
        <f>SUM(D8:D17)</f>
        <v>248633.01</v>
      </c>
      <c r="E18" s="38">
        <f>SUM(E8:E17)</f>
        <v>85208.03</v>
      </c>
      <c r="F18" s="38">
        <f>SUM(F8:F17)</f>
        <v>0</v>
      </c>
      <c r="G18" s="38">
        <f>SUM(G8:G17)</f>
        <v>343490.64</v>
      </c>
      <c r="H18" s="38">
        <f t="shared" si="0"/>
        <v>1069762.3399999999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20922.62</v>
      </c>
      <c r="D21" s="73">
        <f>'DOE25'!G22</f>
        <v>198306.65</v>
      </c>
      <c r="E21" s="73">
        <f>'DOE25'!H22</f>
        <v>17171.900000000001</v>
      </c>
      <c r="F21" s="73">
        <f>'DOE25'!I22</f>
        <v>0</v>
      </c>
      <c r="G21" s="73">
        <f>'DOE25'!J22</f>
        <v>0</v>
      </c>
      <c r="H21" s="13">
        <f t="shared" ref="H21:H31" si="1">SUM(C21:G21)</f>
        <v>236401.16999999998</v>
      </c>
      <c r="I21" s="90"/>
    </row>
    <row r="22" spans="1:9" x14ac:dyDescent="0.2">
      <c r="A22" s="1" t="s">
        <v>151</v>
      </c>
      <c r="B22" s="6">
        <v>410</v>
      </c>
      <c r="C22" s="73">
        <f>'DOE25'!F23</f>
        <v>0</v>
      </c>
      <c r="D22" s="73">
        <f>'DOE25'!G23</f>
        <v>0</v>
      </c>
      <c r="E22" s="73">
        <f>'DOE25'!H23</f>
        <v>2110.23</v>
      </c>
      <c r="F22" s="73">
        <f>'DOE25'!I23</f>
        <v>0</v>
      </c>
      <c r="G22" s="73">
        <f>'DOE25'!J23</f>
        <v>0</v>
      </c>
      <c r="H22" s="13">
        <f t="shared" si="1"/>
        <v>2110.23</v>
      </c>
      <c r="I22" s="90"/>
    </row>
    <row r="23" spans="1:9" x14ac:dyDescent="0.2">
      <c r="A23" s="1" t="s">
        <v>152</v>
      </c>
      <c r="B23" s="6">
        <v>420</v>
      </c>
      <c r="C23" s="73">
        <f>'DOE25'!F24</f>
        <v>43763.61</v>
      </c>
      <c r="D23" s="73">
        <f>'DOE25'!G24</f>
        <v>12909.57</v>
      </c>
      <c r="E23" s="73">
        <f>'DOE25'!H24</f>
        <v>51925.65</v>
      </c>
      <c r="F23" s="73">
        <f>'DOE25'!I24</f>
        <v>0</v>
      </c>
      <c r="G23" s="73">
        <f>'DOE25'!J24</f>
        <v>0</v>
      </c>
      <c r="H23" s="13">
        <f t="shared" si="1"/>
        <v>108598.83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2486.86</v>
      </c>
      <c r="D27" s="73">
        <f>'DOE25'!G28</f>
        <v>0</v>
      </c>
      <c r="E27" s="73">
        <f>'DOE25'!H28</f>
        <v>0</v>
      </c>
      <c r="F27" s="73">
        <f>'DOE25'!I28</f>
        <v>0</v>
      </c>
      <c r="G27" s="23" t="s">
        <v>288</v>
      </c>
      <c r="H27" s="13">
        <f t="shared" si="1"/>
        <v>2486.86</v>
      </c>
      <c r="I27" s="90"/>
    </row>
    <row r="28" spans="1:9" x14ac:dyDescent="0.2">
      <c r="A28" s="1" t="s">
        <v>157</v>
      </c>
      <c r="B28" s="6">
        <v>470</v>
      </c>
      <c r="C28" s="73">
        <f>'DOE25'!F29</f>
        <v>3008.69</v>
      </c>
      <c r="D28" s="73">
        <f>'DOE25'!G29</f>
        <v>0</v>
      </c>
      <c r="E28" s="73">
        <f>'DOE25'!H29</f>
        <v>0</v>
      </c>
      <c r="F28" s="73">
        <f>'DOE25'!I29</f>
        <v>0</v>
      </c>
      <c r="G28" s="23" t="s">
        <v>288</v>
      </c>
      <c r="H28" s="13">
        <f t="shared" si="1"/>
        <v>3008.69</v>
      </c>
      <c r="I28" s="90"/>
    </row>
    <row r="29" spans="1:9" x14ac:dyDescent="0.2">
      <c r="A29" s="1" t="s">
        <v>158</v>
      </c>
      <c r="B29" s="6">
        <v>480</v>
      </c>
      <c r="C29" s="73">
        <f>'DOE25'!F30</f>
        <v>0</v>
      </c>
      <c r="D29" s="73">
        <f>'DOE25'!G30</f>
        <v>147.07</v>
      </c>
      <c r="E29" s="73">
        <f>'DOE25'!H30</f>
        <v>0</v>
      </c>
      <c r="F29" s="73">
        <f>'DOE25'!I30</f>
        <v>0</v>
      </c>
      <c r="G29" s="23" t="s">
        <v>288</v>
      </c>
      <c r="H29" s="13">
        <f t="shared" si="1"/>
        <v>147.07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70181.78</v>
      </c>
      <c r="D31" s="38">
        <f>SUM(D21:D30)</f>
        <v>211363.29</v>
      </c>
      <c r="E31" s="38">
        <f>SUM(E21:E30)</f>
        <v>71207.78</v>
      </c>
      <c r="F31" s="38">
        <f>SUM(F21:F30)</f>
        <v>0</v>
      </c>
      <c r="G31" s="38">
        <f>SUM(G21:G30)</f>
        <v>0</v>
      </c>
      <c r="H31" s="38">
        <f t="shared" si="1"/>
        <v>352752.85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37269.72</v>
      </c>
      <c r="E47" s="73">
        <f>'DOE25'!H48</f>
        <v>14000.25</v>
      </c>
      <c r="F47" s="73">
        <f>'DOE25'!I48</f>
        <v>0</v>
      </c>
      <c r="G47" s="73">
        <f>'DOE25'!J48</f>
        <v>343490.64</v>
      </c>
      <c r="H47" s="13">
        <f t="shared" si="2"/>
        <v>394760.61</v>
      </c>
      <c r="I47" s="90"/>
    </row>
    <row r="48" spans="1:9" x14ac:dyDescent="0.2">
      <c r="A48" s="1" t="s">
        <v>878</v>
      </c>
      <c r="B48" s="6">
        <v>753</v>
      </c>
      <c r="C48" s="73">
        <f>'DOE25'!F49</f>
        <v>279416.33</v>
      </c>
      <c r="D48" s="73">
        <f>'DOE25'!G49</f>
        <v>0</v>
      </c>
      <c r="E48" s="73">
        <f>'DOE25'!H49</f>
        <v>0</v>
      </c>
      <c r="F48" s="73">
        <f>'DOE25'!I49</f>
        <v>0</v>
      </c>
      <c r="G48" s="73">
        <f>'DOE25'!J49</f>
        <v>0</v>
      </c>
      <c r="H48" s="13">
        <f t="shared" si="2"/>
        <v>279416.33</v>
      </c>
      <c r="I48" s="90"/>
    </row>
    <row r="49" spans="1:9" ht="12" thickBot="1" x14ac:dyDescent="0.25">
      <c r="A49" s="28" t="s">
        <v>879</v>
      </c>
      <c r="B49" s="56">
        <v>770</v>
      </c>
      <c r="C49" s="73">
        <f>'DOE25'!F50</f>
        <v>42832.55</v>
      </c>
      <c r="D49" s="23" t="s">
        <v>288</v>
      </c>
      <c r="E49" s="23" t="s">
        <v>288</v>
      </c>
      <c r="F49" s="23" t="s">
        <v>288</v>
      </c>
      <c r="G49" s="23" t="s">
        <v>288</v>
      </c>
      <c r="H49" s="13">
        <f t="shared" si="2"/>
        <v>42832.55</v>
      </c>
      <c r="I49" s="90"/>
    </row>
    <row r="50" spans="1:9" ht="12.75" thickTop="1" thickBot="1" x14ac:dyDescent="0.25">
      <c r="A50" s="35" t="s">
        <v>880</v>
      </c>
      <c r="B50" s="44"/>
      <c r="C50" s="38">
        <f>SUM(C34:C49)</f>
        <v>322248.88</v>
      </c>
      <c r="D50" s="38">
        <f>SUM(D34:D49)</f>
        <v>37269.72</v>
      </c>
      <c r="E50" s="38">
        <f>SUM(E34:E49)</f>
        <v>14000.25</v>
      </c>
      <c r="F50" s="38">
        <f>SUM(F34:F49)</f>
        <v>0</v>
      </c>
      <c r="G50" s="38">
        <f>SUM(G34:G49)</f>
        <v>343490.64</v>
      </c>
      <c r="H50" s="38">
        <f t="shared" si="2"/>
        <v>717009.49</v>
      </c>
      <c r="I50" s="90"/>
    </row>
    <row r="51" spans="1:9" ht="12" thickTop="1" x14ac:dyDescent="0.2">
      <c r="A51" s="35" t="s">
        <v>881</v>
      </c>
      <c r="B51" s="2"/>
      <c r="C51" s="38">
        <f>C50+C31</f>
        <v>392430.66000000003</v>
      </c>
      <c r="D51" s="38">
        <f>D50+D31</f>
        <v>248633.01</v>
      </c>
      <c r="E51" s="38">
        <f>E50+E31</f>
        <v>85208.03</v>
      </c>
      <c r="F51" s="38">
        <f>F50+F31</f>
        <v>0</v>
      </c>
      <c r="G51" s="38">
        <f>G50+G31</f>
        <v>343490.64</v>
      </c>
      <c r="H51" s="38">
        <f t="shared" si="2"/>
        <v>1069762.3400000001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2879135</v>
      </c>
      <c r="D56" s="73">
        <f>'DOE25'!G60</f>
        <v>0</v>
      </c>
      <c r="E56" s="73">
        <f>'DOE25'!H60</f>
        <v>0</v>
      </c>
      <c r="F56" s="73">
        <f>'DOE25'!I60</f>
        <v>0</v>
      </c>
      <c r="G56" s="73">
        <f>'DOE25'!J60</f>
        <v>0</v>
      </c>
      <c r="H56" s="13">
        <f t="shared" ref="H56:H63" si="3">SUM(C56:G56)</f>
        <v>2879135</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1245.6600000000001</v>
      </c>
      <c r="D59" s="73">
        <f>'DOE25'!G96</f>
        <v>0</v>
      </c>
      <c r="E59" s="73">
        <f>'DOE25'!H96</f>
        <v>0</v>
      </c>
      <c r="F59" s="73">
        <f>'DOE25'!I96</f>
        <v>0</v>
      </c>
      <c r="G59" s="73">
        <f>'DOE25'!J96</f>
        <v>4896.46</v>
      </c>
      <c r="H59" s="13">
        <f t="shared" si="3"/>
        <v>6142.12</v>
      </c>
      <c r="I59"/>
    </row>
    <row r="60" spans="1:9" x14ac:dyDescent="0.2">
      <c r="A60" s="1" t="s">
        <v>170</v>
      </c>
      <c r="B60" s="22" t="s">
        <v>171</v>
      </c>
      <c r="C60" s="23" t="s">
        <v>288</v>
      </c>
      <c r="D60" s="73">
        <f>'DOE25'!G97</f>
        <v>31411.25</v>
      </c>
      <c r="E60" s="23" t="s">
        <v>288</v>
      </c>
      <c r="F60" s="23" t="s">
        <v>288</v>
      </c>
      <c r="G60" s="23" t="s">
        <v>288</v>
      </c>
      <c r="H60" s="13">
        <f t="shared" si="3"/>
        <v>31411.25</v>
      </c>
      <c r="I60"/>
    </row>
    <row r="61" spans="1:9" ht="12" thickBot="1" x14ac:dyDescent="0.25">
      <c r="A61" s="1" t="s">
        <v>172</v>
      </c>
      <c r="B61" s="22" t="s">
        <v>173</v>
      </c>
      <c r="C61" s="73">
        <f>SUM('DOE25'!F98:F110)</f>
        <v>2046.75</v>
      </c>
      <c r="D61" s="73">
        <f>SUM('DOE25'!G98:G110)</f>
        <v>0</v>
      </c>
      <c r="E61" s="73">
        <f>SUM('DOE25'!H98:H110)</f>
        <v>7373.7</v>
      </c>
      <c r="F61" s="73">
        <f>SUM('DOE25'!I98:I110)</f>
        <v>0</v>
      </c>
      <c r="G61" s="73">
        <f>SUM('DOE25'!J98:J110)</f>
        <v>0</v>
      </c>
      <c r="H61" s="13">
        <f t="shared" si="3"/>
        <v>9420.4500000000007</v>
      </c>
      <c r="I61"/>
    </row>
    <row r="62" spans="1:9" ht="12.75" thickTop="1" thickBot="1" x14ac:dyDescent="0.25">
      <c r="A62" s="28" t="s">
        <v>174</v>
      </c>
      <c r="B62" s="6"/>
      <c r="C62" s="93">
        <f>SUM(C57:C61)</f>
        <v>3292.41</v>
      </c>
      <c r="D62" s="93">
        <f>SUM(D57:D61)</f>
        <v>31411.25</v>
      </c>
      <c r="E62" s="93">
        <f>SUM(E57:E61)</f>
        <v>7373.7</v>
      </c>
      <c r="F62" s="93">
        <f>SUM(F57:F61)</f>
        <v>0</v>
      </c>
      <c r="G62" s="93">
        <f>SUM(G57:G61)</f>
        <v>4896.46</v>
      </c>
      <c r="H62" s="13">
        <f t="shared" si="3"/>
        <v>46973.82</v>
      </c>
      <c r="I62"/>
    </row>
    <row r="63" spans="1:9" ht="12" thickTop="1" x14ac:dyDescent="0.2">
      <c r="A63" s="28" t="s">
        <v>175</v>
      </c>
      <c r="B63" s="6"/>
      <c r="C63" s="21">
        <f>C56+C62</f>
        <v>2882427.41</v>
      </c>
      <c r="D63" s="21">
        <f>D56+D62</f>
        <v>31411.25</v>
      </c>
      <c r="E63" s="21">
        <f>E56+E62</f>
        <v>7373.7</v>
      </c>
      <c r="F63" s="21">
        <f>F56+F62</f>
        <v>0</v>
      </c>
      <c r="G63" s="21">
        <f>G56+G62</f>
        <v>4896.46</v>
      </c>
      <c r="H63" s="13">
        <f t="shared" si="3"/>
        <v>2926108.8200000003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631881.68999999994</v>
      </c>
      <c r="D66" s="23" t="s">
        <v>288</v>
      </c>
      <c r="E66" s="23" t="s">
        <v>288</v>
      </c>
      <c r="F66" s="23" t="s">
        <v>288</v>
      </c>
      <c r="G66" s="23" t="s">
        <v>288</v>
      </c>
      <c r="H66" s="13">
        <f t="shared" ref="H66:H81" si="4">SUM(C66:G66)</f>
        <v>631881.68999999994</v>
      </c>
      <c r="I66"/>
    </row>
    <row r="67" spans="1:9" x14ac:dyDescent="0.2">
      <c r="A67" s="1" t="s">
        <v>767</v>
      </c>
      <c r="B67" s="6">
        <v>3112</v>
      </c>
      <c r="C67" s="73">
        <f>'DOE25'!F118</f>
        <v>404392</v>
      </c>
      <c r="D67" s="23"/>
      <c r="E67" s="23"/>
      <c r="F67" s="23"/>
      <c r="G67" s="23"/>
      <c r="H67" s="13">
        <f t="shared" si="4"/>
        <v>404392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1627.24</v>
      </c>
      <c r="D69" s="73">
        <f>'DOE25'!G120</f>
        <v>0</v>
      </c>
      <c r="E69" s="73">
        <f>'DOE25'!H120</f>
        <v>0</v>
      </c>
      <c r="F69" s="73">
        <f>'DOE25'!I120</f>
        <v>0</v>
      </c>
      <c r="G69" s="73">
        <f>'DOE25'!J120</f>
        <v>0</v>
      </c>
      <c r="H69" s="13">
        <f t="shared" si="4"/>
        <v>1627.24</v>
      </c>
      <c r="I69"/>
    </row>
    <row r="70" spans="1:9" ht="12" thickTop="1" x14ac:dyDescent="0.2">
      <c r="A70" s="28" t="s">
        <v>252</v>
      </c>
      <c r="B70" s="2"/>
      <c r="C70" s="97">
        <f>SUM(C66:C69)</f>
        <v>1037900.9299999999</v>
      </c>
      <c r="D70" s="97">
        <f>D69</f>
        <v>0</v>
      </c>
      <c r="E70" s="97">
        <f>E69</f>
        <v>0</v>
      </c>
      <c r="F70" s="97">
        <f>F69</f>
        <v>0</v>
      </c>
      <c r="G70" s="97">
        <f>G69</f>
        <v>0</v>
      </c>
      <c r="H70" s="13">
        <f t="shared" si="4"/>
        <v>1037900.9299999999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5675</v>
      </c>
      <c r="F76" s="73">
        <f>SUM('DOE25'!I127:I130)</f>
        <v>0</v>
      </c>
      <c r="G76" s="23" t="s">
        <v>288</v>
      </c>
      <c r="H76" s="13">
        <f t="shared" si="4"/>
        <v>5675</v>
      </c>
      <c r="I76"/>
    </row>
    <row r="77" spans="1:9" ht="12" thickBot="1" x14ac:dyDescent="0.25">
      <c r="A77" s="1" t="s">
        <v>258</v>
      </c>
      <c r="B77" s="6" t="s">
        <v>180</v>
      </c>
      <c r="C77" s="73">
        <f>SUM('DOE25'!F131:F135)</f>
        <v>0</v>
      </c>
      <c r="D77" s="73">
        <f>SUM('DOE25'!G131:G135)</f>
        <v>1445.52</v>
      </c>
      <c r="E77" s="73">
        <f>SUM('DOE25'!H131:H135)</f>
        <v>0</v>
      </c>
      <c r="F77" s="73">
        <f>SUM('DOE25'!I131:I135)</f>
        <v>0</v>
      </c>
      <c r="G77" s="73">
        <f>SUM('DOE25'!J131:J135)</f>
        <v>0</v>
      </c>
      <c r="H77" s="13">
        <f t="shared" si="4"/>
        <v>1445.52</v>
      </c>
      <c r="I77"/>
    </row>
    <row r="78" spans="1:9" ht="12.75" thickTop="1" thickBot="1" x14ac:dyDescent="0.25">
      <c r="A78" s="28" t="s">
        <v>259</v>
      </c>
      <c r="B78" s="6"/>
      <c r="C78" s="93">
        <f>SUM(C72:C77)</f>
        <v>0</v>
      </c>
      <c r="D78" s="93">
        <f>SUM(D72:D77)</f>
        <v>1445.52</v>
      </c>
      <c r="E78" s="93">
        <f>SUM(E72:E77)</f>
        <v>5675</v>
      </c>
      <c r="F78" s="93">
        <f>SUM(F72:F77)</f>
        <v>0</v>
      </c>
      <c r="G78" s="93">
        <f>SUM(G72:G77)</f>
        <v>0</v>
      </c>
      <c r="H78" s="13">
        <f t="shared" si="4"/>
        <v>7120.52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1037900.9299999999</v>
      </c>
      <c r="D81" s="93">
        <f>SUM(D79:D80)+D78+D70</f>
        <v>1445.52</v>
      </c>
      <c r="E81" s="93">
        <f>SUM(E79:E80)+E78+E70</f>
        <v>5675</v>
      </c>
      <c r="F81" s="93">
        <f>SUM(F79:F80)+F78+F70</f>
        <v>0</v>
      </c>
      <c r="G81" s="93">
        <f>SUM(G79:G80)+G78+G70</f>
        <v>0</v>
      </c>
      <c r="H81" s="93">
        <f t="shared" si="4"/>
        <v>1045021.45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4233.7700000000004</v>
      </c>
      <c r="F85" s="73">
        <f>'DOE25'!I147</f>
        <v>0</v>
      </c>
      <c r="G85" s="23" t="s">
        <v>288</v>
      </c>
      <c r="H85" s="13">
        <f t="shared" ref="H85:H104" si="5">SUM(C85:G85)</f>
        <v>4233.7700000000004</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42047.64</v>
      </c>
      <c r="D88" s="252">
        <f>SUM('DOE25'!G153:G162)</f>
        <v>63284</v>
      </c>
      <c r="E88" s="252">
        <f>SUM('DOE25'!H153:H162)</f>
        <v>491437.19</v>
      </c>
      <c r="F88" s="252">
        <f>SUM('DOE25'!I153:I162)</f>
        <v>0</v>
      </c>
      <c r="G88" s="23" t="s">
        <v>288</v>
      </c>
      <c r="H88" s="13">
        <f t="shared" si="5"/>
        <v>596768.82999999996</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358.55</v>
      </c>
      <c r="D90" s="23" t="s">
        <v>288</v>
      </c>
      <c r="E90" s="23" t="s">
        <v>288</v>
      </c>
      <c r="F90" s="23" t="s">
        <v>288</v>
      </c>
      <c r="G90" s="23" t="s">
        <v>288</v>
      </c>
      <c r="H90" s="13">
        <f t="shared" si="5"/>
        <v>358.55</v>
      </c>
    </row>
    <row r="91" spans="1:9" ht="12.75" thickTop="1" thickBot="1" x14ac:dyDescent="0.25">
      <c r="A91" s="32" t="s">
        <v>747</v>
      </c>
      <c r="C91" s="94">
        <f>SUM(C85:C90)</f>
        <v>42406.19</v>
      </c>
      <c r="D91" s="94">
        <f>SUM(D85:D90)</f>
        <v>63284</v>
      </c>
      <c r="E91" s="94">
        <f>SUM(E85:E90)</f>
        <v>495670.96</v>
      </c>
      <c r="F91" s="94">
        <f>SUM(F85:F90)</f>
        <v>0</v>
      </c>
      <c r="G91" s="23" t="s">
        <v>288</v>
      </c>
      <c r="H91" s="13">
        <f t="shared" si="5"/>
        <v>601361.15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30000</v>
      </c>
      <c r="E96" s="73">
        <f>'DOE25'!H180</f>
        <v>0</v>
      </c>
      <c r="F96" s="73">
        <f>'DOE25'!I180</f>
        <v>0</v>
      </c>
      <c r="G96" s="73">
        <f>'DOE25'!J180</f>
        <v>0</v>
      </c>
      <c r="H96" s="13">
        <f t="shared" si="5"/>
        <v>30000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96077</v>
      </c>
      <c r="D100" s="73">
        <f>SUM('DOE25'!G187:G188)</f>
        <v>0</v>
      </c>
      <c r="E100" s="73">
        <f>SUM('DOE25'!H187:H188)</f>
        <v>0</v>
      </c>
      <c r="F100" s="73">
        <f>SUM('DOE25'!I187:I188)</f>
        <v>0</v>
      </c>
      <c r="G100" s="23" t="s">
        <v>288</v>
      </c>
      <c r="H100" s="13">
        <f t="shared" si="5"/>
        <v>96077</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96077</v>
      </c>
      <c r="D103" s="68">
        <f>SUM(D93:D102)</f>
        <v>30000</v>
      </c>
      <c r="E103" s="68">
        <f>SUM(E93:E102)</f>
        <v>0</v>
      </c>
      <c r="F103" s="68">
        <f>SUM(F93:F102)</f>
        <v>0</v>
      </c>
      <c r="G103" s="68">
        <f>SUM(G93:G102)</f>
        <v>0</v>
      </c>
      <c r="H103" s="68">
        <f t="shared" si="5"/>
        <v>126077</v>
      </c>
    </row>
    <row r="104" spans="1:8" ht="12.75" thickTop="1" thickBot="1" x14ac:dyDescent="0.25">
      <c r="A104" s="32" t="s">
        <v>758</v>
      </c>
      <c r="C104" s="68">
        <f>C63+C81+C91+C103</f>
        <v>4058811.53</v>
      </c>
      <c r="D104" s="68">
        <f>D63+D81+D91+D103</f>
        <v>126140.76999999999</v>
      </c>
      <c r="E104" s="68">
        <f>E63+E81+E91+E103</f>
        <v>508719.66000000003</v>
      </c>
      <c r="F104" s="68">
        <f>F63+F81+F91+F103</f>
        <v>0</v>
      </c>
      <c r="G104" s="68">
        <f>G63+G81+G103</f>
        <v>4896.46</v>
      </c>
      <c r="H104" s="68">
        <f t="shared" si="5"/>
        <v>4698568.42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1763491.74</v>
      </c>
      <c r="D109" s="23" t="s">
        <v>288</v>
      </c>
      <c r="E109" s="73">
        <f>('DOE25'!L277)+('DOE25'!L296)+('DOE25'!L315)</f>
        <v>100864.75</v>
      </c>
      <c r="F109" s="23" t="s">
        <v>288</v>
      </c>
      <c r="G109" s="23" t="s">
        <v>288</v>
      </c>
      <c r="H109" s="13">
        <f t="shared" ref="H109:H115" si="6">SUM(C109:G109)</f>
        <v>1864356.49</v>
      </c>
    </row>
    <row r="110" spans="1:8" x14ac:dyDescent="0.2">
      <c r="A110" t="s">
        <v>198</v>
      </c>
      <c r="B110" s="31" t="s">
        <v>199</v>
      </c>
      <c r="C110" s="73">
        <f>('DOE25'!L199)+('DOE25'!L217)+('DOE25'!L235)</f>
        <v>575023.59</v>
      </c>
      <c r="D110" s="23" t="s">
        <v>288</v>
      </c>
      <c r="E110" s="73">
        <f>('DOE25'!L278)+('DOE25'!L297)+('DOE25'!L316)</f>
        <v>50302.28</v>
      </c>
      <c r="F110" s="23" t="s">
        <v>288</v>
      </c>
      <c r="G110" s="23" t="s">
        <v>288</v>
      </c>
      <c r="H110" s="13">
        <f t="shared" si="6"/>
        <v>625325.87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51756.5</v>
      </c>
      <c r="D112" s="23" t="s">
        <v>288</v>
      </c>
      <c r="E112" s="73">
        <f>+('DOE25'!L280)+('DOE25'!L299)+('DOE25'!L318)</f>
        <v>5675</v>
      </c>
      <c r="F112" s="23" t="s">
        <v>288</v>
      </c>
      <c r="G112" s="23" t="s">
        <v>288</v>
      </c>
      <c r="H112" s="13">
        <f t="shared" si="6"/>
        <v>57431.5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2390271.83</v>
      </c>
      <c r="D115" s="68">
        <f>SUM(D109:D114)</f>
        <v>0</v>
      </c>
      <c r="E115" s="68">
        <f>SUM(E109:E114)</f>
        <v>156842.03</v>
      </c>
      <c r="F115" s="68">
        <f>SUM(F109:F114)</f>
        <v>0</v>
      </c>
      <c r="G115" s="68">
        <f>SUM(G109:G114)</f>
        <v>0</v>
      </c>
      <c r="H115" s="68">
        <f t="shared" si="6"/>
        <v>2547113.86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398903.53</v>
      </c>
      <c r="D118" s="23" t="s">
        <v>288</v>
      </c>
      <c r="E118" s="73">
        <f>+('DOE25'!L282)+('DOE25'!L301)+('DOE25'!L320)</f>
        <v>24819.37</v>
      </c>
      <c r="F118" s="23" t="s">
        <v>288</v>
      </c>
      <c r="G118" s="23" t="s">
        <v>288</v>
      </c>
      <c r="H118" s="13">
        <f t="shared" ref="H118:H145" si="7">SUM(C118:G118)</f>
        <v>423722.9</v>
      </c>
    </row>
    <row r="119" spans="1:8" x14ac:dyDescent="0.2">
      <c r="A119" t="s">
        <v>208</v>
      </c>
      <c r="B119" s="31" t="s">
        <v>209</v>
      </c>
      <c r="C119" s="73">
        <f>('DOE25'!L204)+('DOE25'!L222)+('DOE25'!L240)</f>
        <v>271318.11</v>
      </c>
      <c r="D119" s="23" t="s">
        <v>288</v>
      </c>
      <c r="E119" s="73">
        <f>+('DOE25'!L283)+('DOE25'!L302)+('DOE25'!L321)</f>
        <v>8618.17</v>
      </c>
      <c r="F119" s="23" t="s">
        <v>288</v>
      </c>
      <c r="G119" s="23" t="s">
        <v>288</v>
      </c>
      <c r="H119" s="13">
        <f t="shared" si="7"/>
        <v>279936.27999999997</v>
      </c>
    </row>
    <row r="120" spans="1:8" x14ac:dyDescent="0.2">
      <c r="A120" t="s">
        <v>210</v>
      </c>
      <c r="B120" s="31" t="s">
        <v>211</v>
      </c>
      <c r="C120" s="73">
        <f>('DOE25'!L205)+('DOE25'!L223)+('DOE25'!L241)</f>
        <v>172169.63999999998</v>
      </c>
      <c r="D120" s="23" t="s">
        <v>288</v>
      </c>
      <c r="E120" s="73">
        <f>+('DOE25'!L284)+('DOE25'!L303)+('DOE25'!L322)</f>
        <v>6523.55</v>
      </c>
      <c r="F120" s="23" t="s">
        <v>288</v>
      </c>
      <c r="G120" s="23" t="s">
        <v>288</v>
      </c>
      <c r="H120" s="13">
        <f t="shared" si="7"/>
        <v>178693.18999999997</v>
      </c>
    </row>
    <row r="121" spans="1:8" x14ac:dyDescent="0.2">
      <c r="A121" t="s">
        <v>212</v>
      </c>
      <c r="B121" s="31" t="s">
        <v>213</v>
      </c>
      <c r="C121" s="73">
        <f>('DOE25'!L206)+('DOE25'!L224)+('DOE25'!L242)</f>
        <v>285000.26</v>
      </c>
      <c r="D121" s="23" t="s">
        <v>288</v>
      </c>
      <c r="E121" s="73">
        <f>+('DOE25'!L285)+('DOE25'!L304)+('DOE25'!L323)</f>
        <v>886.5</v>
      </c>
      <c r="F121" s="23" t="s">
        <v>288</v>
      </c>
      <c r="G121" s="23" t="s">
        <v>288</v>
      </c>
      <c r="H121" s="13">
        <f t="shared" si="7"/>
        <v>285886.76</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527598.17000000004</v>
      </c>
      <c r="D123" s="23" t="s">
        <v>288</v>
      </c>
      <c r="E123" s="73">
        <f>+('DOE25'!L287)+('DOE25'!L306)+('DOE25'!L325)</f>
        <v>100811.46</v>
      </c>
      <c r="F123" s="23" t="s">
        <v>288</v>
      </c>
      <c r="G123" s="23" t="s">
        <v>288</v>
      </c>
      <c r="H123" s="13">
        <f t="shared" si="7"/>
        <v>628409.63</v>
      </c>
    </row>
    <row r="124" spans="1:8" x14ac:dyDescent="0.2">
      <c r="A124" t="s">
        <v>218</v>
      </c>
      <c r="B124" s="31" t="s">
        <v>219</v>
      </c>
      <c r="C124" s="73">
        <f>('DOE25'!L209)+('DOE25'!L227)+('DOE25'!L245+'DOE25'!L255)</f>
        <v>73036.89</v>
      </c>
      <c r="D124" s="23" t="s">
        <v>288</v>
      </c>
      <c r="E124" s="73">
        <f>+('DOE25'!L288)+('DOE25'!L307)+('DOE25'!L326)</f>
        <v>0</v>
      </c>
      <c r="F124" s="23" t="s">
        <v>288</v>
      </c>
      <c r="G124" s="23" t="s">
        <v>288</v>
      </c>
      <c r="H124" s="13">
        <f t="shared" si="7"/>
        <v>73036.89</v>
      </c>
    </row>
    <row r="125" spans="1:8" x14ac:dyDescent="0.2">
      <c r="A125" t="s">
        <v>220</v>
      </c>
      <c r="B125" s="31" t="s">
        <v>221</v>
      </c>
      <c r="C125" s="73">
        <f>('DOE25'!L210)+('DOE25'!L228)+('DOE25'!L246)</f>
        <v>6680</v>
      </c>
      <c r="D125" s="23" t="s">
        <v>288</v>
      </c>
      <c r="E125" s="73">
        <f>+('DOE25'!L289)+('DOE25'!L308)+('DOE25'!L327)</f>
        <v>0</v>
      </c>
      <c r="F125" s="23" t="s">
        <v>288</v>
      </c>
      <c r="G125" s="23" t="s">
        <v>288</v>
      </c>
      <c r="H125" s="13">
        <f t="shared" si="7"/>
        <v>6680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125884.52</v>
      </c>
      <c r="E127" s="23" t="s">
        <v>288</v>
      </c>
      <c r="F127" s="23" t="s">
        <v>288</v>
      </c>
      <c r="G127" s="23" t="s">
        <v>288</v>
      </c>
      <c r="H127" s="13">
        <f t="shared" si="7"/>
        <v>125884.52</v>
      </c>
    </row>
    <row r="128" spans="1:8" ht="12.75" thickTop="1" thickBot="1" x14ac:dyDescent="0.25">
      <c r="A128" s="32" t="s">
        <v>226</v>
      </c>
      <c r="C128" s="68">
        <f>SUM(C118:C127)</f>
        <v>1734706.5999999999</v>
      </c>
      <c r="D128" s="68">
        <f>SUM(D118:D127)</f>
        <v>125884.52</v>
      </c>
      <c r="E128" s="68">
        <f>SUM(E118:E127)</f>
        <v>141659.05000000002</v>
      </c>
      <c r="F128" s="68">
        <f>SUM(F118:F127)</f>
        <v>0</v>
      </c>
      <c r="G128" s="68">
        <f>SUM(G118:G127)</f>
        <v>0</v>
      </c>
      <c r="H128" s="68">
        <f t="shared" si="7"/>
        <v>2002250.17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211708.73</v>
      </c>
      <c r="F130" s="92">
        <f>SUM('DOE25'!L375:'DOE25'!L381)</f>
        <v>0</v>
      </c>
      <c r="G130" s="23" t="s">
        <v>288</v>
      </c>
      <c r="H130" s="13">
        <f t="shared" si="7"/>
        <v>211708.73</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96077</v>
      </c>
      <c r="H134" s="13">
        <f t="shared" si="7"/>
        <v>96077</v>
      </c>
    </row>
    <row r="135" spans="1:8" x14ac:dyDescent="0.2">
      <c r="A135" t="s">
        <v>233</v>
      </c>
      <c r="B135" s="31" t="s">
        <v>234</v>
      </c>
      <c r="C135" s="73">
        <f>'DOE25'!L264</f>
        <v>30000</v>
      </c>
      <c r="D135" s="23" t="s">
        <v>288</v>
      </c>
      <c r="E135" s="92">
        <f>'DOE25'!L346</f>
        <v>0</v>
      </c>
      <c r="F135" s="23" t="s">
        <v>288</v>
      </c>
      <c r="G135" s="23" t="s">
        <v>288</v>
      </c>
      <c r="H135" s="13">
        <f t="shared" si="7"/>
        <v>30000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4896.4599999999991</v>
      </c>
      <c r="D139" s="23" t="s">
        <v>288</v>
      </c>
      <c r="E139" s="23" t="s">
        <v>288</v>
      </c>
      <c r="F139" s="23" t="s">
        <v>288</v>
      </c>
      <c r="G139" s="23" t="s">
        <v>288</v>
      </c>
      <c r="H139" s="13">
        <f t="shared" si="7"/>
        <v>4896.4599999999991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-4896.4599999999991</v>
      </c>
      <c r="D141" s="23" t="s">
        <v>288</v>
      </c>
      <c r="E141" s="23" t="s">
        <v>288</v>
      </c>
      <c r="F141" s="23" t="s">
        <v>288</v>
      </c>
      <c r="G141" s="23" t="s">
        <v>288</v>
      </c>
      <c r="H141" s="13">
        <f t="shared" si="7"/>
        <v>-4896.4599999999991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30000</v>
      </c>
      <c r="D144" s="98">
        <f>SUM(D130:D143)</f>
        <v>0</v>
      </c>
      <c r="E144" s="98">
        <f>SUM(E130:E143)</f>
        <v>211708.73</v>
      </c>
      <c r="F144" s="98">
        <f>SUM(F130:F143)</f>
        <v>0</v>
      </c>
      <c r="G144" s="98">
        <f>SUM(G130:G143)</f>
        <v>96077</v>
      </c>
      <c r="H144" s="98">
        <f t="shared" si="7"/>
        <v>337785.73</v>
      </c>
    </row>
    <row r="145" spans="1:9" ht="12.75" thickTop="1" thickBot="1" x14ac:dyDescent="0.25">
      <c r="A145" s="32" t="s">
        <v>244</v>
      </c>
      <c r="C145" s="68">
        <f>(C115+C128+C144)</f>
        <v>4154978.4299999997</v>
      </c>
      <c r="D145" s="68">
        <f>(D115+D128+D144)</f>
        <v>125884.52</v>
      </c>
      <c r="E145" s="68">
        <f>(E115+E128+E144)</f>
        <v>510209.81000000006</v>
      </c>
      <c r="F145" s="68">
        <f>(F115+F128+F144)</f>
        <v>0</v>
      </c>
      <c r="G145" s="68">
        <f>(G115+G128+G144)</f>
        <v>96077</v>
      </c>
      <c r="H145" s="68">
        <f t="shared" si="7"/>
        <v>4887149.76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K29" sqref="K2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2" t="s">
        <v>736</v>
      </c>
      <c r="B1" s="332"/>
      <c r="C1" s="332"/>
      <c r="D1" s="332"/>
    </row>
    <row r="2" spans="1:4" x14ac:dyDescent="0.2">
      <c r="A2" s="135" t="s">
        <v>713</v>
      </c>
      <c r="B2" s="134" t="str">
        <f>'DOE25'!A2</f>
        <v>Ashland</v>
      </c>
    </row>
    <row r="3" spans="1:4" x14ac:dyDescent="0.2">
      <c r="B3" s="136" t="s">
        <v>1792</v>
      </c>
    </row>
    <row r="4" spans="1:4" x14ac:dyDescent="0.2">
      <c r="B4" t="s">
        <v>61</v>
      </c>
      <c r="C4" s="128">
        <f>IF('DOE25'!F666+'DOE25'!F671=0,0,ROUND('DOE25'!F673,0))</f>
        <v>28142</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28142</v>
      </c>
    </row>
    <row r="9" spans="1:4" x14ac:dyDescent="0.2">
      <c r="A9" s="135" t="s">
        <v>94</v>
      </c>
      <c r="B9" s="136" t="s">
        <v>1793</v>
      </c>
      <c r="C9" s="130" t="s">
        <v>720</v>
      </c>
      <c r="D9" s="130" t="s">
        <v>721</v>
      </c>
    </row>
    <row r="10" spans="1:4" x14ac:dyDescent="0.2">
      <c r="A10">
        <v>1100</v>
      </c>
      <c r="B10" t="s">
        <v>702</v>
      </c>
      <c r="C10" s="128">
        <f>ROUND('DOE25'!L198+'DOE25'!L216+'DOE25'!L234+'DOE25'!L277+'DOE25'!L296+'DOE25'!L315,0)</f>
        <v>1864356</v>
      </c>
      <c r="D10" s="131">
        <f>ROUND((C10/$C$28)*100,1)</f>
        <v>41.3</v>
      </c>
    </row>
    <row r="11" spans="1:4" x14ac:dyDescent="0.2">
      <c r="A11">
        <v>1200</v>
      </c>
      <c r="B11" t="s">
        <v>703</v>
      </c>
      <c r="C11" s="128">
        <f>ROUND('DOE25'!L199+'DOE25'!L217+'DOE25'!L235+'DOE25'!L278+'DOE25'!L297+'DOE25'!L316,0)</f>
        <v>625326</v>
      </c>
      <c r="D11" s="131">
        <f>ROUND((C11/$C$28)*100,1)</f>
        <v>13.8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57432</v>
      </c>
      <c r="D13" s="131">
        <f>ROUND((C13/$C$28)*100,1)</f>
        <v>1.3</v>
      </c>
    </row>
    <row r="14" spans="1:4" x14ac:dyDescent="0.2">
      <c r="D14" s="131"/>
    </row>
    <row r="15" spans="1:4" x14ac:dyDescent="0.2">
      <c r="A15">
        <v>2100</v>
      </c>
      <c r="B15" t="s">
        <v>706</v>
      </c>
      <c r="C15" s="128">
        <f>ROUND('DOE25'!L203+'DOE25'!L221+'DOE25'!L239+'DOE25'!L282+'DOE25'!L301+'DOE25'!L320,0)</f>
        <v>423723</v>
      </c>
      <c r="D15" s="131">
        <f t="shared" ref="D15:D27" si="0">ROUND((C15/$C$28)*100,1)</f>
        <v>9.4</v>
      </c>
    </row>
    <row r="16" spans="1:4" x14ac:dyDescent="0.2">
      <c r="A16">
        <v>2200</v>
      </c>
      <c r="B16" t="s">
        <v>707</v>
      </c>
      <c r="C16" s="128">
        <f>ROUND('DOE25'!L204+'DOE25'!L222+'DOE25'!L240+'DOE25'!L283+'DOE25'!L302+'DOE25'!L321,0)</f>
        <v>279936</v>
      </c>
      <c r="D16" s="131">
        <f t="shared" si="0"/>
        <v>6.2</v>
      </c>
    </row>
    <row r="17" spans="1:4" x14ac:dyDescent="0.2">
      <c r="A17" s="132" t="s">
        <v>723</v>
      </c>
      <c r="B17" t="s">
        <v>738</v>
      </c>
      <c r="C17" s="128">
        <f>ROUND('DOE25'!L205+'DOE25'!L210+'DOE25'!L223+'DOE25'!L228+'DOE25'!L241+'DOE25'!L246+'DOE25'!L284+'DOE25'!L289+'DOE25'!L303+'DOE25'!L308+'DOE25'!L322+'DOE25'!L327,0)</f>
        <v>185373</v>
      </c>
      <c r="D17" s="131">
        <f t="shared" si="0"/>
        <v>4.0999999999999996</v>
      </c>
    </row>
    <row r="18" spans="1:4" x14ac:dyDescent="0.2">
      <c r="A18">
        <v>2400</v>
      </c>
      <c r="B18" t="s">
        <v>711</v>
      </c>
      <c r="C18" s="128">
        <f>ROUND('DOE25'!L206+'DOE25'!L224+'DOE25'!L242+'DOE25'!L285+'DOE25'!L304+'DOE25'!L323,0)</f>
        <v>285887</v>
      </c>
      <c r="D18" s="131">
        <f t="shared" si="0"/>
        <v>6.3</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628410</v>
      </c>
      <c r="D20" s="131">
        <f t="shared" si="0"/>
        <v>13.9</v>
      </c>
    </row>
    <row r="21" spans="1:4" x14ac:dyDescent="0.2">
      <c r="A21">
        <v>2700</v>
      </c>
      <c r="B21" t="s">
        <v>710</v>
      </c>
      <c r="C21" s="128">
        <f>ROUND('DOE25'!L209+'DOE25'!L227+'DOE25'!L245+'DOE25'!L288+'DOE25'!L307+'DOE25'!L326,0)</f>
        <v>73037</v>
      </c>
      <c r="D21" s="131">
        <f t="shared" si="0"/>
        <v>1.6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94473.75</v>
      </c>
      <c r="D27" s="131">
        <f t="shared" si="0"/>
        <v>2.1</v>
      </c>
    </row>
    <row r="28" spans="1:4" x14ac:dyDescent="0.2">
      <c r="B28" s="135" t="s">
        <v>719</v>
      </c>
      <c r="C28" s="129">
        <f>SUM(C10:C27)</f>
        <v>4517953.75</v>
      </c>
      <c r="D28" s="133">
        <f>ROUND(SUM(D10:D27),0)</f>
        <v>100</v>
      </c>
    </row>
    <row r="29" spans="1:4" x14ac:dyDescent="0.2">
      <c r="A29">
        <v>4000</v>
      </c>
      <c r="B29" t="s">
        <v>724</v>
      </c>
      <c r="C29" s="128">
        <f>ROUND('DOE25'!L256+'DOE25'!L337+'DOE25'!L375+'DOE25'!L376+'DOE25'!L377+'DOE25'!L378+'DOE25'!L379+'DOE25'!L380+'DOE25'!L381,0)</f>
        <v>211709</v>
      </c>
    </row>
    <row r="30" spans="1:4" x14ac:dyDescent="0.2">
      <c r="B30" s="135" t="s">
        <v>725</v>
      </c>
      <c r="C30" s="129">
        <f>SUM(C28:C29)</f>
        <v>4729662.75</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2879135</v>
      </c>
      <c r="D35" s="131">
        <f t="shared" ref="D35:D40" si="1">ROUND((C35/$C$41)*100,1)</f>
        <v>63.4</v>
      </c>
    </row>
    <row r="36" spans="1:4" x14ac:dyDescent="0.2">
      <c r="B36" s="71" t="s">
        <v>739</v>
      </c>
      <c r="C36" s="128">
        <f>SUM('DOE25'!F112:J112)-SUM('DOE25'!G97:G110)+('DOE25'!F175+'DOE25'!F176+'DOE25'!I175+'DOE25'!I176)-C35</f>
        <v>15562.570000000298</v>
      </c>
      <c r="D36" s="131">
        <f t="shared" si="1"/>
        <v>0.3</v>
      </c>
    </row>
    <row r="37" spans="1:4" x14ac:dyDescent="0.2">
      <c r="A37" s="132" t="s">
        <v>831</v>
      </c>
      <c r="B37" s="71" t="s">
        <v>728</v>
      </c>
      <c r="C37" s="128">
        <f>ROUND('DOE25'!F117+'DOE25'!F118,0)</f>
        <v>1036274</v>
      </c>
      <c r="D37" s="131">
        <f t="shared" si="1"/>
        <v>22.8</v>
      </c>
    </row>
    <row r="38" spans="1:4" x14ac:dyDescent="0.2">
      <c r="A38" s="132" t="s">
        <v>734</v>
      </c>
      <c r="B38" s="71" t="s">
        <v>729</v>
      </c>
      <c r="C38" s="128">
        <f>ROUND(SUM('DOE25'!F140:J140)-SUM('DOE25'!F117:F119),0)</f>
        <v>8748</v>
      </c>
      <c r="D38" s="131">
        <f t="shared" si="1"/>
        <v>0.2</v>
      </c>
    </row>
    <row r="39" spans="1:4" x14ac:dyDescent="0.2">
      <c r="A39">
        <v>4000</v>
      </c>
      <c r="B39" s="71" t="s">
        <v>730</v>
      </c>
      <c r="C39" s="128">
        <f>ROUND('DOE25'!F170+'DOE25'!G170+'DOE25'!H170+'DOE25'!I170,0)</f>
        <v>601361</v>
      </c>
      <c r="D39" s="131">
        <f t="shared" si="1"/>
        <v>13.2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4541080.57</v>
      </c>
      <c r="D41" s="133">
        <f>SUM(D35:D40)</f>
        <v>99.9</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40" t="s">
        <v>763</v>
      </c>
      <c r="B1" s="341"/>
      <c r="C1" s="341"/>
      <c r="D1" s="341"/>
      <c r="E1" s="341"/>
      <c r="F1" s="341"/>
      <c r="G1" s="341"/>
      <c r="H1" s="341"/>
      <c r="I1" s="341"/>
      <c r="J1" s="154"/>
      <c r="K1" s="154"/>
      <c r="L1" s="154"/>
      <c r="M1" s="155"/>
    </row>
    <row r="2" spans="1:13" ht="12.75" x14ac:dyDescent="0.2">
      <c r="A2" s="345" t="s">
        <v>760</v>
      </c>
      <c r="B2" s="346"/>
      <c r="C2" s="346"/>
      <c r="D2" s="346"/>
      <c r="E2" s="346"/>
      <c r="F2" s="343" t="str">
        <f>'DOE25'!A2</f>
        <v>Ashland</v>
      </c>
      <c r="G2" s="344"/>
      <c r="H2" s="344"/>
      <c r="I2" s="344"/>
      <c r="M2" s="156"/>
    </row>
    <row r="3" spans="1:13" x14ac:dyDescent="0.2">
      <c r="A3" s="157" t="s">
        <v>761</v>
      </c>
      <c r="B3" s="130" t="s">
        <v>762</v>
      </c>
      <c r="C3" s="325" t="s">
        <v>764</v>
      </c>
      <c r="D3" s="325"/>
      <c r="E3" s="325"/>
      <c r="F3" s="325"/>
      <c r="G3" s="325"/>
      <c r="H3" s="325"/>
      <c r="I3" s="325"/>
      <c r="J3" s="325"/>
      <c r="K3" s="325"/>
      <c r="L3" s="325"/>
      <c r="M3" s="342"/>
    </row>
    <row r="4" spans="1:13" x14ac:dyDescent="0.2">
      <c r="A4" s="158"/>
      <c r="B4" s="149"/>
      <c r="C4" s="333"/>
      <c r="D4" s="333"/>
      <c r="E4" s="333"/>
      <c r="F4" s="333"/>
      <c r="G4" s="333"/>
      <c r="H4" s="333"/>
      <c r="I4" s="333"/>
      <c r="J4" s="333"/>
      <c r="K4" s="333"/>
      <c r="L4" s="333"/>
      <c r="M4" s="334"/>
    </row>
    <row r="5" spans="1:13" x14ac:dyDescent="0.2">
      <c r="A5" s="158"/>
      <c r="B5" s="149"/>
      <c r="C5" s="333"/>
      <c r="D5" s="333"/>
      <c r="E5" s="333"/>
      <c r="F5" s="333"/>
      <c r="G5" s="333"/>
      <c r="H5" s="333"/>
      <c r="I5" s="333"/>
      <c r="J5" s="333"/>
      <c r="K5" s="333"/>
      <c r="L5" s="333"/>
      <c r="M5" s="334"/>
    </row>
    <row r="6" spans="1:13" x14ac:dyDescent="0.2">
      <c r="A6" s="158"/>
      <c r="B6" s="149"/>
      <c r="C6" s="333"/>
      <c r="D6" s="333"/>
      <c r="E6" s="333"/>
      <c r="F6" s="333"/>
      <c r="G6" s="333"/>
      <c r="H6" s="333"/>
      <c r="I6" s="333"/>
      <c r="J6" s="333"/>
      <c r="K6" s="333"/>
      <c r="L6" s="333"/>
      <c r="M6" s="334"/>
    </row>
    <row r="7" spans="1:13" x14ac:dyDescent="0.2">
      <c r="A7" s="158"/>
      <c r="B7" s="149"/>
      <c r="C7" s="333"/>
      <c r="D7" s="333"/>
      <c r="E7" s="333"/>
      <c r="F7" s="333"/>
      <c r="G7" s="333"/>
      <c r="H7" s="333"/>
      <c r="I7" s="333"/>
      <c r="J7" s="333"/>
      <c r="K7" s="333"/>
      <c r="L7" s="333"/>
      <c r="M7" s="334"/>
    </row>
    <row r="8" spans="1:13" x14ac:dyDescent="0.2">
      <c r="A8" s="158"/>
      <c r="B8" s="149"/>
      <c r="C8" s="333"/>
      <c r="D8" s="333"/>
      <c r="E8" s="333"/>
      <c r="F8" s="333"/>
      <c r="G8" s="333"/>
      <c r="H8" s="333"/>
      <c r="I8" s="333"/>
      <c r="J8" s="333"/>
      <c r="K8" s="333"/>
      <c r="L8" s="333"/>
      <c r="M8" s="334"/>
    </row>
    <row r="9" spans="1:13" x14ac:dyDescent="0.2">
      <c r="A9" s="158"/>
      <c r="B9" s="149"/>
      <c r="C9" s="333"/>
      <c r="D9" s="333"/>
      <c r="E9" s="333"/>
      <c r="F9" s="333"/>
      <c r="G9" s="333"/>
      <c r="H9" s="333"/>
      <c r="I9" s="333"/>
      <c r="J9" s="333"/>
      <c r="K9" s="333"/>
      <c r="L9" s="333"/>
      <c r="M9" s="334"/>
    </row>
    <row r="10" spans="1:13" x14ac:dyDescent="0.2">
      <c r="A10" s="158"/>
      <c r="B10" s="149"/>
      <c r="C10" s="333"/>
      <c r="D10" s="333"/>
      <c r="E10" s="333"/>
      <c r="F10" s="333"/>
      <c r="G10" s="333"/>
      <c r="H10" s="333"/>
      <c r="I10" s="333"/>
      <c r="J10" s="333"/>
      <c r="K10" s="333"/>
      <c r="L10" s="333"/>
      <c r="M10" s="334"/>
    </row>
    <row r="11" spans="1:13" x14ac:dyDescent="0.2">
      <c r="A11" s="158"/>
      <c r="B11" s="149"/>
      <c r="C11" s="333"/>
      <c r="D11" s="333"/>
      <c r="E11" s="333"/>
      <c r="F11" s="333"/>
      <c r="G11" s="333"/>
      <c r="H11" s="333"/>
      <c r="I11" s="333"/>
      <c r="J11" s="333"/>
      <c r="K11" s="333"/>
      <c r="L11" s="333"/>
      <c r="M11" s="334"/>
    </row>
    <row r="12" spans="1:13" x14ac:dyDescent="0.2">
      <c r="A12" s="158"/>
      <c r="B12" s="149"/>
      <c r="C12" s="333"/>
      <c r="D12" s="333"/>
      <c r="E12" s="333"/>
      <c r="F12" s="333"/>
      <c r="G12" s="333"/>
      <c r="H12" s="333"/>
      <c r="I12" s="333"/>
      <c r="J12" s="333"/>
      <c r="K12" s="333"/>
      <c r="L12" s="333"/>
      <c r="M12" s="334"/>
    </row>
    <row r="13" spans="1:13" x14ac:dyDescent="0.2">
      <c r="A13" s="158"/>
      <c r="B13" s="149"/>
      <c r="C13" s="333"/>
      <c r="D13" s="333"/>
      <c r="E13" s="333"/>
      <c r="F13" s="333"/>
      <c r="G13" s="333"/>
      <c r="H13" s="333"/>
      <c r="I13" s="333"/>
      <c r="J13" s="333"/>
      <c r="K13" s="333"/>
      <c r="L13" s="333"/>
      <c r="M13" s="334"/>
    </row>
    <row r="14" spans="1:13" x14ac:dyDescent="0.2">
      <c r="A14" s="158"/>
      <c r="B14" s="149"/>
      <c r="C14" s="333"/>
      <c r="D14" s="333"/>
      <c r="E14" s="333"/>
      <c r="F14" s="333"/>
      <c r="G14" s="333"/>
      <c r="H14" s="333"/>
      <c r="I14" s="333"/>
      <c r="J14" s="333"/>
      <c r="K14" s="333"/>
      <c r="L14" s="333"/>
      <c r="M14" s="334"/>
    </row>
    <row r="15" spans="1:13" x14ac:dyDescent="0.2">
      <c r="A15" s="158"/>
      <c r="B15" s="149"/>
      <c r="C15" s="333"/>
      <c r="D15" s="333"/>
      <c r="E15" s="333"/>
      <c r="F15" s="333"/>
      <c r="G15" s="333"/>
      <c r="H15" s="333"/>
      <c r="I15" s="333"/>
      <c r="J15" s="333"/>
      <c r="K15" s="333"/>
      <c r="L15" s="333"/>
      <c r="M15" s="334"/>
    </row>
    <row r="16" spans="1:13" x14ac:dyDescent="0.2">
      <c r="A16" s="158"/>
      <c r="B16" s="149"/>
      <c r="C16" s="333"/>
      <c r="D16" s="333"/>
      <c r="E16" s="333"/>
      <c r="F16" s="333"/>
      <c r="G16" s="333"/>
      <c r="H16" s="333"/>
      <c r="I16" s="333"/>
      <c r="J16" s="333"/>
      <c r="K16" s="333"/>
      <c r="L16" s="333"/>
      <c r="M16" s="334"/>
    </row>
    <row r="17" spans="1:256" x14ac:dyDescent="0.2">
      <c r="A17" s="158"/>
      <c r="B17" s="149"/>
      <c r="C17" s="333"/>
      <c r="D17" s="333"/>
      <c r="E17" s="333"/>
      <c r="F17" s="333"/>
      <c r="G17" s="333"/>
      <c r="H17" s="333"/>
      <c r="I17" s="333"/>
      <c r="J17" s="333"/>
      <c r="K17" s="333"/>
      <c r="L17" s="333"/>
      <c r="M17" s="334"/>
    </row>
    <row r="18" spans="1:256" x14ac:dyDescent="0.2">
      <c r="A18" s="158"/>
      <c r="B18" s="149"/>
      <c r="C18" s="333"/>
      <c r="D18" s="333"/>
      <c r="E18" s="333"/>
      <c r="F18" s="333"/>
      <c r="G18" s="333"/>
      <c r="H18" s="333"/>
      <c r="I18" s="333"/>
      <c r="J18" s="333"/>
      <c r="K18" s="333"/>
      <c r="L18" s="333"/>
      <c r="M18" s="334"/>
    </row>
    <row r="19" spans="1:256" x14ac:dyDescent="0.2">
      <c r="A19" s="158"/>
      <c r="B19" s="149"/>
      <c r="C19" s="333"/>
      <c r="D19" s="333"/>
      <c r="E19" s="333"/>
      <c r="F19" s="333"/>
      <c r="G19" s="333"/>
      <c r="H19" s="333"/>
      <c r="I19" s="333"/>
      <c r="J19" s="333"/>
      <c r="K19" s="333"/>
      <c r="L19" s="333"/>
      <c r="M19" s="334"/>
    </row>
    <row r="20" spans="1:256" x14ac:dyDescent="0.2">
      <c r="A20" s="158"/>
      <c r="B20" s="149"/>
      <c r="C20" s="333"/>
      <c r="D20" s="333"/>
      <c r="E20" s="333"/>
      <c r="F20" s="333"/>
      <c r="G20" s="333"/>
      <c r="H20" s="333"/>
      <c r="I20" s="333"/>
      <c r="J20" s="333"/>
      <c r="K20" s="333"/>
      <c r="L20" s="333"/>
      <c r="M20" s="334"/>
    </row>
    <row r="21" spans="1:256" x14ac:dyDescent="0.2">
      <c r="A21" s="158"/>
      <c r="B21" s="149"/>
      <c r="C21" s="333"/>
      <c r="D21" s="333"/>
      <c r="E21" s="333"/>
      <c r="F21" s="333"/>
      <c r="G21" s="333"/>
      <c r="H21" s="333"/>
      <c r="I21" s="333"/>
      <c r="J21" s="333"/>
      <c r="K21" s="333"/>
      <c r="L21" s="333"/>
      <c r="M21" s="334"/>
    </row>
    <row r="22" spans="1:256" x14ac:dyDescent="0.2">
      <c r="A22" s="158"/>
      <c r="B22" s="149"/>
      <c r="C22" s="333"/>
      <c r="D22" s="333"/>
      <c r="E22" s="333"/>
      <c r="F22" s="333"/>
      <c r="G22" s="333"/>
      <c r="H22" s="333"/>
      <c r="I22" s="333"/>
      <c r="J22" s="333"/>
      <c r="K22" s="333"/>
      <c r="L22" s="333"/>
      <c r="M22" s="334"/>
    </row>
    <row r="23" spans="1:256" x14ac:dyDescent="0.2">
      <c r="A23" s="158"/>
      <c r="B23" s="149"/>
      <c r="C23" s="333"/>
      <c r="D23" s="333"/>
      <c r="E23" s="333"/>
      <c r="F23" s="333"/>
      <c r="G23" s="333"/>
      <c r="H23" s="333"/>
      <c r="I23" s="333"/>
      <c r="J23" s="333"/>
      <c r="K23" s="333"/>
      <c r="L23" s="333"/>
      <c r="M23" s="334"/>
    </row>
    <row r="24" spans="1:256" x14ac:dyDescent="0.2">
      <c r="A24" s="158"/>
      <c r="B24" s="149"/>
      <c r="C24" s="333"/>
      <c r="D24" s="333"/>
      <c r="E24" s="333"/>
      <c r="F24" s="333"/>
      <c r="G24" s="333"/>
      <c r="H24" s="333"/>
      <c r="I24" s="333"/>
      <c r="J24" s="333"/>
      <c r="K24" s="333"/>
      <c r="L24" s="333"/>
      <c r="M24" s="334"/>
    </row>
    <row r="25" spans="1:256" x14ac:dyDescent="0.2">
      <c r="A25" s="158"/>
      <c r="B25" s="149"/>
      <c r="C25" s="333"/>
      <c r="D25" s="333"/>
      <c r="E25" s="333"/>
      <c r="F25" s="333"/>
      <c r="G25" s="333"/>
      <c r="H25" s="333"/>
      <c r="I25" s="333"/>
      <c r="J25" s="333"/>
      <c r="K25" s="333"/>
      <c r="L25" s="333"/>
      <c r="M25" s="334"/>
    </row>
    <row r="26" spans="1:256" x14ac:dyDescent="0.2">
      <c r="A26" s="158"/>
      <c r="B26" s="149"/>
      <c r="C26" s="333"/>
      <c r="D26" s="333"/>
      <c r="E26" s="333"/>
      <c r="F26" s="333"/>
      <c r="G26" s="333"/>
      <c r="H26" s="333"/>
      <c r="I26" s="333"/>
      <c r="J26" s="333"/>
      <c r="K26" s="333"/>
      <c r="L26" s="333"/>
      <c r="M26" s="334"/>
    </row>
    <row r="27" spans="1:256" x14ac:dyDescent="0.2">
      <c r="A27" s="158"/>
      <c r="B27" s="149"/>
      <c r="C27" s="333"/>
      <c r="D27" s="333"/>
      <c r="E27" s="333"/>
      <c r="F27" s="333"/>
      <c r="G27" s="333"/>
      <c r="H27" s="333"/>
      <c r="I27" s="333"/>
      <c r="J27" s="333"/>
      <c r="K27" s="333"/>
      <c r="L27" s="333"/>
      <c r="M27" s="334"/>
    </row>
    <row r="28" spans="1:256" x14ac:dyDescent="0.2">
      <c r="A28" s="158"/>
      <c r="B28" s="149"/>
      <c r="C28" s="333"/>
      <c r="D28" s="333"/>
      <c r="E28" s="333"/>
      <c r="F28" s="333"/>
      <c r="G28" s="333"/>
      <c r="H28" s="333"/>
      <c r="I28" s="333"/>
      <c r="J28" s="333"/>
      <c r="K28" s="333"/>
      <c r="L28" s="333"/>
      <c r="M28" s="334"/>
    </row>
    <row r="29" spans="1:256" x14ac:dyDescent="0.2">
      <c r="A29" s="158"/>
      <c r="B29" s="149"/>
      <c r="C29" s="333"/>
      <c r="D29" s="333"/>
      <c r="E29" s="333"/>
      <c r="F29" s="333"/>
      <c r="G29" s="333"/>
      <c r="H29" s="333"/>
      <c r="I29" s="333"/>
      <c r="J29" s="333"/>
      <c r="K29" s="333"/>
      <c r="L29" s="333"/>
      <c r="M29" s="334"/>
      <c r="N29" s="152"/>
      <c r="O29" s="152"/>
      <c r="P29" s="338"/>
      <c r="Q29" s="338"/>
      <c r="R29" s="338"/>
      <c r="S29" s="338"/>
      <c r="T29" s="338"/>
      <c r="U29" s="338"/>
      <c r="V29" s="338"/>
      <c r="W29" s="338"/>
      <c r="X29" s="338"/>
      <c r="Y29" s="338"/>
      <c r="Z29" s="338"/>
      <c r="AA29" s="149"/>
      <c r="AB29" s="149"/>
      <c r="AC29" s="333"/>
      <c r="AD29" s="333"/>
      <c r="AE29" s="333"/>
      <c r="AF29" s="333"/>
      <c r="AG29" s="333"/>
      <c r="AH29" s="333"/>
      <c r="AI29" s="333"/>
      <c r="AJ29" s="333"/>
      <c r="AK29" s="333"/>
      <c r="AL29" s="333"/>
      <c r="AM29" s="333"/>
      <c r="AN29" s="149"/>
      <c r="AO29" s="149"/>
      <c r="AP29" s="333"/>
      <c r="AQ29" s="333"/>
      <c r="AR29" s="333"/>
      <c r="AS29" s="333"/>
      <c r="AT29" s="333"/>
      <c r="AU29" s="333"/>
      <c r="AV29" s="333"/>
      <c r="AW29" s="333"/>
      <c r="AX29" s="333"/>
      <c r="AY29" s="333"/>
      <c r="AZ29" s="333"/>
      <c r="BA29" s="149"/>
      <c r="BB29" s="149"/>
      <c r="BC29" s="333"/>
      <c r="BD29" s="333"/>
      <c r="BE29" s="333"/>
      <c r="BF29" s="333"/>
      <c r="BG29" s="333"/>
      <c r="BH29" s="333"/>
      <c r="BI29" s="333"/>
      <c r="BJ29" s="333"/>
      <c r="BK29" s="333"/>
      <c r="BL29" s="333"/>
      <c r="BM29" s="333"/>
      <c r="BN29" s="149"/>
      <c r="BO29" s="149"/>
      <c r="BP29" s="333"/>
      <c r="BQ29" s="333"/>
      <c r="BR29" s="333"/>
      <c r="BS29" s="333"/>
      <c r="BT29" s="333"/>
      <c r="BU29" s="333"/>
      <c r="BV29" s="333"/>
      <c r="BW29" s="333"/>
      <c r="BX29" s="333"/>
      <c r="BY29" s="333"/>
      <c r="BZ29" s="333"/>
      <c r="CA29" s="149"/>
      <c r="CB29" s="149"/>
      <c r="CC29" s="333"/>
      <c r="CD29" s="333"/>
      <c r="CE29" s="333"/>
      <c r="CF29" s="333"/>
      <c r="CG29" s="333"/>
      <c r="CH29" s="333"/>
      <c r="CI29" s="333"/>
      <c r="CJ29" s="333"/>
      <c r="CK29" s="333"/>
      <c r="CL29" s="333"/>
      <c r="CM29" s="333"/>
      <c r="CN29" s="149"/>
      <c r="CO29" s="149"/>
      <c r="CP29" s="333"/>
      <c r="CQ29" s="333"/>
      <c r="CR29" s="333"/>
      <c r="CS29" s="333"/>
      <c r="CT29" s="333"/>
      <c r="CU29" s="333"/>
      <c r="CV29" s="333"/>
      <c r="CW29" s="333"/>
      <c r="CX29" s="333"/>
      <c r="CY29" s="333"/>
      <c r="CZ29" s="333"/>
      <c r="DA29" s="149"/>
      <c r="DB29" s="149"/>
      <c r="DC29" s="333"/>
      <c r="DD29" s="333"/>
      <c r="DE29" s="333"/>
      <c r="DF29" s="333"/>
      <c r="DG29" s="333"/>
      <c r="DH29" s="333"/>
      <c r="DI29" s="333"/>
      <c r="DJ29" s="333"/>
      <c r="DK29" s="333"/>
      <c r="DL29" s="333"/>
      <c r="DM29" s="333"/>
      <c r="DN29" s="149"/>
      <c r="DO29" s="149"/>
      <c r="DP29" s="333"/>
      <c r="DQ29" s="333"/>
      <c r="DR29" s="333"/>
      <c r="DS29" s="333"/>
      <c r="DT29" s="333"/>
      <c r="DU29" s="333"/>
      <c r="DV29" s="333"/>
      <c r="DW29" s="333"/>
      <c r="DX29" s="333"/>
      <c r="DY29" s="333"/>
      <c r="DZ29" s="333"/>
      <c r="EA29" s="149"/>
      <c r="EB29" s="149"/>
      <c r="EC29" s="333"/>
      <c r="ED29" s="333"/>
      <c r="EE29" s="333"/>
      <c r="EF29" s="333"/>
      <c r="EG29" s="333"/>
      <c r="EH29" s="333"/>
      <c r="EI29" s="333"/>
      <c r="EJ29" s="333"/>
      <c r="EK29" s="333"/>
      <c r="EL29" s="333"/>
      <c r="EM29" s="333"/>
      <c r="EN29" s="149"/>
      <c r="EO29" s="149"/>
      <c r="EP29" s="333"/>
      <c r="EQ29" s="333"/>
      <c r="ER29" s="333"/>
      <c r="ES29" s="333"/>
      <c r="ET29" s="333"/>
      <c r="EU29" s="333"/>
      <c r="EV29" s="333"/>
      <c r="EW29" s="333"/>
      <c r="EX29" s="333"/>
      <c r="EY29" s="333"/>
      <c r="EZ29" s="333"/>
      <c r="FA29" s="149"/>
      <c r="FB29" s="149"/>
      <c r="FC29" s="333"/>
      <c r="FD29" s="333"/>
      <c r="FE29" s="333"/>
      <c r="FF29" s="333"/>
      <c r="FG29" s="333"/>
      <c r="FH29" s="333"/>
      <c r="FI29" s="333"/>
      <c r="FJ29" s="333"/>
      <c r="FK29" s="333"/>
      <c r="FL29" s="333"/>
      <c r="FM29" s="333"/>
      <c r="FN29" s="149"/>
      <c r="FO29" s="149"/>
      <c r="FP29" s="333"/>
      <c r="FQ29" s="333"/>
      <c r="FR29" s="333"/>
      <c r="FS29" s="333"/>
      <c r="FT29" s="333"/>
      <c r="FU29" s="333"/>
      <c r="FV29" s="333"/>
      <c r="FW29" s="333"/>
      <c r="FX29" s="333"/>
      <c r="FY29" s="333"/>
      <c r="FZ29" s="333"/>
      <c r="GA29" s="149"/>
      <c r="GB29" s="149"/>
      <c r="GC29" s="333"/>
      <c r="GD29" s="333"/>
      <c r="GE29" s="333"/>
      <c r="GF29" s="333"/>
      <c r="GG29" s="333"/>
      <c r="GH29" s="333"/>
      <c r="GI29" s="333"/>
      <c r="GJ29" s="333"/>
      <c r="GK29" s="333"/>
      <c r="GL29" s="333"/>
      <c r="GM29" s="333"/>
      <c r="GN29" s="149"/>
      <c r="GO29" s="149"/>
      <c r="GP29" s="333"/>
      <c r="GQ29" s="333"/>
      <c r="GR29" s="333"/>
      <c r="GS29" s="333"/>
      <c r="GT29" s="333"/>
      <c r="GU29" s="333"/>
      <c r="GV29" s="333"/>
      <c r="GW29" s="333"/>
      <c r="GX29" s="333"/>
      <c r="GY29" s="333"/>
      <c r="GZ29" s="333"/>
      <c r="HA29" s="149"/>
      <c r="HB29" s="149"/>
      <c r="HC29" s="333"/>
      <c r="HD29" s="333"/>
      <c r="HE29" s="333"/>
      <c r="HF29" s="333"/>
      <c r="HG29" s="333"/>
      <c r="HH29" s="333"/>
      <c r="HI29" s="333"/>
      <c r="HJ29" s="333"/>
      <c r="HK29" s="333"/>
      <c r="HL29" s="333"/>
      <c r="HM29" s="333"/>
      <c r="HN29" s="149"/>
      <c r="HO29" s="149"/>
      <c r="HP29" s="333"/>
      <c r="HQ29" s="333"/>
      <c r="HR29" s="333"/>
      <c r="HS29" s="333"/>
      <c r="HT29" s="333"/>
      <c r="HU29" s="333"/>
      <c r="HV29" s="333"/>
      <c r="HW29" s="333"/>
      <c r="HX29" s="333"/>
      <c r="HY29" s="333"/>
      <c r="HZ29" s="333"/>
      <c r="IA29" s="149"/>
      <c r="IB29" s="149"/>
      <c r="IC29" s="333"/>
      <c r="ID29" s="333"/>
      <c r="IE29" s="333"/>
      <c r="IF29" s="333"/>
      <c r="IG29" s="333"/>
      <c r="IH29" s="333"/>
      <c r="II29" s="333"/>
      <c r="IJ29" s="333"/>
      <c r="IK29" s="333"/>
      <c r="IL29" s="333"/>
      <c r="IM29" s="333"/>
      <c r="IN29" s="149"/>
      <c r="IO29" s="149"/>
      <c r="IP29" s="333"/>
      <c r="IQ29" s="333"/>
      <c r="IR29" s="333"/>
      <c r="IS29" s="333"/>
      <c r="IT29" s="333"/>
      <c r="IU29" s="333"/>
      <c r="IV29" s="333"/>
    </row>
    <row r="30" spans="1:256" x14ac:dyDescent="0.2">
      <c r="A30" s="158"/>
      <c r="B30" s="149"/>
      <c r="C30" s="333"/>
      <c r="D30" s="333"/>
      <c r="E30" s="333"/>
      <c r="F30" s="333"/>
      <c r="G30" s="333"/>
      <c r="H30" s="333"/>
      <c r="I30" s="333"/>
      <c r="J30" s="333"/>
      <c r="K30" s="333"/>
      <c r="L30" s="333"/>
      <c r="M30" s="334"/>
      <c r="N30" s="152"/>
      <c r="O30" s="152"/>
      <c r="P30" s="338"/>
      <c r="Q30" s="338"/>
      <c r="R30" s="338"/>
      <c r="S30" s="338"/>
      <c r="T30" s="338"/>
      <c r="U30" s="338"/>
      <c r="V30" s="338"/>
      <c r="W30" s="338"/>
      <c r="X30" s="338"/>
      <c r="Y30" s="338"/>
      <c r="Z30" s="338"/>
      <c r="AA30" s="149"/>
      <c r="AB30" s="149"/>
      <c r="AC30" s="333"/>
      <c r="AD30" s="333"/>
      <c r="AE30" s="333"/>
      <c r="AF30" s="333"/>
      <c r="AG30" s="333"/>
      <c r="AH30" s="333"/>
      <c r="AI30" s="333"/>
      <c r="AJ30" s="333"/>
      <c r="AK30" s="333"/>
      <c r="AL30" s="333"/>
      <c r="AM30" s="333"/>
      <c r="AN30" s="149"/>
      <c r="AO30" s="149"/>
      <c r="AP30" s="333"/>
      <c r="AQ30" s="333"/>
      <c r="AR30" s="333"/>
      <c r="AS30" s="333"/>
      <c r="AT30" s="333"/>
      <c r="AU30" s="333"/>
      <c r="AV30" s="333"/>
      <c r="AW30" s="333"/>
      <c r="AX30" s="333"/>
      <c r="AY30" s="333"/>
      <c r="AZ30" s="333"/>
      <c r="BA30" s="149"/>
      <c r="BB30" s="149"/>
      <c r="BC30" s="333"/>
      <c r="BD30" s="333"/>
      <c r="BE30" s="333"/>
      <c r="BF30" s="333"/>
      <c r="BG30" s="333"/>
      <c r="BH30" s="333"/>
      <c r="BI30" s="333"/>
      <c r="BJ30" s="333"/>
      <c r="BK30" s="333"/>
      <c r="BL30" s="333"/>
      <c r="BM30" s="333"/>
      <c r="BN30" s="149"/>
      <c r="BO30" s="149"/>
      <c r="BP30" s="333"/>
      <c r="BQ30" s="333"/>
      <c r="BR30" s="333"/>
      <c r="BS30" s="333"/>
      <c r="BT30" s="333"/>
      <c r="BU30" s="333"/>
      <c r="BV30" s="333"/>
      <c r="BW30" s="333"/>
      <c r="BX30" s="333"/>
      <c r="BY30" s="333"/>
      <c r="BZ30" s="333"/>
      <c r="CA30" s="149"/>
      <c r="CB30" s="149"/>
      <c r="CC30" s="333"/>
      <c r="CD30" s="333"/>
      <c r="CE30" s="333"/>
      <c r="CF30" s="333"/>
      <c r="CG30" s="333"/>
      <c r="CH30" s="333"/>
      <c r="CI30" s="333"/>
      <c r="CJ30" s="333"/>
      <c r="CK30" s="333"/>
      <c r="CL30" s="333"/>
      <c r="CM30" s="333"/>
      <c r="CN30" s="149"/>
      <c r="CO30" s="149"/>
      <c r="CP30" s="333"/>
      <c r="CQ30" s="333"/>
      <c r="CR30" s="333"/>
      <c r="CS30" s="333"/>
      <c r="CT30" s="333"/>
      <c r="CU30" s="333"/>
      <c r="CV30" s="333"/>
      <c r="CW30" s="333"/>
      <c r="CX30" s="333"/>
      <c r="CY30" s="333"/>
      <c r="CZ30" s="333"/>
      <c r="DA30" s="149"/>
      <c r="DB30" s="149"/>
      <c r="DC30" s="333"/>
      <c r="DD30" s="333"/>
      <c r="DE30" s="333"/>
      <c r="DF30" s="333"/>
      <c r="DG30" s="333"/>
      <c r="DH30" s="333"/>
      <c r="DI30" s="333"/>
      <c r="DJ30" s="333"/>
      <c r="DK30" s="333"/>
      <c r="DL30" s="333"/>
      <c r="DM30" s="333"/>
      <c r="DN30" s="149"/>
      <c r="DO30" s="149"/>
      <c r="DP30" s="333"/>
      <c r="DQ30" s="333"/>
      <c r="DR30" s="333"/>
      <c r="DS30" s="333"/>
      <c r="DT30" s="333"/>
      <c r="DU30" s="333"/>
      <c r="DV30" s="333"/>
      <c r="DW30" s="333"/>
      <c r="DX30" s="333"/>
      <c r="DY30" s="333"/>
      <c r="DZ30" s="333"/>
      <c r="EA30" s="149"/>
      <c r="EB30" s="149"/>
      <c r="EC30" s="333"/>
      <c r="ED30" s="333"/>
      <c r="EE30" s="333"/>
      <c r="EF30" s="333"/>
      <c r="EG30" s="333"/>
      <c r="EH30" s="333"/>
      <c r="EI30" s="333"/>
      <c r="EJ30" s="333"/>
      <c r="EK30" s="333"/>
      <c r="EL30" s="333"/>
      <c r="EM30" s="333"/>
      <c r="EN30" s="149"/>
      <c r="EO30" s="149"/>
      <c r="EP30" s="333"/>
      <c r="EQ30" s="333"/>
      <c r="ER30" s="333"/>
      <c r="ES30" s="333"/>
      <c r="ET30" s="333"/>
      <c r="EU30" s="333"/>
      <c r="EV30" s="333"/>
      <c r="EW30" s="333"/>
      <c r="EX30" s="333"/>
      <c r="EY30" s="333"/>
      <c r="EZ30" s="333"/>
      <c r="FA30" s="149"/>
      <c r="FB30" s="149"/>
      <c r="FC30" s="333"/>
      <c r="FD30" s="333"/>
      <c r="FE30" s="333"/>
      <c r="FF30" s="333"/>
      <c r="FG30" s="333"/>
      <c r="FH30" s="333"/>
      <c r="FI30" s="333"/>
      <c r="FJ30" s="333"/>
      <c r="FK30" s="333"/>
      <c r="FL30" s="333"/>
      <c r="FM30" s="333"/>
      <c r="FN30" s="149"/>
      <c r="FO30" s="149"/>
      <c r="FP30" s="333"/>
      <c r="FQ30" s="333"/>
      <c r="FR30" s="333"/>
      <c r="FS30" s="333"/>
      <c r="FT30" s="333"/>
      <c r="FU30" s="333"/>
      <c r="FV30" s="333"/>
      <c r="FW30" s="333"/>
      <c r="FX30" s="333"/>
      <c r="FY30" s="333"/>
      <c r="FZ30" s="333"/>
      <c r="GA30" s="149"/>
      <c r="GB30" s="149"/>
      <c r="GC30" s="333"/>
      <c r="GD30" s="333"/>
      <c r="GE30" s="333"/>
      <c r="GF30" s="333"/>
      <c r="GG30" s="333"/>
      <c r="GH30" s="333"/>
      <c r="GI30" s="333"/>
      <c r="GJ30" s="333"/>
      <c r="GK30" s="333"/>
      <c r="GL30" s="333"/>
      <c r="GM30" s="333"/>
      <c r="GN30" s="149"/>
      <c r="GO30" s="149"/>
      <c r="GP30" s="333"/>
      <c r="GQ30" s="333"/>
      <c r="GR30" s="333"/>
      <c r="GS30" s="333"/>
      <c r="GT30" s="333"/>
      <c r="GU30" s="333"/>
      <c r="GV30" s="333"/>
      <c r="GW30" s="333"/>
      <c r="GX30" s="333"/>
      <c r="GY30" s="333"/>
      <c r="GZ30" s="333"/>
      <c r="HA30" s="149"/>
      <c r="HB30" s="149"/>
      <c r="HC30" s="333"/>
      <c r="HD30" s="333"/>
      <c r="HE30" s="333"/>
      <c r="HF30" s="333"/>
      <c r="HG30" s="333"/>
      <c r="HH30" s="333"/>
      <c r="HI30" s="333"/>
      <c r="HJ30" s="333"/>
      <c r="HK30" s="333"/>
      <c r="HL30" s="333"/>
      <c r="HM30" s="333"/>
      <c r="HN30" s="149"/>
      <c r="HO30" s="149"/>
      <c r="HP30" s="333"/>
      <c r="HQ30" s="333"/>
      <c r="HR30" s="333"/>
      <c r="HS30" s="333"/>
      <c r="HT30" s="333"/>
      <c r="HU30" s="333"/>
      <c r="HV30" s="333"/>
      <c r="HW30" s="333"/>
      <c r="HX30" s="333"/>
      <c r="HY30" s="333"/>
      <c r="HZ30" s="333"/>
      <c r="IA30" s="149"/>
      <c r="IB30" s="149"/>
      <c r="IC30" s="333"/>
      <c r="ID30" s="333"/>
      <c r="IE30" s="333"/>
      <c r="IF30" s="333"/>
      <c r="IG30" s="333"/>
      <c r="IH30" s="333"/>
      <c r="II30" s="333"/>
      <c r="IJ30" s="333"/>
      <c r="IK30" s="333"/>
      <c r="IL30" s="333"/>
      <c r="IM30" s="333"/>
      <c r="IN30" s="149"/>
      <c r="IO30" s="149"/>
      <c r="IP30" s="333"/>
      <c r="IQ30" s="333"/>
      <c r="IR30" s="333"/>
      <c r="IS30" s="333"/>
      <c r="IT30" s="333"/>
      <c r="IU30" s="333"/>
      <c r="IV30" s="333"/>
    </row>
    <row r="31" spans="1:256" x14ac:dyDescent="0.2">
      <c r="A31" s="158"/>
      <c r="B31" s="149"/>
      <c r="C31" s="333"/>
      <c r="D31" s="333"/>
      <c r="E31" s="333"/>
      <c r="F31" s="333"/>
      <c r="G31" s="333"/>
      <c r="H31" s="333"/>
      <c r="I31" s="333"/>
      <c r="J31" s="333"/>
      <c r="K31" s="333"/>
      <c r="L31" s="333"/>
      <c r="M31" s="334"/>
      <c r="N31" s="152"/>
      <c r="O31" s="152"/>
      <c r="P31" s="338"/>
      <c r="Q31" s="338"/>
      <c r="R31" s="338"/>
      <c r="S31" s="338"/>
      <c r="T31" s="338"/>
      <c r="U31" s="338"/>
      <c r="V31" s="338"/>
      <c r="W31" s="338"/>
      <c r="X31" s="338"/>
      <c r="Y31" s="338"/>
      <c r="Z31" s="338"/>
      <c r="AA31" s="149"/>
      <c r="AB31" s="149"/>
      <c r="AC31" s="333"/>
      <c r="AD31" s="333"/>
      <c r="AE31" s="333"/>
      <c r="AF31" s="333"/>
      <c r="AG31" s="333"/>
      <c r="AH31" s="333"/>
      <c r="AI31" s="333"/>
      <c r="AJ31" s="333"/>
      <c r="AK31" s="333"/>
      <c r="AL31" s="333"/>
      <c r="AM31" s="333"/>
      <c r="AN31" s="149"/>
      <c r="AO31" s="149"/>
      <c r="AP31" s="333"/>
      <c r="AQ31" s="333"/>
      <c r="AR31" s="333"/>
      <c r="AS31" s="333"/>
      <c r="AT31" s="333"/>
      <c r="AU31" s="333"/>
      <c r="AV31" s="333"/>
      <c r="AW31" s="333"/>
      <c r="AX31" s="333"/>
      <c r="AY31" s="333"/>
      <c r="AZ31" s="333"/>
      <c r="BA31" s="149"/>
      <c r="BB31" s="149"/>
      <c r="BC31" s="333"/>
      <c r="BD31" s="333"/>
      <c r="BE31" s="333"/>
      <c r="BF31" s="333"/>
      <c r="BG31" s="333"/>
      <c r="BH31" s="333"/>
      <c r="BI31" s="333"/>
      <c r="BJ31" s="333"/>
      <c r="BK31" s="333"/>
      <c r="BL31" s="333"/>
      <c r="BM31" s="333"/>
      <c r="BN31" s="149"/>
      <c r="BO31" s="149"/>
      <c r="BP31" s="333"/>
      <c r="BQ31" s="333"/>
      <c r="BR31" s="333"/>
      <c r="BS31" s="333"/>
      <c r="BT31" s="333"/>
      <c r="BU31" s="333"/>
      <c r="BV31" s="333"/>
      <c r="BW31" s="333"/>
      <c r="BX31" s="333"/>
      <c r="BY31" s="333"/>
      <c r="BZ31" s="333"/>
      <c r="CA31" s="149"/>
      <c r="CB31" s="149"/>
      <c r="CC31" s="333"/>
      <c r="CD31" s="333"/>
      <c r="CE31" s="333"/>
      <c r="CF31" s="333"/>
      <c r="CG31" s="333"/>
      <c r="CH31" s="333"/>
      <c r="CI31" s="333"/>
      <c r="CJ31" s="333"/>
      <c r="CK31" s="333"/>
      <c r="CL31" s="333"/>
      <c r="CM31" s="333"/>
      <c r="CN31" s="149"/>
      <c r="CO31" s="149"/>
      <c r="CP31" s="333"/>
      <c r="CQ31" s="333"/>
      <c r="CR31" s="333"/>
      <c r="CS31" s="333"/>
      <c r="CT31" s="333"/>
      <c r="CU31" s="333"/>
      <c r="CV31" s="333"/>
      <c r="CW31" s="333"/>
      <c r="CX31" s="333"/>
      <c r="CY31" s="333"/>
      <c r="CZ31" s="333"/>
      <c r="DA31" s="149"/>
      <c r="DB31" s="149"/>
      <c r="DC31" s="333"/>
      <c r="DD31" s="333"/>
      <c r="DE31" s="333"/>
      <c r="DF31" s="333"/>
      <c r="DG31" s="333"/>
      <c r="DH31" s="333"/>
      <c r="DI31" s="333"/>
      <c r="DJ31" s="333"/>
      <c r="DK31" s="333"/>
      <c r="DL31" s="333"/>
      <c r="DM31" s="333"/>
      <c r="DN31" s="149"/>
      <c r="DO31" s="149"/>
      <c r="DP31" s="333"/>
      <c r="DQ31" s="333"/>
      <c r="DR31" s="333"/>
      <c r="DS31" s="333"/>
      <c r="DT31" s="333"/>
      <c r="DU31" s="333"/>
      <c r="DV31" s="333"/>
      <c r="DW31" s="333"/>
      <c r="DX31" s="333"/>
      <c r="DY31" s="333"/>
      <c r="DZ31" s="333"/>
      <c r="EA31" s="149"/>
      <c r="EB31" s="149"/>
      <c r="EC31" s="333"/>
      <c r="ED31" s="333"/>
      <c r="EE31" s="333"/>
      <c r="EF31" s="333"/>
      <c r="EG31" s="333"/>
      <c r="EH31" s="333"/>
      <c r="EI31" s="333"/>
      <c r="EJ31" s="333"/>
      <c r="EK31" s="333"/>
      <c r="EL31" s="333"/>
      <c r="EM31" s="333"/>
      <c r="EN31" s="149"/>
      <c r="EO31" s="149"/>
      <c r="EP31" s="333"/>
      <c r="EQ31" s="333"/>
      <c r="ER31" s="333"/>
      <c r="ES31" s="333"/>
      <c r="ET31" s="333"/>
      <c r="EU31" s="333"/>
      <c r="EV31" s="333"/>
      <c r="EW31" s="333"/>
      <c r="EX31" s="333"/>
      <c r="EY31" s="333"/>
      <c r="EZ31" s="333"/>
      <c r="FA31" s="149"/>
      <c r="FB31" s="149"/>
      <c r="FC31" s="333"/>
      <c r="FD31" s="333"/>
      <c r="FE31" s="333"/>
      <c r="FF31" s="333"/>
      <c r="FG31" s="333"/>
      <c r="FH31" s="333"/>
      <c r="FI31" s="333"/>
      <c r="FJ31" s="333"/>
      <c r="FK31" s="333"/>
      <c r="FL31" s="333"/>
      <c r="FM31" s="333"/>
      <c r="FN31" s="149"/>
      <c r="FO31" s="149"/>
      <c r="FP31" s="333"/>
      <c r="FQ31" s="333"/>
      <c r="FR31" s="333"/>
      <c r="FS31" s="333"/>
      <c r="FT31" s="333"/>
      <c r="FU31" s="333"/>
      <c r="FV31" s="333"/>
      <c r="FW31" s="333"/>
      <c r="FX31" s="333"/>
      <c r="FY31" s="333"/>
      <c r="FZ31" s="333"/>
      <c r="GA31" s="149"/>
      <c r="GB31" s="149"/>
      <c r="GC31" s="333"/>
      <c r="GD31" s="333"/>
      <c r="GE31" s="333"/>
      <c r="GF31" s="333"/>
      <c r="GG31" s="333"/>
      <c r="GH31" s="333"/>
      <c r="GI31" s="333"/>
      <c r="GJ31" s="333"/>
      <c r="GK31" s="333"/>
      <c r="GL31" s="333"/>
      <c r="GM31" s="333"/>
      <c r="GN31" s="149"/>
      <c r="GO31" s="149"/>
      <c r="GP31" s="333"/>
      <c r="GQ31" s="333"/>
      <c r="GR31" s="333"/>
      <c r="GS31" s="333"/>
      <c r="GT31" s="333"/>
      <c r="GU31" s="333"/>
      <c r="GV31" s="333"/>
      <c r="GW31" s="333"/>
      <c r="GX31" s="333"/>
      <c r="GY31" s="333"/>
      <c r="GZ31" s="333"/>
      <c r="HA31" s="149"/>
      <c r="HB31" s="149"/>
      <c r="HC31" s="333"/>
      <c r="HD31" s="333"/>
      <c r="HE31" s="333"/>
      <c r="HF31" s="333"/>
      <c r="HG31" s="333"/>
      <c r="HH31" s="333"/>
      <c r="HI31" s="333"/>
      <c r="HJ31" s="333"/>
      <c r="HK31" s="333"/>
      <c r="HL31" s="333"/>
      <c r="HM31" s="333"/>
      <c r="HN31" s="149"/>
      <c r="HO31" s="149"/>
      <c r="HP31" s="333"/>
      <c r="HQ31" s="333"/>
      <c r="HR31" s="333"/>
      <c r="HS31" s="333"/>
      <c r="HT31" s="333"/>
      <c r="HU31" s="333"/>
      <c r="HV31" s="333"/>
      <c r="HW31" s="333"/>
      <c r="HX31" s="333"/>
      <c r="HY31" s="333"/>
      <c r="HZ31" s="333"/>
      <c r="IA31" s="149"/>
      <c r="IB31" s="149"/>
      <c r="IC31" s="333"/>
      <c r="ID31" s="333"/>
      <c r="IE31" s="333"/>
      <c r="IF31" s="333"/>
      <c r="IG31" s="333"/>
      <c r="IH31" s="333"/>
      <c r="II31" s="333"/>
      <c r="IJ31" s="333"/>
      <c r="IK31" s="333"/>
      <c r="IL31" s="333"/>
      <c r="IM31" s="333"/>
      <c r="IN31" s="149"/>
      <c r="IO31" s="149"/>
      <c r="IP31" s="333"/>
      <c r="IQ31" s="333"/>
      <c r="IR31" s="333"/>
      <c r="IS31" s="333"/>
      <c r="IT31" s="333"/>
      <c r="IU31" s="333"/>
      <c r="IV31" s="333"/>
    </row>
    <row r="32" spans="1:256" x14ac:dyDescent="0.2">
      <c r="A32" s="158"/>
      <c r="B32" s="149"/>
      <c r="C32" s="333"/>
      <c r="D32" s="333"/>
      <c r="E32" s="333"/>
      <c r="F32" s="333"/>
      <c r="G32" s="333"/>
      <c r="H32" s="333"/>
      <c r="I32" s="333"/>
      <c r="J32" s="333"/>
      <c r="K32" s="333"/>
      <c r="L32" s="333"/>
      <c r="M32" s="334"/>
      <c r="N32" s="152"/>
      <c r="O32" s="152"/>
      <c r="P32" s="338"/>
      <c r="Q32" s="338"/>
      <c r="R32" s="338"/>
      <c r="S32" s="338"/>
      <c r="T32" s="338"/>
      <c r="U32" s="338"/>
      <c r="V32" s="338"/>
      <c r="W32" s="338"/>
      <c r="X32" s="338"/>
      <c r="Y32" s="338"/>
      <c r="Z32" s="339"/>
      <c r="AA32" s="158"/>
      <c r="AB32" s="149"/>
      <c r="AC32" s="333"/>
      <c r="AD32" s="333"/>
      <c r="AE32" s="333"/>
      <c r="AF32" s="333"/>
      <c r="AG32" s="333"/>
      <c r="AH32" s="333"/>
      <c r="AI32" s="333"/>
      <c r="AJ32" s="333"/>
      <c r="AK32" s="333"/>
      <c r="AL32" s="333"/>
      <c r="AM32" s="334"/>
      <c r="AN32" s="158"/>
      <c r="AO32" s="149"/>
      <c r="AP32" s="333"/>
      <c r="AQ32" s="333"/>
      <c r="AR32" s="333"/>
      <c r="AS32" s="333"/>
      <c r="AT32" s="333"/>
      <c r="AU32" s="333"/>
      <c r="AV32" s="333"/>
      <c r="AW32" s="333"/>
      <c r="AX32" s="333"/>
      <c r="AY32" s="333"/>
      <c r="AZ32" s="334"/>
      <c r="BA32" s="158"/>
      <c r="BB32" s="149"/>
      <c r="BC32" s="333"/>
      <c r="BD32" s="333"/>
      <c r="BE32" s="333"/>
      <c r="BF32" s="333"/>
      <c r="BG32" s="333"/>
      <c r="BH32" s="333"/>
      <c r="BI32" s="333"/>
      <c r="BJ32" s="333"/>
      <c r="BK32" s="333"/>
      <c r="BL32" s="333"/>
      <c r="BM32" s="334"/>
      <c r="BN32" s="158"/>
      <c r="BO32" s="149"/>
      <c r="BP32" s="333"/>
      <c r="BQ32" s="333"/>
      <c r="BR32" s="333"/>
      <c r="BS32" s="333"/>
      <c r="BT32" s="333"/>
      <c r="BU32" s="333"/>
      <c r="BV32" s="333"/>
      <c r="BW32" s="333"/>
      <c r="BX32" s="333"/>
      <c r="BY32" s="333"/>
      <c r="BZ32" s="334"/>
      <c r="CA32" s="158"/>
      <c r="CB32" s="149"/>
      <c r="CC32" s="333"/>
      <c r="CD32" s="333"/>
      <c r="CE32" s="333"/>
      <c r="CF32" s="333"/>
      <c r="CG32" s="333"/>
      <c r="CH32" s="333"/>
      <c r="CI32" s="333"/>
      <c r="CJ32" s="333"/>
      <c r="CK32" s="333"/>
      <c r="CL32" s="333"/>
      <c r="CM32" s="334"/>
      <c r="CN32" s="158"/>
      <c r="CO32" s="149"/>
      <c r="CP32" s="333"/>
      <c r="CQ32" s="333"/>
      <c r="CR32" s="333"/>
      <c r="CS32" s="333"/>
      <c r="CT32" s="333"/>
      <c r="CU32" s="333"/>
      <c r="CV32" s="333"/>
      <c r="CW32" s="333"/>
      <c r="CX32" s="333"/>
      <c r="CY32" s="333"/>
      <c r="CZ32" s="334"/>
      <c r="DA32" s="158"/>
      <c r="DB32" s="149"/>
      <c r="DC32" s="333"/>
      <c r="DD32" s="333"/>
      <c r="DE32" s="333"/>
      <c r="DF32" s="333"/>
      <c r="DG32" s="333"/>
      <c r="DH32" s="333"/>
      <c r="DI32" s="333"/>
      <c r="DJ32" s="333"/>
      <c r="DK32" s="333"/>
      <c r="DL32" s="333"/>
      <c r="DM32" s="334"/>
      <c r="DN32" s="158"/>
      <c r="DO32" s="149"/>
      <c r="DP32" s="333"/>
      <c r="DQ32" s="333"/>
      <c r="DR32" s="333"/>
      <c r="DS32" s="333"/>
      <c r="DT32" s="333"/>
      <c r="DU32" s="333"/>
      <c r="DV32" s="333"/>
      <c r="DW32" s="333"/>
      <c r="DX32" s="333"/>
      <c r="DY32" s="333"/>
      <c r="DZ32" s="334"/>
      <c r="EA32" s="158"/>
      <c r="EB32" s="149"/>
      <c r="EC32" s="333"/>
      <c r="ED32" s="333"/>
      <c r="EE32" s="333"/>
      <c r="EF32" s="333"/>
      <c r="EG32" s="333"/>
      <c r="EH32" s="333"/>
      <c r="EI32" s="333"/>
      <c r="EJ32" s="333"/>
      <c r="EK32" s="333"/>
      <c r="EL32" s="333"/>
      <c r="EM32" s="334"/>
      <c r="EN32" s="158"/>
      <c r="EO32" s="149"/>
      <c r="EP32" s="333"/>
      <c r="EQ32" s="333"/>
      <c r="ER32" s="333"/>
      <c r="ES32" s="333"/>
      <c r="ET32" s="333"/>
      <c r="EU32" s="333"/>
      <c r="EV32" s="333"/>
      <c r="EW32" s="333"/>
      <c r="EX32" s="333"/>
      <c r="EY32" s="333"/>
      <c r="EZ32" s="334"/>
      <c r="FA32" s="158"/>
      <c r="FB32" s="149"/>
      <c r="FC32" s="333"/>
      <c r="FD32" s="333"/>
      <c r="FE32" s="333"/>
      <c r="FF32" s="333"/>
      <c r="FG32" s="333"/>
      <c r="FH32" s="333"/>
      <c r="FI32" s="333"/>
      <c r="FJ32" s="333"/>
      <c r="FK32" s="333"/>
      <c r="FL32" s="333"/>
      <c r="FM32" s="334"/>
      <c r="FN32" s="158"/>
      <c r="FO32" s="149"/>
      <c r="FP32" s="333"/>
      <c r="FQ32" s="333"/>
      <c r="FR32" s="333"/>
      <c r="FS32" s="333"/>
      <c r="FT32" s="333"/>
      <c r="FU32" s="333"/>
      <c r="FV32" s="333"/>
      <c r="FW32" s="333"/>
      <c r="FX32" s="333"/>
      <c r="FY32" s="333"/>
      <c r="FZ32" s="334"/>
      <c r="GA32" s="158"/>
      <c r="GB32" s="149"/>
      <c r="GC32" s="333"/>
      <c r="GD32" s="333"/>
      <c r="GE32" s="333"/>
      <c r="GF32" s="333"/>
      <c r="GG32" s="333"/>
      <c r="GH32" s="333"/>
      <c r="GI32" s="333"/>
      <c r="GJ32" s="333"/>
      <c r="GK32" s="333"/>
      <c r="GL32" s="333"/>
      <c r="GM32" s="334"/>
      <c r="GN32" s="158"/>
      <c r="GO32" s="149"/>
      <c r="GP32" s="333"/>
      <c r="GQ32" s="333"/>
      <c r="GR32" s="333"/>
      <c r="GS32" s="333"/>
      <c r="GT32" s="333"/>
      <c r="GU32" s="333"/>
      <c r="GV32" s="333"/>
      <c r="GW32" s="333"/>
      <c r="GX32" s="333"/>
      <c r="GY32" s="333"/>
      <c r="GZ32" s="334"/>
      <c r="HA32" s="158"/>
      <c r="HB32" s="149"/>
      <c r="HC32" s="333"/>
      <c r="HD32" s="333"/>
      <c r="HE32" s="333"/>
      <c r="HF32" s="333"/>
      <c r="HG32" s="333"/>
      <c r="HH32" s="333"/>
      <c r="HI32" s="333"/>
      <c r="HJ32" s="333"/>
      <c r="HK32" s="333"/>
      <c r="HL32" s="333"/>
      <c r="HM32" s="334"/>
      <c r="HN32" s="158"/>
      <c r="HO32" s="149"/>
      <c r="HP32" s="333"/>
      <c r="HQ32" s="333"/>
      <c r="HR32" s="333"/>
      <c r="HS32" s="333"/>
      <c r="HT32" s="333"/>
      <c r="HU32" s="333"/>
      <c r="HV32" s="333"/>
      <c r="HW32" s="333"/>
      <c r="HX32" s="333"/>
      <c r="HY32" s="333"/>
      <c r="HZ32" s="334"/>
      <c r="IA32" s="158"/>
      <c r="IB32" s="149"/>
      <c r="IC32" s="333"/>
      <c r="ID32" s="333"/>
      <c r="IE32" s="333"/>
      <c r="IF32" s="333"/>
      <c r="IG32" s="333"/>
      <c r="IH32" s="333"/>
      <c r="II32" s="333"/>
      <c r="IJ32" s="333"/>
      <c r="IK32" s="333"/>
      <c r="IL32" s="333"/>
      <c r="IM32" s="334"/>
      <c r="IN32" s="158"/>
      <c r="IO32" s="149"/>
      <c r="IP32" s="333"/>
      <c r="IQ32" s="333"/>
      <c r="IR32" s="333"/>
      <c r="IS32" s="333"/>
      <c r="IT32" s="333"/>
      <c r="IU32" s="333"/>
      <c r="IV32" s="333"/>
    </row>
    <row r="33" spans="1:256" x14ac:dyDescent="0.2">
      <c r="A33" s="158"/>
      <c r="B33" s="149"/>
      <c r="C33" s="333"/>
      <c r="D33" s="333"/>
      <c r="E33" s="333"/>
      <c r="F33" s="333"/>
      <c r="G33" s="333"/>
      <c r="H33" s="333"/>
      <c r="I33" s="333"/>
      <c r="J33" s="333"/>
      <c r="K33" s="333"/>
      <c r="L33" s="333"/>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3"/>
      <c r="D34" s="333"/>
      <c r="E34" s="333"/>
      <c r="F34" s="333"/>
      <c r="G34" s="333"/>
      <c r="H34" s="333"/>
      <c r="I34" s="333"/>
      <c r="J34" s="333"/>
      <c r="K34" s="333"/>
      <c r="L34" s="333"/>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3"/>
      <c r="D35" s="333"/>
      <c r="E35" s="333"/>
      <c r="F35" s="333"/>
      <c r="G35" s="333"/>
      <c r="H35" s="333"/>
      <c r="I35" s="333"/>
      <c r="J35" s="333"/>
      <c r="K35" s="333"/>
      <c r="L35" s="333"/>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3"/>
      <c r="D36" s="333"/>
      <c r="E36" s="333"/>
      <c r="F36" s="333"/>
      <c r="G36" s="333"/>
      <c r="H36" s="333"/>
      <c r="I36" s="333"/>
      <c r="J36" s="333"/>
      <c r="K36" s="333"/>
      <c r="L36" s="333"/>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3"/>
      <c r="D37" s="333"/>
      <c r="E37" s="333"/>
      <c r="F37" s="333"/>
      <c r="G37" s="333"/>
      <c r="H37" s="333"/>
      <c r="I37" s="333"/>
      <c r="J37" s="333"/>
      <c r="K37" s="333"/>
      <c r="L37" s="333"/>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3"/>
      <c r="D38" s="333"/>
      <c r="E38" s="333"/>
      <c r="F38" s="333"/>
      <c r="G38" s="333"/>
      <c r="H38" s="333"/>
      <c r="I38" s="333"/>
      <c r="J38" s="333"/>
      <c r="K38" s="333"/>
      <c r="L38" s="333"/>
      <c r="M38" s="334"/>
      <c r="N38" s="152"/>
      <c r="O38" s="152"/>
      <c r="P38" s="338"/>
      <c r="Q38" s="338"/>
      <c r="R38" s="338"/>
      <c r="S38" s="338"/>
      <c r="T38" s="338"/>
      <c r="U38" s="338"/>
      <c r="V38" s="338"/>
      <c r="W38" s="338"/>
      <c r="X38" s="338"/>
      <c r="Y38" s="338"/>
      <c r="Z38" s="338"/>
      <c r="AA38" s="149"/>
      <c r="AB38" s="149"/>
      <c r="AC38" s="333"/>
      <c r="AD38" s="333"/>
      <c r="AE38" s="333"/>
      <c r="AF38" s="333"/>
      <c r="AG38" s="333"/>
      <c r="AH38" s="333"/>
      <c r="AI38" s="333"/>
      <c r="AJ38" s="333"/>
      <c r="AK38" s="333"/>
      <c r="AL38" s="333"/>
      <c r="AM38" s="333"/>
      <c r="AN38" s="149"/>
      <c r="AO38" s="149"/>
      <c r="AP38" s="333"/>
      <c r="AQ38" s="333"/>
      <c r="AR38" s="333"/>
      <c r="AS38" s="333"/>
      <c r="AT38" s="333"/>
      <c r="AU38" s="333"/>
      <c r="AV38" s="333"/>
      <c r="AW38" s="333"/>
      <c r="AX38" s="333"/>
      <c r="AY38" s="333"/>
      <c r="AZ38" s="333"/>
      <c r="BA38" s="149"/>
      <c r="BB38" s="149"/>
      <c r="BC38" s="333"/>
      <c r="BD38" s="333"/>
      <c r="BE38" s="333"/>
      <c r="BF38" s="333"/>
      <c r="BG38" s="333"/>
      <c r="BH38" s="333"/>
      <c r="BI38" s="333"/>
      <c r="BJ38" s="333"/>
      <c r="BK38" s="333"/>
      <c r="BL38" s="333"/>
      <c r="BM38" s="333"/>
      <c r="BN38" s="149"/>
      <c r="BO38" s="149"/>
      <c r="BP38" s="333"/>
      <c r="BQ38" s="333"/>
      <c r="BR38" s="333"/>
      <c r="BS38" s="333"/>
      <c r="BT38" s="333"/>
      <c r="BU38" s="333"/>
      <c r="BV38" s="333"/>
      <c r="BW38" s="333"/>
      <c r="BX38" s="333"/>
      <c r="BY38" s="333"/>
      <c r="BZ38" s="333"/>
      <c r="CA38" s="149"/>
      <c r="CB38" s="149"/>
      <c r="CC38" s="333"/>
      <c r="CD38" s="333"/>
      <c r="CE38" s="333"/>
      <c r="CF38" s="333"/>
      <c r="CG38" s="333"/>
      <c r="CH38" s="333"/>
      <c r="CI38" s="333"/>
      <c r="CJ38" s="333"/>
      <c r="CK38" s="333"/>
      <c r="CL38" s="333"/>
      <c r="CM38" s="333"/>
      <c r="CN38" s="149"/>
      <c r="CO38" s="149"/>
      <c r="CP38" s="333"/>
      <c r="CQ38" s="333"/>
      <c r="CR38" s="333"/>
      <c r="CS38" s="333"/>
      <c r="CT38" s="333"/>
      <c r="CU38" s="333"/>
      <c r="CV38" s="333"/>
      <c r="CW38" s="333"/>
      <c r="CX38" s="333"/>
      <c r="CY38" s="333"/>
      <c r="CZ38" s="333"/>
      <c r="DA38" s="149"/>
      <c r="DB38" s="149"/>
      <c r="DC38" s="333"/>
      <c r="DD38" s="333"/>
      <c r="DE38" s="333"/>
      <c r="DF38" s="333"/>
      <c r="DG38" s="333"/>
      <c r="DH38" s="333"/>
      <c r="DI38" s="333"/>
      <c r="DJ38" s="333"/>
      <c r="DK38" s="333"/>
      <c r="DL38" s="333"/>
      <c r="DM38" s="333"/>
      <c r="DN38" s="149"/>
      <c r="DO38" s="149"/>
      <c r="DP38" s="333"/>
      <c r="DQ38" s="333"/>
      <c r="DR38" s="333"/>
      <c r="DS38" s="333"/>
      <c r="DT38" s="333"/>
      <c r="DU38" s="333"/>
      <c r="DV38" s="333"/>
      <c r="DW38" s="333"/>
      <c r="DX38" s="333"/>
      <c r="DY38" s="333"/>
      <c r="DZ38" s="333"/>
      <c r="EA38" s="149"/>
      <c r="EB38" s="149"/>
      <c r="EC38" s="333"/>
      <c r="ED38" s="333"/>
      <c r="EE38" s="333"/>
      <c r="EF38" s="333"/>
      <c r="EG38" s="333"/>
      <c r="EH38" s="333"/>
      <c r="EI38" s="333"/>
      <c r="EJ38" s="333"/>
      <c r="EK38" s="333"/>
      <c r="EL38" s="333"/>
      <c r="EM38" s="333"/>
      <c r="EN38" s="149"/>
      <c r="EO38" s="149"/>
      <c r="EP38" s="333"/>
      <c r="EQ38" s="333"/>
      <c r="ER38" s="333"/>
      <c r="ES38" s="333"/>
      <c r="ET38" s="333"/>
      <c r="EU38" s="333"/>
      <c r="EV38" s="333"/>
      <c r="EW38" s="333"/>
      <c r="EX38" s="333"/>
      <c r="EY38" s="333"/>
      <c r="EZ38" s="333"/>
      <c r="FA38" s="149"/>
      <c r="FB38" s="149"/>
      <c r="FC38" s="333"/>
      <c r="FD38" s="333"/>
      <c r="FE38" s="333"/>
      <c r="FF38" s="333"/>
      <c r="FG38" s="333"/>
      <c r="FH38" s="333"/>
      <c r="FI38" s="333"/>
      <c r="FJ38" s="333"/>
      <c r="FK38" s="333"/>
      <c r="FL38" s="333"/>
      <c r="FM38" s="333"/>
      <c r="FN38" s="149"/>
      <c r="FO38" s="149"/>
      <c r="FP38" s="333"/>
      <c r="FQ38" s="333"/>
      <c r="FR38" s="333"/>
      <c r="FS38" s="333"/>
      <c r="FT38" s="333"/>
      <c r="FU38" s="333"/>
      <c r="FV38" s="333"/>
      <c r="FW38" s="333"/>
      <c r="FX38" s="333"/>
      <c r="FY38" s="333"/>
      <c r="FZ38" s="333"/>
      <c r="GA38" s="149"/>
      <c r="GB38" s="149"/>
      <c r="GC38" s="333"/>
      <c r="GD38" s="333"/>
      <c r="GE38" s="333"/>
      <c r="GF38" s="333"/>
      <c r="GG38" s="333"/>
      <c r="GH38" s="333"/>
      <c r="GI38" s="333"/>
      <c r="GJ38" s="333"/>
      <c r="GK38" s="333"/>
      <c r="GL38" s="333"/>
      <c r="GM38" s="333"/>
      <c r="GN38" s="149"/>
      <c r="GO38" s="149"/>
      <c r="GP38" s="333"/>
      <c r="GQ38" s="333"/>
      <c r="GR38" s="333"/>
      <c r="GS38" s="333"/>
      <c r="GT38" s="333"/>
      <c r="GU38" s="333"/>
      <c r="GV38" s="333"/>
      <c r="GW38" s="333"/>
      <c r="GX38" s="333"/>
      <c r="GY38" s="333"/>
      <c r="GZ38" s="333"/>
      <c r="HA38" s="149"/>
      <c r="HB38" s="149"/>
      <c r="HC38" s="333"/>
      <c r="HD38" s="333"/>
      <c r="HE38" s="333"/>
      <c r="HF38" s="333"/>
      <c r="HG38" s="333"/>
      <c r="HH38" s="333"/>
      <c r="HI38" s="333"/>
      <c r="HJ38" s="333"/>
      <c r="HK38" s="333"/>
      <c r="HL38" s="333"/>
      <c r="HM38" s="333"/>
      <c r="HN38" s="149"/>
      <c r="HO38" s="149"/>
      <c r="HP38" s="333"/>
      <c r="HQ38" s="333"/>
      <c r="HR38" s="333"/>
      <c r="HS38" s="333"/>
      <c r="HT38" s="333"/>
      <c r="HU38" s="333"/>
      <c r="HV38" s="333"/>
      <c r="HW38" s="333"/>
      <c r="HX38" s="333"/>
      <c r="HY38" s="333"/>
      <c r="HZ38" s="333"/>
      <c r="IA38" s="149"/>
      <c r="IB38" s="149"/>
      <c r="IC38" s="333"/>
      <c r="ID38" s="333"/>
      <c r="IE38" s="333"/>
      <c r="IF38" s="333"/>
      <c r="IG38" s="333"/>
      <c r="IH38" s="333"/>
      <c r="II38" s="333"/>
      <c r="IJ38" s="333"/>
      <c r="IK38" s="333"/>
      <c r="IL38" s="333"/>
      <c r="IM38" s="333"/>
      <c r="IN38" s="149"/>
      <c r="IO38" s="149"/>
      <c r="IP38" s="333"/>
      <c r="IQ38" s="333"/>
      <c r="IR38" s="333"/>
      <c r="IS38" s="333"/>
      <c r="IT38" s="333"/>
      <c r="IU38" s="333"/>
      <c r="IV38" s="333"/>
    </row>
    <row r="39" spans="1:256" x14ac:dyDescent="0.2">
      <c r="A39" s="158"/>
      <c r="B39" s="149"/>
      <c r="C39" s="333"/>
      <c r="D39" s="333"/>
      <c r="E39" s="333"/>
      <c r="F39" s="333"/>
      <c r="G39" s="333"/>
      <c r="H39" s="333"/>
      <c r="I39" s="333"/>
      <c r="J39" s="333"/>
      <c r="K39" s="333"/>
      <c r="L39" s="333"/>
      <c r="M39" s="334"/>
      <c r="N39" s="152"/>
      <c r="O39" s="152"/>
      <c r="P39" s="338"/>
      <c r="Q39" s="338"/>
      <c r="R39" s="338"/>
      <c r="S39" s="338"/>
      <c r="T39" s="338"/>
      <c r="U39" s="338"/>
      <c r="V39" s="338"/>
      <c r="W39" s="338"/>
      <c r="X39" s="338"/>
      <c r="Y39" s="338"/>
      <c r="Z39" s="338"/>
      <c r="AA39" s="149"/>
      <c r="AB39" s="149"/>
      <c r="AC39" s="333"/>
      <c r="AD39" s="333"/>
      <c r="AE39" s="333"/>
      <c r="AF39" s="333"/>
      <c r="AG39" s="333"/>
      <c r="AH39" s="333"/>
      <c r="AI39" s="333"/>
      <c r="AJ39" s="333"/>
      <c r="AK39" s="333"/>
      <c r="AL39" s="333"/>
      <c r="AM39" s="333"/>
      <c r="AN39" s="149"/>
      <c r="AO39" s="149"/>
      <c r="AP39" s="333"/>
      <c r="AQ39" s="333"/>
      <c r="AR39" s="333"/>
      <c r="AS39" s="333"/>
      <c r="AT39" s="333"/>
      <c r="AU39" s="333"/>
      <c r="AV39" s="333"/>
      <c r="AW39" s="333"/>
      <c r="AX39" s="333"/>
      <c r="AY39" s="333"/>
      <c r="AZ39" s="333"/>
      <c r="BA39" s="149"/>
      <c r="BB39" s="149"/>
      <c r="BC39" s="333"/>
      <c r="BD39" s="333"/>
      <c r="BE39" s="333"/>
      <c r="BF39" s="333"/>
      <c r="BG39" s="333"/>
      <c r="BH39" s="333"/>
      <c r="BI39" s="333"/>
      <c r="BJ39" s="333"/>
      <c r="BK39" s="333"/>
      <c r="BL39" s="333"/>
      <c r="BM39" s="333"/>
      <c r="BN39" s="149"/>
      <c r="BO39" s="149"/>
      <c r="BP39" s="333"/>
      <c r="BQ39" s="333"/>
      <c r="BR39" s="333"/>
      <c r="BS39" s="333"/>
      <c r="BT39" s="333"/>
      <c r="BU39" s="333"/>
      <c r="BV39" s="333"/>
      <c r="BW39" s="333"/>
      <c r="BX39" s="333"/>
      <c r="BY39" s="333"/>
      <c r="BZ39" s="333"/>
      <c r="CA39" s="149"/>
      <c r="CB39" s="149"/>
      <c r="CC39" s="333"/>
      <c r="CD39" s="333"/>
      <c r="CE39" s="333"/>
      <c r="CF39" s="333"/>
      <c r="CG39" s="333"/>
      <c r="CH39" s="333"/>
      <c r="CI39" s="333"/>
      <c r="CJ39" s="333"/>
      <c r="CK39" s="333"/>
      <c r="CL39" s="333"/>
      <c r="CM39" s="333"/>
      <c r="CN39" s="149"/>
      <c r="CO39" s="149"/>
      <c r="CP39" s="333"/>
      <c r="CQ39" s="333"/>
      <c r="CR39" s="333"/>
      <c r="CS39" s="333"/>
      <c r="CT39" s="333"/>
      <c r="CU39" s="333"/>
      <c r="CV39" s="333"/>
      <c r="CW39" s="333"/>
      <c r="CX39" s="333"/>
      <c r="CY39" s="333"/>
      <c r="CZ39" s="333"/>
      <c r="DA39" s="149"/>
      <c r="DB39" s="149"/>
      <c r="DC39" s="333"/>
      <c r="DD39" s="333"/>
      <c r="DE39" s="333"/>
      <c r="DF39" s="333"/>
      <c r="DG39" s="333"/>
      <c r="DH39" s="333"/>
      <c r="DI39" s="333"/>
      <c r="DJ39" s="333"/>
      <c r="DK39" s="333"/>
      <c r="DL39" s="333"/>
      <c r="DM39" s="333"/>
      <c r="DN39" s="149"/>
      <c r="DO39" s="149"/>
      <c r="DP39" s="333"/>
      <c r="DQ39" s="333"/>
      <c r="DR39" s="333"/>
      <c r="DS39" s="333"/>
      <c r="DT39" s="333"/>
      <c r="DU39" s="333"/>
      <c r="DV39" s="333"/>
      <c r="DW39" s="333"/>
      <c r="DX39" s="333"/>
      <c r="DY39" s="333"/>
      <c r="DZ39" s="333"/>
      <c r="EA39" s="149"/>
      <c r="EB39" s="149"/>
      <c r="EC39" s="333"/>
      <c r="ED39" s="333"/>
      <c r="EE39" s="333"/>
      <c r="EF39" s="333"/>
      <c r="EG39" s="333"/>
      <c r="EH39" s="333"/>
      <c r="EI39" s="333"/>
      <c r="EJ39" s="333"/>
      <c r="EK39" s="333"/>
      <c r="EL39" s="333"/>
      <c r="EM39" s="333"/>
      <c r="EN39" s="149"/>
      <c r="EO39" s="149"/>
      <c r="EP39" s="333"/>
      <c r="EQ39" s="333"/>
      <c r="ER39" s="333"/>
      <c r="ES39" s="333"/>
      <c r="ET39" s="333"/>
      <c r="EU39" s="333"/>
      <c r="EV39" s="333"/>
      <c r="EW39" s="333"/>
      <c r="EX39" s="333"/>
      <c r="EY39" s="333"/>
      <c r="EZ39" s="333"/>
      <c r="FA39" s="149"/>
      <c r="FB39" s="149"/>
      <c r="FC39" s="333"/>
      <c r="FD39" s="333"/>
      <c r="FE39" s="333"/>
      <c r="FF39" s="333"/>
      <c r="FG39" s="333"/>
      <c r="FH39" s="333"/>
      <c r="FI39" s="333"/>
      <c r="FJ39" s="333"/>
      <c r="FK39" s="333"/>
      <c r="FL39" s="333"/>
      <c r="FM39" s="333"/>
      <c r="FN39" s="149"/>
      <c r="FO39" s="149"/>
      <c r="FP39" s="333"/>
      <c r="FQ39" s="333"/>
      <c r="FR39" s="333"/>
      <c r="FS39" s="333"/>
      <c r="FT39" s="333"/>
      <c r="FU39" s="333"/>
      <c r="FV39" s="333"/>
      <c r="FW39" s="333"/>
      <c r="FX39" s="333"/>
      <c r="FY39" s="333"/>
      <c r="FZ39" s="333"/>
      <c r="GA39" s="149"/>
      <c r="GB39" s="149"/>
      <c r="GC39" s="333"/>
      <c r="GD39" s="333"/>
      <c r="GE39" s="333"/>
      <c r="GF39" s="333"/>
      <c r="GG39" s="333"/>
      <c r="GH39" s="333"/>
      <c r="GI39" s="333"/>
      <c r="GJ39" s="333"/>
      <c r="GK39" s="333"/>
      <c r="GL39" s="333"/>
      <c r="GM39" s="333"/>
      <c r="GN39" s="149"/>
      <c r="GO39" s="149"/>
      <c r="GP39" s="333"/>
      <c r="GQ39" s="333"/>
      <c r="GR39" s="333"/>
      <c r="GS39" s="333"/>
      <c r="GT39" s="333"/>
      <c r="GU39" s="333"/>
      <c r="GV39" s="333"/>
      <c r="GW39" s="333"/>
      <c r="GX39" s="333"/>
      <c r="GY39" s="333"/>
      <c r="GZ39" s="333"/>
      <c r="HA39" s="149"/>
      <c r="HB39" s="149"/>
      <c r="HC39" s="333"/>
      <c r="HD39" s="333"/>
      <c r="HE39" s="333"/>
      <c r="HF39" s="333"/>
      <c r="HG39" s="333"/>
      <c r="HH39" s="333"/>
      <c r="HI39" s="333"/>
      <c r="HJ39" s="333"/>
      <c r="HK39" s="333"/>
      <c r="HL39" s="333"/>
      <c r="HM39" s="333"/>
      <c r="HN39" s="149"/>
      <c r="HO39" s="149"/>
      <c r="HP39" s="333"/>
      <c r="HQ39" s="333"/>
      <c r="HR39" s="333"/>
      <c r="HS39" s="333"/>
      <c r="HT39" s="333"/>
      <c r="HU39" s="333"/>
      <c r="HV39" s="333"/>
      <c r="HW39" s="333"/>
      <c r="HX39" s="333"/>
      <c r="HY39" s="333"/>
      <c r="HZ39" s="333"/>
      <c r="IA39" s="149"/>
      <c r="IB39" s="149"/>
      <c r="IC39" s="333"/>
      <c r="ID39" s="333"/>
      <c r="IE39" s="333"/>
      <c r="IF39" s="333"/>
      <c r="IG39" s="333"/>
      <c r="IH39" s="333"/>
      <c r="II39" s="333"/>
      <c r="IJ39" s="333"/>
      <c r="IK39" s="333"/>
      <c r="IL39" s="333"/>
      <c r="IM39" s="333"/>
      <c r="IN39" s="149"/>
      <c r="IO39" s="149"/>
      <c r="IP39" s="333"/>
      <c r="IQ39" s="333"/>
      <c r="IR39" s="333"/>
      <c r="IS39" s="333"/>
      <c r="IT39" s="333"/>
      <c r="IU39" s="333"/>
      <c r="IV39" s="333"/>
    </row>
    <row r="40" spans="1:256" x14ac:dyDescent="0.2">
      <c r="A40" s="158"/>
      <c r="B40" s="149"/>
      <c r="C40" s="333"/>
      <c r="D40" s="333"/>
      <c r="E40" s="333"/>
      <c r="F40" s="333"/>
      <c r="G40" s="333"/>
      <c r="H40" s="333"/>
      <c r="I40" s="333"/>
      <c r="J40" s="333"/>
      <c r="K40" s="333"/>
      <c r="L40" s="333"/>
      <c r="M40" s="334"/>
      <c r="N40" s="152"/>
      <c r="O40" s="152"/>
      <c r="P40" s="338"/>
      <c r="Q40" s="338"/>
      <c r="R40" s="338"/>
      <c r="S40" s="338"/>
      <c r="T40" s="338"/>
      <c r="U40" s="338"/>
      <c r="V40" s="338"/>
      <c r="W40" s="338"/>
      <c r="X40" s="338"/>
      <c r="Y40" s="338"/>
      <c r="Z40" s="338"/>
      <c r="AA40" s="149"/>
      <c r="AB40" s="149"/>
      <c r="AC40" s="333"/>
      <c r="AD40" s="333"/>
      <c r="AE40" s="333"/>
      <c r="AF40" s="333"/>
      <c r="AG40" s="333"/>
      <c r="AH40" s="333"/>
      <c r="AI40" s="333"/>
      <c r="AJ40" s="333"/>
      <c r="AK40" s="333"/>
      <c r="AL40" s="333"/>
      <c r="AM40" s="333"/>
      <c r="AN40" s="149"/>
      <c r="AO40" s="149"/>
      <c r="AP40" s="333"/>
      <c r="AQ40" s="333"/>
      <c r="AR40" s="333"/>
      <c r="AS40" s="333"/>
      <c r="AT40" s="333"/>
      <c r="AU40" s="333"/>
      <c r="AV40" s="333"/>
      <c r="AW40" s="333"/>
      <c r="AX40" s="333"/>
      <c r="AY40" s="333"/>
      <c r="AZ40" s="333"/>
      <c r="BA40" s="149"/>
      <c r="BB40" s="149"/>
      <c r="BC40" s="333"/>
      <c r="BD40" s="333"/>
      <c r="BE40" s="333"/>
      <c r="BF40" s="333"/>
      <c r="BG40" s="333"/>
      <c r="BH40" s="333"/>
      <c r="BI40" s="333"/>
      <c r="BJ40" s="333"/>
      <c r="BK40" s="333"/>
      <c r="BL40" s="333"/>
      <c r="BM40" s="333"/>
      <c r="BN40" s="149"/>
      <c r="BO40" s="149"/>
      <c r="BP40" s="333"/>
      <c r="BQ40" s="333"/>
      <c r="BR40" s="333"/>
      <c r="BS40" s="333"/>
      <c r="BT40" s="333"/>
      <c r="BU40" s="333"/>
      <c r="BV40" s="333"/>
      <c r="BW40" s="333"/>
      <c r="BX40" s="333"/>
      <c r="BY40" s="333"/>
      <c r="BZ40" s="333"/>
      <c r="CA40" s="149"/>
      <c r="CB40" s="149"/>
      <c r="CC40" s="333"/>
      <c r="CD40" s="333"/>
      <c r="CE40" s="333"/>
      <c r="CF40" s="333"/>
      <c r="CG40" s="333"/>
      <c r="CH40" s="333"/>
      <c r="CI40" s="333"/>
      <c r="CJ40" s="333"/>
      <c r="CK40" s="333"/>
      <c r="CL40" s="333"/>
      <c r="CM40" s="333"/>
      <c r="CN40" s="149"/>
      <c r="CO40" s="149"/>
      <c r="CP40" s="333"/>
      <c r="CQ40" s="333"/>
      <c r="CR40" s="333"/>
      <c r="CS40" s="333"/>
      <c r="CT40" s="333"/>
      <c r="CU40" s="333"/>
      <c r="CV40" s="333"/>
      <c r="CW40" s="333"/>
      <c r="CX40" s="333"/>
      <c r="CY40" s="333"/>
      <c r="CZ40" s="333"/>
      <c r="DA40" s="149"/>
      <c r="DB40" s="149"/>
      <c r="DC40" s="333"/>
      <c r="DD40" s="333"/>
      <c r="DE40" s="333"/>
      <c r="DF40" s="333"/>
      <c r="DG40" s="333"/>
      <c r="DH40" s="333"/>
      <c r="DI40" s="333"/>
      <c r="DJ40" s="333"/>
      <c r="DK40" s="333"/>
      <c r="DL40" s="333"/>
      <c r="DM40" s="333"/>
      <c r="DN40" s="149"/>
      <c r="DO40" s="149"/>
      <c r="DP40" s="333"/>
      <c r="DQ40" s="333"/>
      <c r="DR40" s="333"/>
      <c r="DS40" s="333"/>
      <c r="DT40" s="333"/>
      <c r="DU40" s="333"/>
      <c r="DV40" s="333"/>
      <c r="DW40" s="333"/>
      <c r="DX40" s="333"/>
      <c r="DY40" s="333"/>
      <c r="DZ40" s="333"/>
      <c r="EA40" s="149"/>
      <c r="EB40" s="149"/>
      <c r="EC40" s="333"/>
      <c r="ED40" s="333"/>
      <c r="EE40" s="333"/>
      <c r="EF40" s="333"/>
      <c r="EG40" s="333"/>
      <c r="EH40" s="333"/>
      <c r="EI40" s="333"/>
      <c r="EJ40" s="333"/>
      <c r="EK40" s="333"/>
      <c r="EL40" s="333"/>
      <c r="EM40" s="333"/>
      <c r="EN40" s="149"/>
      <c r="EO40" s="149"/>
      <c r="EP40" s="333"/>
      <c r="EQ40" s="333"/>
      <c r="ER40" s="333"/>
      <c r="ES40" s="333"/>
      <c r="ET40" s="333"/>
      <c r="EU40" s="333"/>
      <c r="EV40" s="333"/>
      <c r="EW40" s="333"/>
      <c r="EX40" s="333"/>
      <c r="EY40" s="333"/>
      <c r="EZ40" s="333"/>
      <c r="FA40" s="149"/>
      <c r="FB40" s="149"/>
      <c r="FC40" s="333"/>
      <c r="FD40" s="333"/>
      <c r="FE40" s="333"/>
      <c r="FF40" s="333"/>
      <c r="FG40" s="333"/>
      <c r="FH40" s="333"/>
      <c r="FI40" s="333"/>
      <c r="FJ40" s="333"/>
      <c r="FK40" s="333"/>
      <c r="FL40" s="333"/>
      <c r="FM40" s="333"/>
      <c r="FN40" s="149"/>
      <c r="FO40" s="149"/>
      <c r="FP40" s="333"/>
      <c r="FQ40" s="333"/>
      <c r="FR40" s="333"/>
      <c r="FS40" s="333"/>
      <c r="FT40" s="333"/>
      <c r="FU40" s="333"/>
      <c r="FV40" s="333"/>
      <c r="FW40" s="333"/>
      <c r="FX40" s="333"/>
      <c r="FY40" s="333"/>
      <c r="FZ40" s="333"/>
      <c r="GA40" s="149"/>
      <c r="GB40" s="149"/>
      <c r="GC40" s="333"/>
      <c r="GD40" s="333"/>
      <c r="GE40" s="333"/>
      <c r="GF40" s="333"/>
      <c r="GG40" s="333"/>
      <c r="GH40" s="333"/>
      <c r="GI40" s="333"/>
      <c r="GJ40" s="333"/>
      <c r="GK40" s="333"/>
      <c r="GL40" s="333"/>
      <c r="GM40" s="333"/>
      <c r="GN40" s="149"/>
      <c r="GO40" s="149"/>
      <c r="GP40" s="333"/>
      <c r="GQ40" s="333"/>
      <c r="GR40" s="333"/>
      <c r="GS40" s="333"/>
      <c r="GT40" s="333"/>
      <c r="GU40" s="333"/>
      <c r="GV40" s="333"/>
      <c r="GW40" s="333"/>
      <c r="GX40" s="333"/>
      <c r="GY40" s="333"/>
      <c r="GZ40" s="333"/>
      <c r="HA40" s="149"/>
      <c r="HB40" s="149"/>
      <c r="HC40" s="333"/>
      <c r="HD40" s="333"/>
      <c r="HE40" s="333"/>
      <c r="HF40" s="333"/>
      <c r="HG40" s="333"/>
      <c r="HH40" s="333"/>
      <c r="HI40" s="333"/>
      <c r="HJ40" s="333"/>
      <c r="HK40" s="333"/>
      <c r="HL40" s="333"/>
      <c r="HM40" s="333"/>
      <c r="HN40" s="149"/>
      <c r="HO40" s="149"/>
      <c r="HP40" s="333"/>
      <c r="HQ40" s="333"/>
      <c r="HR40" s="333"/>
      <c r="HS40" s="333"/>
      <c r="HT40" s="333"/>
      <c r="HU40" s="333"/>
      <c r="HV40" s="333"/>
      <c r="HW40" s="333"/>
      <c r="HX40" s="333"/>
      <c r="HY40" s="333"/>
      <c r="HZ40" s="333"/>
      <c r="IA40" s="149"/>
      <c r="IB40" s="149"/>
      <c r="IC40" s="333"/>
      <c r="ID40" s="333"/>
      <c r="IE40" s="333"/>
      <c r="IF40" s="333"/>
      <c r="IG40" s="333"/>
      <c r="IH40" s="333"/>
      <c r="II40" s="333"/>
      <c r="IJ40" s="333"/>
      <c r="IK40" s="333"/>
      <c r="IL40" s="333"/>
      <c r="IM40" s="333"/>
      <c r="IN40" s="149"/>
      <c r="IO40" s="149"/>
      <c r="IP40" s="333"/>
      <c r="IQ40" s="333"/>
      <c r="IR40" s="333"/>
      <c r="IS40" s="333"/>
      <c r="IT40" s="333"/>
      <c r="IU40" s="333"/>
      <c r="IV40" s="333"/>
    </row>
    <row r="41" spans="1:256" x14ac:dyDescent="0.2">
      <c r="A41" s="158"/>
      <c r="B41" s="149"/>
      <c r="C41" s="333"/>
      <c r="D41" s="333"/>
      <c r="E41" s="333"/>
      <c r="F41" s="333"/>
      <c r="G41" s="333"/>
      <c r="H41" s="333"/>
      <c r="I41" s="333"/>
      <c r="J41" s="333"/>
      <c r="K41" s="333"/>
      <c r="L41" s="333"/>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3"/>
      <c r="D42" s="333"/>
      <c r="E42" s="333"/>
      <c r="F42" s="333"/>
      <c r="G42" s="333"/>
      <c r="H42" s="333"/>
      <c r="I42" s="333"/>
      <c r="J42" s="333"/>
      <c r="K42" s="333"/>
      <c r="L42" s="333"/>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3"/>
      <c r="D43" s="333"/>
      <c r="E43" s="333"/>
      <c r="F43" s="333"/>
      <c r="G43" s="333"/>
      <c r="H43" s="333"/>
      <c r="I43" s="333"/>
      <c r="J43" s="333"/>
      <c r="K43" s="333"/>
      <c r="L43" s="333"/>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3"/>
      <c r="D44" s="333"/>
      <c r="E44" s="333"/>
      <c r="F44" s="333"/>
      <c r="G44" s="333"/>
      <c r="H44" s="333"/>
      <c r="I44" s="333"/>
      <c r="J44" s="333"/>
      <c r="K44" s="333"/>
      <c r="L44" s="333"/>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3"/>
      <c r="D45" s="333"/>
      <c r="E45" s="333"/>
      <c r="F45" s="333"/>
      <c r="G45" s="333"/>
      <c r="H45" s="333"/>
      <c r="I45" s="333"/>
      <c r="J45" s="333"/>
      <c r="K45" s="333"/>
      <c r="L45" s="333"/>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3"/>
      <c r="D46" s="333"/>
      <c r="E46" s="333"/>
      <c r="F46" s="333"/>
      <c r="G46" s="333"/>
      <c r="H46" s="333"/>
      <c r="I46" s="333"/>
      <c r="J46" s="333"/>
      <c r="K46" s="333"/>
      <c r="L46" s="333"/>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3"/>
      <c r="D47" s="333"/>
      <c r="E47" s="333"/>
      <c r="F47" s="333"/>
      <c r="G47" s="333"/>
      <c r="H47" s="333"/>
      <c r="I47" s="333"/>
      <c r="J47" s="333"/>
      <c r="K47" s="333"/>
      <c r="L47" s="333"/>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3"/>
      <c r="D48" s="333"/>
      <c r="E48" s="333"/>
      <c r="F48" s="333"/>
      <c r="G48" s="333"/>
      <c r="H48" s="333"/>
      <c r="I48" s="333"/>
      <c r="J48" s="333"/>
      <c r="K48" s="333"/>
      <c r="L48" s="333"/>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3"/>
      <c r="D49" s="333"/>
      <c r="E49" s="333"/>
      <c r="F49" s="333"/>
      <c r="G49" s="333"/>
      <c r="H49" s="333"/>
      <c r="I49" s="333"/>
      <c r="J49" s="333"/>
      <c r="K49" s="333"/>
      <c r="L49" s="333"/>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3"/>
      <c r="D50" s="333"/>
      <c r="E50" s="333"/>
      <c r="F50" s="333"/>
      <c r="G50" s="333"/>
      <c r="H50" s="333"/>
      <c r="I50" s="333"/>
      <c r="J50" s="333"/>
      <c r="K50" s="333"/>
      <c r="L50" s="333"/>
      <c r="M50" s="334"/>
    </row>
    <row r="51" spans="1:256" x14ac:dyDescent="0.2">
      <c r="A51" s="158"/>
      <c r="B51" s="149"/>
      <c r="C51" s="333"/>
      <c r="D51" s="333"/>
      <c r="E51" s="333"/>
      <c r="F51" s="333"/>
      <c r="G51" s="333"/>
      <c r="H51" s="333"/>
      <c r="I51" s="333"/>
      <c r="J51" s="333"/>
      <c r="K51" s="333"/>
      <c r="L51" s="333"/>
      <c r="M51" s="334"/>
    </row>
    <row r="52" spans="1:256" x14ac:dyDescent="0.2">
      <c r="A52" s="158"/>
      <c r="B52" s="149"/>
      <c r="C52" s="333"/>
      <c r="D52" s="333"/>
      <c r="E52" s="333"/>
      <c r="F52" s="333"/>
      <c r="G52" s="333"/>
      <c r="H52" s="333"/>
      <c r="I52" s="333"/>
      <c r="J52" s="333"/>
      <c r="K52" s="333"/>
      <c r="L52" s="333"/>
      <c r="M52" s="334"/>
    </row>
    <row r="53" spans="1:256" x14ac:dyDescent="0.2">
      <c r="A53" s="158"/>
      <c r="B53" s="149"/>
      <c r="C53" s="333"/>
      <c r="D53" s="333"/>
      <c r="E53" s="333"/>
      <c r="F53" s="333"/>
      <c r="G53" s="333"/>
      <c r="H53" s="333"/>
      <c r="I53" s="333"/>
      <c r="J53" s="333"/>
      <c r="K53" s="333"/>
      <c r="L53" s="333"/>
      <c r="M53" s="334"/>
    </row>
    <row r="54" spans="1:256" x14ac:dyDescent="0.2">
      <c r="A54" s="158"/>
      <c r="B54" s="149"/>
      <c r="C54" s="333"/>
      <c r="D54" s="333"/>
      <c r="E54" s="333"/>
      <c r="F54" s="333"/>
      <c r="G54" s="333"/>
      <c r="H54" s="333"/>
      <c r="I54" s="333"/>
      <c r="J54" s="333"/>
      <c r="K54" s="333"/>
      <c r="L54" s="333"/>
      <c r="M54" s="334"/>
    </row>
    <row r="55" spans="1:256" x14ac:dyDescent="0.2">
      <c r="A55" s="158"/>
      <c r="B55" s="149"/>
      <c r="C55" s="333"/>
      <c r="D55" s="333"/>
      <c r="E55" s="333"/>
      <c r="F55" s="333"/>
      <c r="G55" s="333"/>
      <c r="H55" s="333"/>
      <c r="I55" s="333"/>
      <c r="J55" s="333"/>
      <c r="K55" s="333"/>
      <c r="L55" s="333"/>
      <c r="M55" s="334"/>
    </row>
    <row r="56" spans="1:256" x14ac:dyDescent="0.2">
      <c r="A56" s="158"/>
      <c r="B56" s="149"/>
      <c r="C56" s="333"/>
      <c r="D56" s="333"/>
      <c r="E56" s="333"/>
      <c r="F56" s="333"/>
      <c r="G56" s="333"/>
      <c r="H56" s="333"/>
      <c r="I56" s="333"/>
      <c r="J56" s="333"/>
      <c r="K56" s="333"/>
      <c r="L56" s="333"/>
      <c r="M56" s="334"/>
    </row>
    <row r="57" spans="1:256" x14ac:dyDescent="0.2">
      <c r="A57" s="158"/>
      <c r="B57" s="149"/>
      <c r="C57" s="333"/>
      <c r="D57" s="333"/>
      <c r="E57" s="333"/>
      <c r="F57" s="333"/>
      <c r="G57" s="333"/>
      <c r="H57" s="333"/>
      <c r="I57" s="333"/>
      <c r="J57" s="333"/>
      <c r="K57" s="333"/>
      <c r="L57" s="333"/>
      <c r="M57" s="334"/>
    </row>
    <row r="58" spans="1:256" x14ac:dyDescent="0.2">
      <c r="A58" s="158"/>
      <c r="B58" s="149"/>
      <c r="C58" s="333"/>
      <c r="D58" s="333"/>
      <c r="E58" s="333"/>
      <c r="F58" s="333"/>
      <c r="G58" s="333"/>
      <c r="H58" s="333"/>
      <c r="I58" s="333"/>
      <c r="J58" s="333"/>
      <c r="K58" s="333"/>
      <c r="L58" s="333"/>
      <c r="M58" s="334"/>
    </row>
    <row r="59" spans="1:256" x14ac:dyDescent="0.2">
      <c r="A59" s="158"/>
      <c r="B59" s="149"/>
      <c r="C59" s="333"/>
      <c r="D59" s="333"/>
      <c r="E59" s="333"/>
      <c r="F59" s="333"/>
      <c r="G59" s="333"/>
      <c r="H59" s="333"/>
      <c r="I59" s="333"/>
      <c r="J59" s="333"/>
      <c r="K59" s="333"/>
      <c r="L59" s="333"/>
      <c r="M59" s="334"/>
    </row>
    <row r="60" spans="1:256" x14ac:dyDescent="0.2">
      <c r="A60" s="158"/>
      <c r="B60" s="149"/>
      <c r="C60" s="333"/>
      <c r="D60" s="333"/>
      <c r="E60" s="333"/>
      <c r="F60" s="333"/>
      <c r="G60" s="333"/>
      <c r="H60" s="333"/>
      <c r="I60" s="333"/>
      <c r="J60" s="333"/>
      <c r="K60" s="333"/>
      <c r="L60" s="333"/>
      <c r="M60" s="334"/>
    </row>
    <row r="61" spans="1:256" x14ac:dyDescent="0.2">
      <c r="A61" s="158"/>
      <c r="B61" s="149"/>
      <c r="C61" s="333"/>
      <c r="D61" s="333"/>
      <c r="E61" s="333"/>
      <c r="F61" s="333"/>
      <c r="G61" s="333"/>
      <c r="H61" s="333"/>
      <c r="I61" s="333"/>
      <c r="J61" s="333"/>
      <c r="K61" s="333"/>
      <c r="L61" s="333"/>
      <c r="M61" s="334"/>
    </row>
    <row r="62" spans="1:256" x14ac:dyDescent="0.2">
      <c r="A62" s="158"/>
      <c r="B62" s="149"/>
      <c r="C62" s="333"/>
      <c r="D62" s="333"/>
      <c r="E62" s="333"/>
      <c r="F62" s="333"/>
      <c r="G62" s="333"/>
      <c r="H62" s="333"/>
      <c r="I62" s="333"/>
      <c r="J62" s="333"/>
      <c r="K62" s="333"/>
      <c r="L62" s="333"/>
      <c r="M62" s="334"/>
    </row>
    <row r="63" spans="1:256" x14ac:dyDescent="0.2">
      <c r="A63" s="158"/>
      <c r="B63" s="149"/>
      <c r="C63" s="333"/>
      <c r="D63" s="333"/>
      <c r="E63" s="333"/>
      <c r="F63" s="333"/>
      <c r="G63" s="333"/>
      <c r="H63" s="333"/>
      <c r="I63" s="333"/>
      <c r="J63" s="333"/>
      <c r="K63" s="333"/>
      <c r="L63" s="333"/>
      <c r="M63" s="334"/>
    </row>
    <row r="64" spans="1:256" x14ac:dyDescent="0.2">
      <c r="A64" s="158"/>
      <c r="B64" s="149"/>
      <c r="C64" s="333"/>
      <c r="D64" s="333"/>
      <c r="E64" s="333"/>
      <c r="F64" s="333"/>
      <c r="G64" s="333"/>
      <c r="H64" s="333"/>
      <c r="I64" s="333"/>
      <c r="J64" s="333"/>
      <c r="K64" s="333"/>
      <c r="L64" s="333"/>
      <c r="M64" s="334"/>
    </row>
    <row r="65" spans="1:13" x14ac:dyDescent="0.2">
      <c r="A65" s="158"/>
      <c r="B65" s="149"/>
      <c r="C65" s="333"/>
      <c r="D65" s="333"/>
      <c r="E65" s="333"/>
      <c r="F65" s="333"/>
      <c r="G65" s="333"/>
      <c r="H65" s="333"/>
      <c r="I65" s="333"/>
      <c r="J65" s="333"/>
      <c r="K65" s="333"/>
      <c r="L65" s="333"/>
      <c r="M65" s="334"/>
    </row>
    <row r="66" spans="1:13" x14ac:dyDescent="0.2">
      <c r="A66" s="158"/>
      <c r="B66" s="149"/>
      <c r="C66" s="333"/>
      <c r="D66" s="333"/>
      <c r="E66" s="333"/>
      <c r="F66" s="333"/>
      <c r="G66" s="333"/>
      <c r="H66" s="333"/>
      <c r="I66" s="333"/>
      <c r="J66" s="333"/>
      <c r="K66" s="333"/>
      <c r="L66" s="333"/>
      <c r="M66" s="334"/>
    </row>
    <row r="67" spans="1:13" x14ac:dyDescent="0.2">
      <c r="A67" s="158"/>
      <c r="B67" s="149"/>
      <c r="C67" s="333"/>
      <c r="D67" s="333"/>
      <c r="E67" s="333"/>
      <c r="F67" s="333"/>
      <c r="G67" s="333"/>
      <c r="H67" s="333"/>
      <c r="I67" s="333"/>
      <c r="J67" s="333"/>
      <c r="K67" s="333"/>
      <c r="L67" s="333"/>
      <c r="M67" s="334"/>
    </row>
    <row r="68" spans="1:13" x14ac:dyDescent="0.2">
      <c r="A68" s="158"/>
      <c r="B68" s="149"/>
      <c r="C68" s="333"/>
      <c r="D68" s="333"/>
      <c r="E68" s="333"/>
      <c r="F68" s="333"/>
      <c r="G68" s="333"/>
      <c r="H68" s="333"/>
      <c r="I68" s="333"/>
      <c r="J68" s="333"/>
      <c r="K68" s="333"/>
      <c r="L68" s="333"/>
      <c r="M68" s="334"/>
    </row>
    <row r="69" spans="1:13" x14ac:dyDescent="0.2">
      <c r="A69" s="158"/>
      <c r="B69" s="149"/>
      <c r="C69" s="333"/>
      <c r="D69" s="333"/>
      <c r="E69" s="333"/>
      <c r="F69" s="333"/>
      <c r="G69" s="333"/>
      <c r="H69" s="333"/>
      <c r="I69" s="333"/>
      <c r="J69" s="333"/>
      <c r="K69" s="333"/>
      <c r="L69" s="333"/>
      <c r="M69" s="334"/>
    </row>
    <row r="70" spans="1:13" ht="12" thickBot="1" x14ac:dyDescent="0.25">
      <c r="A70" s="159"/>
      <c r="B70" s="160"/>
      <c r="C70" s="335"/>
      <c r="D70" s="335"/>
      <c r="E70" s="335"/>
      <c r="F70" s="335"/>
      <c r="G70" s="335"/>
      <c r="H70" s="335"/>
      <c r="I70" s="335"/>
      <c r="J70" s="335"/>
      <c r="K70" s="335"/>
      <c r="L70" s="335"/>
      <c r="M70" s="336"/>
    </row>
    <row r="71" spans="1:13" ht="12" thickTop="1" x14ac:dyDescent="0.2">
      <c r="A71" s="150"/>
      <c r="B71" s="150"/>
      <c r="C71" s="151"/>
      <c r="D71" s="151"/>
      <c r="E71" s="151"/>
      <c r="F71" s="151"/>
      <c r="G71" s="151"/>
      <c r="H71" s="151"/>
      <c r="I71" s="151"/>
      <c r="J71" s="151"/>
      <c r="K71" s="151"/>
      <c r="L71" s="151"/>
    </row>
    <row r="72" spans="1:13" ht="12.75" x14ac:dyDescent="0.2">
      <c r="A72" s="337" t="s">
        <v>828</v>
      </c>
      <c r="B72" s="337"/>
      <c r="C72" s="337"/>
      <c r="D72" s="337"/>
      <c r="E72" s="337"/>
    </row>
    <row r="73" spans="1:13" x14ac:dyDescent="0.2">
      <c r="A73" s="130" t="s">
        <v>761</v>
      </c>
      <c r="B73" s="130" t="s">
        <v>762</v>
      </c>
      <c r="C73" s="319"/>
      <c r="D73" s="319"/>
      <c r="E73" s="319"/>
      <c r="F73" s="319"/>
      <c r="G73" s="319"/>
      <c r="H73" s="319"/>
      <c r="I73" s="319"/>
      <c r="J73" s="319"/>
      <c r="K73" s="319"/>
      <c r="L73" s="319"/>
      <c r="M73" s="319"/>
    </row>
    <row r="74" spans="1:13" x14ac:dyDescent="0.2">
      <c r="A74" s="152"/>
      <c r="B74" s="152"/>
      <c r="C74" s="319"/>
      <c r="D74" s="319"/>
      <c r="E74" s="319"/>
      <c r="F74" s="319"/>
      <c r="G74" s="319"/>
      <c r="H74" s="319"/>
      <c r="I74" s="319"/>
      <c r="J74" s="319"/>
      <c r="K74" s="319"/>
      <c r="L74" s="319"/>
      <c r="M74" s="319"/>
    </row>
    <row r="75" spans="1:13" x14ac:dyDescent="0.2">
      <c r="A75" s="152"/>
      <c r="B75" s="152"/>
      <c r="C75" s="319"/>
      <c r="D75" s="319"/>
      <c r="E75" s="319"/>
      <c r="F75" s="319"/>
      <c r="G75" s="319"/>
      <c r="H75" s="319"/>
      <c r="I75" s="319"/>
      <c r="J75" s="319"/>
      <c r="K75" s="319"/>
      <c r="L75" s="319"/>
      <c r="M75" s="319"/>
    </row>
    <row r="76" spans="1:13" x14ac:dyDescent="0.2">
      <c r="A76" s="152"/>
      <c r="B76" s="152"/>
      <c r="C76" s="319"/>
      <c r="D76" s="319"/>
      <c r="E76" s="319"/>
      <c r="F76" s="319"/>
      <c r="G76" s="319"/>
      <c r="H76" s="319"/>
      <c r="I76" s="319"/>
      <c r="J76" s="319"/>
      <c r="K76" s="319"/>
      <c r="L76" s="319"/>
      <c r="M76" s="319"/>
    </row>
    <row r="77" spans="1:13" x14ac:dyDescent="0.2">
      <c r="A77" s="152"/>
      <c r="B77" s="152"/>
      <c r="C77" s="319"/>
      <c r="D77" s="319"/>
      <c r="E77" s="319"/>
      <c r="F77" s="319"/>
      <c r="G77" s="319"/>
      <c r="H77" s="319"/>
      <c r="I77" s="319"/>
      <c r="J77" s="319"/>
      <c r="K77" s="319"/>
      <c r="L77" s="319"/>
      <c r="M77" s="319"/>
    </row>
    <row r="78" spans="1:13" x14ac:dyDescent="0.2">
      <c r="A78" s="152"/>
      <c r="B78" s="152"/>
      <c r="C78" s="319"/>
      <c r="D78" s="319"/>
      <c r="E78" s="319"/>
      <c r="F78" s="319"/>
      <c r="G78" s="319"/>
      <c r="H78" s="319"/>
      <c r="I78" s="319"/>
      <c r="J78" s="319"/>
      <c r="K78" s="319"/>
      <c r="L78" s="319"/>
      <c r="M78" s="319"/>
    </row>
    <row r="79" spans="1:13" x14ac:dyDescent="0.2">
      <c r="A79" s="152"/>
      <c r="B79" s="152"/>
      <c r="C79" s="319"/>
      <c r="D79" s="319"/>
      <c r="E79" s="319"/>
      <c r="F79" s="319"/>
      <c r="G79" s="319"/>
      <c r="H79" s="319"/>
      <c r="I79" s="319"/>
      <c r="J79" s="319"/>
      <c r="K79" s="319"/>
      <c r="L79" s="319"/>
      <c r="M79" s="319"/>
    </row>
    <row r="80" spans="1:13" x14ac:dyDescent="0.2">
      <c r="A80" s="152"/>
      <c r="B80" s="152"/>
      <c r="C80" s="319"/>
      <c r="D80" s="319"/>
      <c r="E80" s="319"/>
      <c r="F80" s="319"/>
      <c r="G80" s="319"/>
      <c r="H80" s="319"/>
      <c r="I80" s="319"/>
      <c r="J80" s="319"/>
      <c r="K80" s="319"/>
      <c r="L80" s="319"/>
      <c r="M80" s="319"/>
    </row>
    <row r="81" spans="1:13" x14ac:dyDescent="0.2">
      <c r="A81" s="152"/>
      <c r="B81" s="152"/>
      <c r="C81" s="319"/>
      <c r="D81" s="319"/>
      <c r="E81" s="319"/>
      <c r="F81" s="319"/>
      <c r="G81" s="319"/>
      <c r="H81" s="319"/>
      <c r="I81" s="319"/>
      <c r="J81" s="319"/>
      <c r="K81" s="319"/>
      <c r="L81" s="319"/>
      <c r="M81" s="319"/>
    </row>
    <row r="82" spans="1:13" x14ac:dyDescent="0.2">
      <c r="A82" s="152"/>
      <c r="B82" s="152"/>
      <c r="C82" s="319"/>
      <c r="D82" s="319"/>
      <c r="E82" s="319"/>
      <c r="F82" s="319"/>
      <c r="G82" s="319"/>
      <c r="H82" s="319"/>
      <c r="I82" s="319"/>
      <c r="J82" s="319"/>
      <c r="K82" s="319"/>
      <c r="L82" s="319"/>
      <c r="M82" s="319"/>
    </row>
    <row r="83" spans="1:13" x14ac:dyDescent="0.2">
      <c r="A83" s="152"/>
      <c r="B83" s="152"/>
      <c r="C83" s="319"/>
      <c r="D83" s="319"/>
      <c r="E83" s="319"/>
      <c r="F83" s="319"/>
      <c r="G83" s="319"/>
      <c r="H83" s="319"/>
      <c r="I83" s="319"/>
      <c r="J83" s="319"/>
      <c r="K83" s="319"/>
      <c r="L83" s="319"/>
      <c r="M83" s="319"/>
    </row>
    <row r="84" spans="1:13" x14ac:dyDescent="0.2">
      <c r="A84" s="152"/>
      <c r="B84" s="152"/>
      <c r="C84" s="319"/>
      <c r="D84" s="319"/>
      <c r="E84" s="319"/>
      <c r="F84" s="319"/>
      <c r="G84" s="319"/>
      <c r="H84" s="319"/>
      <c r="I84" s="319"/>
      <c r="J84" s="319"/>
      <c r="K84" s="319"/>
      <c r="L84" s="319"/>
      <c r="M84" s="319"/>
    </row>
    <row r="85" spans="1:13" x14ac:dyDescent="0.2">
      <c r="A85" s="152"/>
      <c r="B85" s="152"/>
      <c r="C85" s="319"/>
      <c r="D85" s="319"/>
      <c r="E85" s="319"/>
      <c r="F85" s="319"/>
      <c r="G85" s="319"/>
      <c r="H85" s="319"/>
      <c r="I85" s="319"/>
      <c r="J85" s="319"/>
      <c r="K85" s="319"/>
      <c r="L85" s="319"/>
      <c r="M85" s="319"/>
    </row>
    <row r="86" spans="1:13" x14ac:dyDescent="0.2">
      <c r="A86" s="152"/>
      <c r="B86" s="152"/>
      <c r="C86" s="319"/>
      <c r="D86" s="319"/>
      <c r="E86" s="319"/>
      <c r="F86" s="319"/>
      <c r="G86" s="319"/>
      <c r="H86" s="319"/>
      <c r="I86" s="319"/>
      <c r="J86" s="319"/>
      <c r="K86" s="319"/>
      <c r="L86" s="319"/>
      <c r="M86" s="319"/>
    </row>
    <row r="87" spans="1:13" x14ac:dyDescent="0.2">
      <c r="A87" s="152"/>
      <c r="B87" s="152"/>
      <c r="C87" s="319"/>
      <c r="D87" s="319"/>
      <c r="E87" s="319"/>
      <c r="F87" s="319"/>
      <c r="G87" s="319"/>
      <c r="H87" s="319"/>
      <c r="I87" s="319"/>
      <c r="J87" s="319"/>
      <c r="K87" s="319"/>
      <c r="L87" s="319"/>
      <c r="M87" s="319"/>
    </row>
    <row r="88" spans="1:13" x14ac:dyDescent="0.2">
      <c r="A88" s="152"/>
      <c r="B88" s="152"/>
      <c r="C88" s="319"/>
      <c r="D88" s="319"/>
      <c r="E88" s="319"/>
      <c r="F88" s="319"/>
      <c r="G88" s="319"/>
      <c r="H88" s="319"/>
      <c r="I88" s="319"/>
      <c r="J88" s="319"/>
      <c r="K88" s="319"/>
      <c r="L88" s="319"/>
      <c r="M88" s="319"/>
    </row>
    <row r="89" spans="1:13" x14ac:dyDescent="0.2">
      <c r="A89" s="152"/>
      <c r="B89" s="152"/>
      <c r="C89" s="319"/>
      <c r="D89" s="319"/>
      <c r="E89" s="319"/>
      <c r="F89" s="319"/>
      <c r="G89" s="319"/>
      <c r="H89" s="319"/>
      <c r="I89" s="319"/>
      <c r="J89" s="319"/>
      <c r="K89" s="319"/>
      <c r="L89" s="319"/>
      <c r="M89" s="319"/>
    </row>
    <row r="90" spans="1:13" x14ac:dyDescent="0.2">
      <c r="A90" s="152"/>
      <c r="B90" s="152"/>
      <c r="C90" s="319"/>
      <c r="D90" s="319"/>
      <c r="E90" s="319"/>
      <c r="F90" s="319"/>
      <c r="G90" s="319"/>
      <c r="H90" s="319"/>
      <c r="I90" s="319"/>
      <c r="J90" s="319"/>
      <c r="K90" s="319"/>
      <c r="L90" s="319"/>
      <c r="M90" s="319"/>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11</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f>IF('School Level Expenditures'!$B$2=A14,'School Tables'!H14,"")</f>
        <v>11</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2024-09-18T15:24:05Z</cp:lastPrinted>
  <dcterms:created xsi:type="dcterms:W3CDTF">1997-12-04T19:04:30Z</dcterms:created>
  <dcterms:modified xsi:type="dcterms:W3CDTF">2024-09-25T15:01:02Z</dcterms:modified>
</cp:coreProperties>
</file>