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BE08066D-C28F-4141-BC6B-585E376FDB36}"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7" i="14" l="1"/>
  <c r="Q6" i="14"/>
  <c r="F120" i="1"/>
  <c r="K26" i="14" l="1"/>
  <c r="M27" i="14"/>
  <c r="O6" i="14"/>
  <c r="O27" i="14"/>
  <c r="O7" i="14"/>
  <c r="P7" i="14"/>
  <c r="P6" i="14"/>
  <c r="K6" i="14"/>
  <c r="K5" i="14"/>
  <c r="D5" i="14"/>
  <c r="E7" i="14"/>
  <c r="D27" i="14"/>
  <c r="L27" i="14"/>
  <c r="C19" i="12"/>
  <c r="C20" i="12"/>
  <c r="C21" i="12"/>
  <c r="C11" i="12"/>
  <c r="B10" i="12"/>
  <c r="B12" i="12"/>
  <c r="C12" i="12" s="1"/>
  <c r="G523" i="1"/>
  <c r="F523" i="1"/>
  <c r="G522" i="1"/>
  <c r="F522" i="1"/>
  <c r="E9" i="17"/>
  <c r="E13" i="17"/>
  <c r="G534" i="1"/>
  <c r="G533" i="1"/>
  <c r="G532" i="1"/>
  <c r="F534" i="1"/>
  <c r="F533" i="1"/>
  <c r="F532" i="1"/>
  <c r="H544" i="1"/>
  <c r="H543" i="1"/>
  <c r="H542" i="1"/>
  <c r="K527" i="1"/>
  <c r="I527" i="1"/>
  <c r="H527" i="1"/>
  <c r="G527" i="1"/>
  <c r="F527" i="1"/>
  <c r="J522" i="1"/>
  <c r="I522" i="1"/>
  <c r="H522" i="1"/>
  <c r="H256" i="1"/>
  <c r="H235" i="1"/>
  <c r="H245" i="1"/>
  <c r="H234" i="1"/>
  <c r="H227" i="1"/>
  <c r="G199" i="1"/>
  <c r="G217" i="1"/>
  <c r="H576" i="1"/>
  <c r="G198" i="1"/>
  <c r="F473" i="1"/>
  <c r="J226" i="1" l="1"/>
  <c r="I226" i="1"/>
  <c r="H226" i="1"/>
  <c r="G226" i="1"/>
  <c r="F226" i="1"/>
  <c r="J208" i="1"/>
  <c r="I208" i="1"/>
  <c r="H208" i="1"/>
  <c r="G208" i="1"/>
  <c r="F208" i="1"/>
  <c r="I243" i="1"/>
  <c r="H243" i="1"/>
  <c r="G243" i="1"/>
  <c r="F243" i="1"/>
  <c r="I225" i="1"/>
  <c r="H225" i="1"/>
  <c r="G225" i="1"/>
  <c r="F225" i="1"/>
  <c r="I207" i="1"/>
  <c r="H207" i="1"/>
  <c r="G207" i="1"/>
  <c r="F207" i="1"/>
  <c r="H209" i="1"/>
  <c r="H307" i="1" l="1"/>
  <c r="H306" i="1"/>
  <c r="F306" i="1"/>
  <c r="I302" i="1"/>
  <c r="H302" i="1"/>
  <c r="G302" i="1"/>
  <c r="F302" i="1"/>
  <c r="G297" i="1"/>
  <c r="F297" i="1"/>
  <c r="K296" i="1"/>
  <c r="J296" i="1"/>
  <c r="I296" i="1"/>
  <c r="G296" i="1"/>
  <c r="F296" i="1"/>
  <c r="K277" i="1"/>
  <c r="J277" i="1"/>
  <c r="I283" i="1"/>
  <c r="I277" i="1"/>
  <c r="H288" i="1"/>
  <c r="H287" i="1"/>
  <c r="H283" i="1"/>
  <c r="G283" i="1"/>
  <c r="G278" i="1"/>
  <c r="G277" i="1"/>
  <c r="F287" i="1"/>
  <c r="F283" i="1"/>
  <c r="F278" i="1"/>
  <c r="F277" i="1"/>
  <c r="H161" i="1"/>
  <c r="H159" i="1"/>
  <c r="H155" i="1"/>
  <c r="H154" i="1"/>
  <c r="K241" i="1" l="1"/>
  <c r="J241" i="1"/>
  <c r="I241" i="1"/>
  <c r="H241" i="1"/>
  <c r="G241" i="1"/>
  <c r="F241" i="1"/>
  <c r="K205" i="1"/>
  <c r="J205" i="1"/>
  <c r="I205" i="1"/>
  <c r="H205" i="1"/>
  <c r="G205" i="1"/>
  <c r="F205" i="1"/>
  <c r="K223" i="1"/>
  <c r="J223" i="1"/>
  <c r="I223" i="1"/>
  <c r="H223" i="1"/>
  <c r="G223" i="1"/>
  <c r="F223" i="1"/>
  <c r="K222" i="1"/>
  <c r="J222" i="1"/>
  <c r="H222" i="1"/>
  <c r="G222" i="1"/>
  <c r="F222" i="1"/>
  <c r="K204" i="1"/>
  <c r="J204" i="1"/>
  <c r="H204" i="1"/>
  <c r="G204" i="1"/>
  <c r="F204" i="1"/>
  <c r="K221" i="1"/>
  <c r="H221" i="1"/>
  <c r="I221" i="1"/>
  <c r="G221" i="1"/>
  <c r="F221" i="1"/>
  <c r="K203" i="1"/>
  <c r="H203" i="1"/>
  <c r="I203" i="1"/>
  <c r="G203" i="1"/>
  <c r="F203" i="1"/>
  <c r="J217" i="1"/>
  <c r="H217" i="1"/>
  <c r="F217" i="1"/>
  <c r="J199" i="1"/>
  <c r="H199" i="1"/>
  <c r="F199" i="1"/>
  <c r="I216" i="1"/>
  <c r="G216" i="1"/>
  <c r="F216" i="1"/>
  <c r="I198" i="1"/>
  <c r="F198" i="1"/>
  <c r="K224" i="1"/>
  <c r="J224" i="1"/>
  <c r="I224" i="1"/>
  <c r="H224" i="1"/>
  <c r="G224" i="1"/>
  <c r="F224" i="1"/>
  <c r="I222" i="1"/>
  <c r="K219" i="1"/>
  <c r="I219" i="1"/>
  <c r="H219" i="1"/>
  <c r="G219" i="1"/>
  <c r="F219" i="1"/>
  <c r="I217" i="1"/>
  <c r="K216" i="1"/>
  <c r="H216" i="1"/>
  <c r="K206" i="1"/>
  <c r="J206" i="1"/>
  <c r="I206" i="1"/>
  <c r="H206" i="1"/>
  <c r="G206" i="1"/>
  <c r="F206" i="1"/>
  <c r="I204" i="1"/>
  <c r="I199" i="1"/>
  <c r="K198" i="1"/>
  <c r="H198" i="1"/>
  <c r="J235" i="1"/>
  <c r="H604" i="1" l="1"/>
  <c r="H596" i="1"/>
  <c r="I593" i="1"/>
  <c r="H593" i="1"/>
  <c r="J592" i="1"/>
  <c r="I592" i="1"/>
  <c r="H592" i="1"/>
  <c r="J469"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E124" i="2" s="1"/>
  <c r="L308" i="1"/>
  <c r="E125" i="2" s="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J112" i="1" s="1"/>
  <c r="F121" i="1"/>
  <c r="F136" i="1"/>
  <c r="G121" i="1"/>
  <c r="G136" i="1"/>
  <c r="H121" i="1"/>
  <c r="H136" i="1"/>
  <c r="H140" i="1" s="1"/>
  <c r="I121" i="1"/>
  <c r="I136" i="1"/>
  <c r="J121" i="1"/>
  <c r="J136" i="1"/>
  <c r="F147" i="1"/>
  <c r="F170" i="1" s="1"/>
  <c r="G147" i="1"/>
  <c r="D85" i="2" s="1"/>
  <c r="H147" i="1"/>
  <c r="H170" i="1" s="1"/>
  <c r="I147" i="1"/>
  <c r="F85" i="2" s="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H12" i="2" s="1"/>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H27" i="2" s="1"/>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H94" i="2" s="1"/>
  <c r="F94" i="2"/>
  <c r="D96" i="2"/>
  <c r="E96" i="2"/>
  <c r="F96" i="2"/>
  <c r="G96" i="2"/>
  <c r="C97" i="2"/>
  <c r="D97" i="2"/>
  <c r="E97" i="2"/>
  <c r="F97" i="2"/>
  <c r="G97" i="2"/>
  <c r="C98" i="2"/>
  <c r="H98" i="2" s="1"/>
  <c r="D98" i="2"/>
  <c r="E98" i="2"/>
  <c r="G98" i="2"/>
  <c r="C99" i="2"/>
  <c r="D99" i="2"/>
  <c r="E99" i="2"/>
  <c r="F99" i="2"/>
  <c r="C100" i="2"/>
  <c r="H100" i="2" s="1"/>
  <c r="D100" i="2"/>
  <c r="E100" i="2"/>
  <c r="F100" i="2"/>
  <c r="C101" i="2"/>
  <c r="D101" i="2"/>
  <c r="E101" i="2"/>
  <c r="F101" i="2"/>
  <c r="C102" i="2"/>
  <c r="H102" i="2" s="1"/>
  <c r="D102" i="2"/>
  <c r="E102" i="2"/>
  <c r="F102" i="2"/>
  <c r="E111" i="2"/>
  <c r="E112" i="2"/>
  <c r="D115" i="2"/>
  <c r="F115" i="2"/>
  <c r="G115" i="2"/>
  <c r="C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H653" i="1"/>
  <c r="G654" i="1"/>
  <c r="H654" i="1"/>
  <c r="H655" i="1"/>
  <c r="H656" i="1"/>
  <c r="H101" i="2" l="1"/>
  <c r="C13" i="10"/>
  <c r="H135" i="2"/>
  <c r="H97" i="2"/>
  <c r="H93" i="2"/>
  <c r="H87" i="2"/>
  <c r="H61" i="2"/>
  <c r="H26" i="2"/>
  <c r="H22" i="2"/>
  <c r="G62" i="2"/>
  <c r="H99" i="2"/>
  <c r="I112" i="1"/>
  <c r="I170" i="1"/>
  <c r="H96" i="2"/>
  <c r="H35" i="2"/>
  <c r="H13" i="2"/>
  <c r="H9" i="2"/>
  <c r="H59" i="2"/>
  <c r="H38" i="2"/>
  <c r="H43" i="2"/>
  <c r="H47" i="2"/>
  <c r="H76" i="2"/>
  <c r="H125" i="2"/>
  <c r="H69" i="2"/>
  <c r="H30" i="2"/>
  <c r="H28" i="2"/>
  <c r="H17" i="2"/>
  <c r="H23" i="2"/>
  <c r="H11" i="2"/>
  <c r="E120" i="2"/>
  <c r="I409" i="1"/>
  <c r="H80" i="2"/>
  <c r="J140" i="1"/>
  <c r="C32" i="10"/>
  <c r="D18" i="13"/>
  <c r="C18" i="13" s="1"/>
  <c r="C12" i="10"/>
  <c r="H57" i="2"/>
  <c r="H79" i="2"/>
  <c r="H58" i="2"/>
  <c r="D144" i="2"/>
  <c r="H89" i="2"/>
  <c r="H48" i="2"/>
  <c r="H34" i="2"/>
  <c r="H21" i="2"/>
  <c r="H132" i="2"/>
  <c r="H36" i="2"/>
  <c r="H44" i="2"/>
  <c r="E13" i="13"/>
  <c r="C13" i="13" s="1"/>
  <c r="G663" i="1"/>
  <c r="K2" i="14"/>
  <c r="K3" i="14" s="1"/>
  <c r="C120" i="2"/>
  <c r="H120" i="2" s="1"/>
  <c r="C112" i="2"/>
  <c r="H112" i="2" s="1"/>
  <c r="C119" i="2"/>
  <c r="J652" i="1"/>
  <c r="D15" i="13"/>
  <c r="C15" i="13" s="1"/>
  <c r="K36" i="14"/>
  <c r="K37" i="14" s="1"/>
  <c r="G477" i="1"/>
  <c r="D29" i="13"/>
  <c r="G662" i="1"/>
  <c r="H77" i="2"/>
  <c r="H8" i="2"/>
  <c r="G646" i="1"/>
  <c r="G409" i="1"/>
  <c r="H646" i="1"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H50" i="2" s="1"/>
  <c r="J51" i="1"/>
  <c r="G16" i="2"/>
  <c r="G18" i="2" s="1"/>
  <c r="J19" i="1"/>
  <c r="G622" i="1" s="1"/>
  <c r="F546" i="1"/>
  <c r="H435" i="1"/>
  <c r="D103" i="2"/>
  <c r="I140" i="1"/>
  <c r="A22" i="12"/>
  <c r="J653" i="1"/>
  <c r="G572" i="1"/>
  <c r="I435" i="1"/>
  <c r="G435" i="1"/>
  <c r="I664" i="1"/>
  <c r="E51" i="2" l="1"/>
  <c r="H16" i="2"/>
  <c r="H78" i="2"/>
  <c r="H134" i="2"/>
  <c r="H42" i="2"/>
  <c r="H31" i="2"/>
  <c r="H85" i="2"/>
  <c r="H122" i="2"/>
  <c r="I663" i="1"/>
  <c r="H91" i="2"/>
  <c r="I662" i="1"/>
  <c r="D128" i="2"/>
  <c r="D145" i="2" s="1"/>
  <c r="H127" i="2"/>
  <c r="H62" i="2"/>
  <c r="D51" i="2"/>
  <c r="H18" i="2"/>
  <c r="H103" i="2"/>
  <c r="F194" i="1"/>
  <c r="G628" i="1" s="1"/>
  <c r="J628" i="1" s="1"/>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04" i="2"/>
  <c r="H104" i="2"/>
  <c r="H63" i="2"/>
  <c r="C144" i="2"/>
  <c r="C145" i="2" s="1"/>
  <c r="H141"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rgb="FF000000"/>
            <rFont val="Tahoma"/>
            <family val="2"/>
          </rPr>
          <t xml:space="preserve">Please use the Month slash Year Format.  For example: July 2001 = 07/01
</t>
        </r>
        <r>
          <rPr>
            <sz val="8"/>
            <color rgb="FF000000"/>
            <rFont val="Tahoma"/>
            <family val="2"/>
          </rPr>
          <t xml:space="preserve">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rgb="FF000000"/>
            <rFont val="Tahoma"/>
            <family val="2"/>
          </rPr>
          <t xml:space="preserve">The total reported here must agree with the total reported on Pages 10 and 14  minus Function 4000 (Facilities Acquisition) for 
</t>
        </r>
        <r>
          <rPr>
            <sz val="8"/>
            <color rgb="FF000000"/>
            <rFont val="Tahoma"/>
            <family val="2"/>
          </rPr>
          <t xml:space="preserve"> property.
</t>
        </r>
        <r>
          <rPr>
            <sz val="8"/>
            <color rgb="FF000000"/>
            <rFont val="Tahoma"/>
            <family val="2"/>
          </rPr>
          <t xml:space="preserve">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rgb="FF000000"/>
            <rFont val="Tahoma"/>
            <family val="2"/>
          </rPr>
          <t>Total Expenditures &amp; Other Financing Uses on Page 14 equals Expenditures reported on Page 19 for Special Revenue Fund 22</t>
        </r>
        <r>
          <rPr>
            <sz val="9"/>
            <color rgb="FF000000"/>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rgb="FF000000"/>
            <rFont val="Tahoma"/>
            <family val="2"/>
          </rPr>
          <t>Total Food Service Expenditures on Page 15, line 5 equals Expenditures reported on Page 19 for Food Service Fund 22</t>
        </r>
        <r>
          <rPr>
            <sz val="9"/>
            <color rgb="FF000000"/>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rgb="FF000000"/>
            <rFont val="Tahoma"/>
            <family val="2"/>
          </rPr>
          <t>Total Inter-fund transfers on page 6 line 10 Fund 70 equals Total Inter-fund Transfers on Page 16, line20 Column 2</t>
        </r>
        <r>
          <rPr>
            <sz val="9"/>
            <color rgb="FF000000"/>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rgb="FF000000"/>
            <rFont val="Tahoma"/>
            <family val="2"/>
          </rPr>
          <t>Welch, Matthew:</t>
        </r>
        <r>
          <rPr>
            <sz val="9"/>
            <color rgb="FF000000"/>
            <rFont val="Tahoma"/>
            <family val="2"/>
          </rPr>
          <t xml:space="preserve">
</t>
        </r>
        <r>
          <rPr>
            <sz val="9"/>
            <color rgb="FF000000"/>
            <rFont val="Tahoma"/>
            <family val="2"/>
          </rPr>
          <t>Elementary transportation on page 7 equals elementary transportation reported on page 23</t>
        </r>
      </text>
    </comment>
    <comment ref="J651" authorId="1" shapeId="0" xr:uid="{5B16850A-2864-437C-88AA-CE9B9C52C64A}">
      <text>
        <r>
          <rPr>
            <b/>
            <sz val="9"/>
            <color rgb="FF000000"/>
            <rFont val="Tahoma"/>
            <family val="2"/>
          </rPr>
          <t>Welch, Matthew:</t>
        </r>
        <r>
          <rPr>
            <sz val="9"/>
            <color rgb="FF000000"/>
            <rFont val="Tahoma"/>
            <family val="2"/>
          </rPr>
          <t xml:space="preserve">
</t>
        </r>
        <r>
          <rPr>
            <sz val="9"/>
            <color rgb="FF000000"/>
            <rFont val="Tahoma"/>
            <family val="2"/>
          </rPr>
          <t>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rgb="FF000000"/>
            <rFont val="Tahoma"/>
            <family val="2"/>
          </rPr>
          <t>Welch, Matthew:</t>
        </r>
        <r>
          <rPr>
            <sz val="9"/>
            <color rgb="FF000000"/>
            <rFont val="Tahoma"/>
            <family val="2"/>
          </rPr>
          <t xml:space="preserve">
</t>
        </r>
        <r>
          <rPr>
            <sz val="9"/>
            <color rgb="FF000000"/>
            <rFont val="Tahoma"/>
            <family val="2"/>
          </rPr>
          <t>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<sst xmlns="http://schemas.openxmlformats.org/spreadsheetml/2006/main" count="6649" uniqueCount="1841">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</sst>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8"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
      <b/>
      <sz val="9"/>
      <color rgb="FF000000"/>
      <name val="Tahoma"/>
      <family val="2"/>
    </font>
    <font>
      <sz val="9"/>
      <color rgb="FF000000"/>
      <name val="Tahoma"/>
      <family val="2"/>
    </font>
    <font>
      <sz val="8"/>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4" zoomScaleNormal="100" workbookViewId="0">
      <selection activeCell="C657" sqref="C657"/>
    </sheetView>
  </sheetViews>
  <sheetFormatPr defaultColWidth="8.6640625" defaultRowHeight="12.2" customHeight="1" x14ac:dyDescent="0.2"/>
  <cols>
    <col min="1" max="1" width="48.6640625" customWidth="1"/>
    <col min="2" max="2" width="5.16406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915</v>
      </c>
      <c r="B2">
        <f>INDEX('School Tables'!$AH$3:$AH$213,MATCH('DOE25'!A2,'School Tables'!$AJ$3:$AJ$213,0))</f>
        <v>33</v>
      </c>
      <c r="C2">
        <f>INDEX('School Tables'!$AI$3:$AI$213,MATCH('DOE25'!A2,'School Tables'!$AJ$3:$AJ$213,0))</f>
        <v>33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2128890</v>
      </c>
      <c r="G9" s="18">
        <v>116965.99</v>
      </c>
      <c r="H9" s="18"/>
      <c r="I9" s="18"/>
      <c r="J9" s="13">
        <f>SUM(I440)</f>
        <v>2104246.7999999998</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115755</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28450</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2273095</v>
      </c>
      <c r="G19" s="38">
        <f>SUM(G9:G18)</f>
        <v>116965.99</v>
      </c>
      <c r="H19" s="38">
        <f>SUM(H9:H18)</f>
        <v>0</v>
      </c>
      <c r="I19" s="38">
        <f>SUM(I9:I18)</f>
        <v>0</v>
      </c>
      <c r="J19" s="38">
        <f>SUM(J9:J18)</f>
        <v>2104246.7999999998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130314</v>
      </c>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137948</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383937</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433085</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1085284</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28450</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116965.99</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200000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565584</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2104246.7999999998</v>
      </c>
      <c r="K49" s="23"/>
      <c r="L49" s="23"/>
      <c r="M49" s="8"/>
      <c r="N49" s="164"/>
    </row>
    <row r="50" spans="1:14" s="3" customFormat="1" ht="12.2" customHeight="1" thickBot="1" x14ac:dyDescent="0.2">
      <c r="A50" s="28" t="s">
        <v>836</v>
      </c>
      <c r="B50" s="2" t="s">
        <v>289</v>
      </c>
      <c r="C50" s="56">
        <v>35</v>
      </c>
      <c r="D50" s="2" t="s">
        <v>653</v>
      </c>
      <c r="E50" s="6">
        <v>770</v>
      </c>
      <c r="F50" s="18">
        <v>393777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1187811</v>
      </c>
      <c r="G51" s="38">
        <f>SUM(G35:G50)</f>
        <v>116965.99</v>
      </c>
      <c r="H51" s="38">
        <f>SUM(H35:H50)</f>
        <v>0</v>
      </c>
      <c r="I51" s="38">
        <f>SUM(I35:I50)</f>
        <v>0</v>
      </c>
      <c r="J51" s="38">
        <f>SUM(J35:J50)</f>
        <v>2104246.7999999998</v>
      </c>
      <c r="K51" s="42" t="s">
        <v>288</v>
      </c>
      <c r="L51" s="42" t="s">
        <v>288</v>
      </c>
      <c r="N51" s="130"/>
    </row>
    <row r="52" spans="1:14" s="3" customFormat="1" ht="12.2" customHeight="1" thickTop="1" x14ac:dyDescent="0.15">
      <c r="A52" s="35" t="s">
        <v>455</v>
      </c>
      <c r="B52" s="36" t="s">
        <v>289</v>
      </c>
      <c r="C52" s="6">
        <v>37</v>
      </c>
      <c r="D52" s="36" t="s">
        <v>653</v>
      </c>
      <c r="E52" s="36"/>
      <c r="F52" s="38">
        <f>F51+F32</f>
        <v>2273095</v>
      </c>
      <c r="G52" s="38">
        <f>G51+G32</f>
        <v>116965.99</v>
      </c>
      <c r="H52" s="38">
        <f>H51+H32</f>
        <v>0</v>
      </c>
      <c r="I52" s="38">
        <f>I51+I32</f>
        <v>0</v>
      </c>
      <c r="J52" s="38">
        <f>J51+J32</f>
        <v>2104246.7999999998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20463950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20463950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90905</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90905</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63035.45</v>
      </c>
      <c r="G96" s="18"/>
      <c r="H96" s="18"/>
      <c r="I96" s="18"/>
      <c r="J96" s="18">
        <v>63035.45</v>
      </c>
      <c r="K96" s="23" t="s">
        <v>288</v>
      </c>
      <c r="L96" s="23" t="s">
        <v>288</v>
      </c>
      <c r="M96" s="8"/>
      <c r="N96" s="164"/>
    </row>
    <row r="97" spans="1:14" s="3" customFormat="1" ht="12.2" customHeight="1" x14ac:dyDescent="0.15">
      <c r="A97" s="1" t="s">
        <v>503</v>
      </c>
      <c r="B97" s="2" t="s">
        <v>315</v>
      </c>
      <c r="C97" s="6">
        <v>12</v>
      </c>
      <c r="D97" s="2" t="s">
        <v>430</v>
      </c>
      <c r="E97" s="6">
        <v>1600</v>
      </c>
      <c r="F97" s="23" t="s">
        <v>288</v>
      </c>
      <c r="G97" s="18">
        <v>283454.19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14070</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77105.45</v>
      </c>
      <c r="G111" s="38">
        <f>SUM(G96:G110)</f>
        <v>283454.19</v>
      </c>
      <c r="H111" s="38">
        <f>SUM(H96:H110)</f>
        <v>0</v>
      </c>
      <c r="I111" s="38">
        <f>SUM(I96:I110)</f>
        <v>0</v>
      </c>
      <c r="J111" s="38">
        <f>SUM(J96:J110)</f>
        <v>63035.45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20631960.449999999</v>
      </c>
      <c r="G112" s="38">
        <f>G60+G111</f>
        <v>283454.19</v>
      </c>
      <c r="H112" s="38">
        <f>H60+H79+H94+H111</f>
        <v>0</v>
      </c>
      <c r="I112" s="38">
        <f>I60+I111</f>
        <v>0</v>
      </c>
      <c r="J112" s="38">
        <f>J60+J111</f>
        <v>63035.45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4904367.16</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2159419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20371.1+8252.24</f>
        <v>28623.339999999997</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7092409.5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38131.370000000003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t="s">
        <v>286</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5845.3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t="s">
        <v>286</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38131.370000000003</v>
      </c>
      <c r="G136" s="38">
        <f>SUM(G123:G135)</f>
        <v>5845.3</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7130540.8700000001</v>
      </c>
      <c r="G140" s="38">
        <f>G121+SUM(G136:G137)</f>
        <v>5845.3</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7319+118839</f>
        <v>126158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23044+800+8018+3564+7186+16522+92727</f>
        <v>151861</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104212.52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342246</f>
        <v>342246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1648.53</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23134.95</v>
      </c>
      <c r="H161" s="18">
        <f>14258+10479</f>
        <v>24737</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267339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1648.53</v>
      </c>
      <c r="G163" s="38">
        <f>SUM(G150:G162)</f>
        <v>127347.47</v>
      </c>
      <c r="H163" s="38">
        <f>SUM(H150:H162)</f>
        <v>912341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1648.53</v>
      </c>
      <c r="G170" s="38">
        <f>G147+G163+SUM(G164:G169)</f>
        <v>127347.47</v>
      </c>
      <c r="H170" s="38">
        <f>H147+H163+SUM(H164:H169)</f>
        <v>912341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225000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225000</v>
      </c>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225000</v>
      </c>
      <c r="G184" s="38">
        <f>SUM(G180:G183)</f>
        <v>0</v>
      </c>
      <c r="H184" s="38">
        <f>SUM(H180:H183)</f>
        <v>0</v>
      </c>
      <c r="I184" s="38">
        <f>SUM(I180:I183)</f>
        <v>0</v>
      </c>
      <c r="J184" s="38">
        <f>SUM(J180:J183)</f>
        <v>225000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t="s">
        <v>286</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225000</v>
      </c>
      <c r="G193" s="38">
        <f>G184+SUM(G189:G192)</f>
        <v>0</v>
      </c>
      <c r="H193" s="38">
        <f>+H184+SUM(H189:H192)</f>
        <v>0</v>
      </c>
      <c r="I193" s="38">
        <f>I178+I184+SUM(I189:I192)</f>
        <v>0</v>
      </c>
      <c r="J193" s="38">
        <f>J184</f>
        <v>225000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27989149.850000001</v>
      </c>
      <c r="G194" s="38">
        <f>G112+G140+G170+G193</f>
        <v>416646.95999999996</v>
      </c>
      <c r="H194" s="38">
        <f>H112+H140+H170+H193</f>
        <v>912341</v>
      </c>
      <c r="I194" s="38">
        <f>I112+I140+I170+I193</f>
        <v>0</v>
      </c>
      <c r="J194" s="38">
        <f>J112+J140+J193</f>
        <v>288035.45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1583110.95+396150.02+162464.03+57881.98+12914.39+137134.2</f>
        <v>2349655.5700000003</v>
      </c>
      <c r="G198" s="18">
        <f>498426.79+157409.94+12309.38+2758.95+930+432+5126.85+1752.3+123986.4+42926.8+311190.71+100293.23+12840+86422.4</f>
        <v>1356805.75</v>
      </c>
      <c r="H198" s="18">
        <f>13364.23+6309.08</f>
        <v>19673.309999999998</v>
      </c>
      <c r="I198" s="18">
        <f>15847.95+8047.32+997.34+988.39+11010.37+7560.3+522.7+95.14+2650.06+606.9+1806.06+596.6+640.69+1079.74+14229.77</f>
        <v>66679.33</v>
      </c>
      <c r="J198" s="18"/>
      <c r="K198" s="18">
        <f>718.74</f>
        <v>718.74</v>
      </c>
      <c r="L198" s="13">
        <f>SUM(F198:K198)</f>
        <v>3793532.7000000007</v>
      </c>
      <c r="M198" s="8"/>
      <c r="N198" s="164"/>
    </row>
    <row r="199" spans="1:14" s="3" customFormat="1" ht="12.2" customHeight="1" x14ac:dyDescent="0.15">
      <c r="A199" s="1" t="s">
        <v>439</v>
      </c>
      <c r="B199" s="2" t="s">
        <v>341</v>
      </c>
      <c r="C199" s="2" t="s">
        <v>291</v>
      </c>
      <c r="D199" s="2" t="s">
        <v>431</v>
      </c>
      <c r="E199" s="6">
        <v>1200</v>
      </c>
      <c r="F199" s="18">
        <f>272202.85+130286.86+457409.4+281914.81+1702.5+226.25+7302.5+15940+29797+22847.84</f>
        <v>1219630.01</v>
      </c>
      <c r="G199" s="18">
        <f>167465.63+140765.32+4629.22+780+426+2353.65+1615.95+56127.6+30376.73+115832.38+55801.65+4318.85+66568.88</f>
        <v>647061.86</v>
      </c>
      <c r="H199" s="18">
        <f>75474.74+19360.33</f>
        <v>94835.07</v>
      </c>
      <c r="I199" s="18">
        <f>1049.82+14158.83+1254.49+479.37</f>
        <v>16942.509999999998</v>
      </c>
      <c r="J199" s="18">
        <f>888.84+364.98+275</f>
        <v>1528.8200000000002</v>
      </c>
      <c r="K199" s="18"/>
      <c r="L199" s="13">
        <f>SUM(F199:K199)</f>
        <v>1979998.2700000003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117963.62+71347.9+65250.12+71775.08+35234.49+51864.31+171854.76+83824.13+13860+39599.95</f>
        <v>722574.36</v>
      </c>
      <c r="G203" s="18">
        <f>52668.14+1440.94+72+387.72+8602.94+23167.88+4000+661.3+108+533.88+5322.46+5297.74+14012.7+12815.14+36+234.12+5326.1+14096.68+14740.63+36+111.12+2627.83+4767.13+26647.26+2888.18+34761.01+89673.45+43751.17</f>
        <v>368787.52</v>
      </c>
      <c r="H203" s="18">
        <f>448.5+21287.65</f>
        <v>21736.15</v>
      </c>
      <c r="I203" s="18">
        <f>750.91+541.58+70.71+1035.98+873.6+573.94+574.12+250.7+2751.67+798.57</f>
        <v>8221.7800000000007</v>
      </c>
      <c r="J203" s="18"/>
      <c r="K203" s="18">
        <f>2979.2</f>
        <v>2979.2</v>
      </c>
      <c r="L203" s="13">
        <f t="shared" ref="L203:L209" si="0">SUM(F203:K203)</f>
        <v>1124299.0099999998</v>
      </c>
      <c r="M203" s="8"/>
      <c r="N203" s="164"/>
    </row>
    <row r="204" spans="1:14" s="3" customFormat="1" ht="12.2" customHeight="1" x14ac:dyDescent="0.15">
      <c r="A204" s="1" t="s">
        <v>443</v>
      </c>
      <c r="B204" s="2" t="s">
        <v>341</v>
      </c>
      <c r="C204" s="2" t="s">
        <v>295</v>
      </c>
      <c r="D204" s="2" t="s">
        <v>431</v>
      </c>
      <c r="E204" s="6">
        <v>2200</v>
      </c>
      <c r="F204" s="18">
        <f>97538.77+63249.94+67839.98</f>
        <v>228628.69</v>
      </c>
      <c r="G204" s="18">
        <f>26443.75+652.23+36+245.76+7008.53+19156.52+30236.88+2099.56+36+204.04+4374.76+12422.28+26680.53</f>
        <v>129596.83999999998</v>
      </c>
      <c r="H204" s="18">
        <f>53148.32+12469.22</f>
        <v>65617.539999999994</v>
      </c>
      <c r="I204" s="18">
        <f>545.22+2774.9+2579.38+664.85+10117.52+2571</f>
        <v>19252.870000000003</v>
      </c>
      <c r="J204" s="18">
        <f>13833+37446+716+1615.61+587.38+1182.72+2148</f>
        <v>57528.71</v>
      </c>
      <c r="K204" s="18">
        <f>31192.38</f>
        <v>31192.38</v>
      </c>
      <c r="L204" s="13">
        <f t="shared" si="0"/>
        <v>531817.02999999991</v>
      </c>
      <c r="M204" s="8"/>
      <c r="N204" s="164"/>
    </row>
    <row r="205" spans="1:14" s="3" customFormat="1" ht="12.2" customHeight="1" x14ac:dyDescent="0.15">
      <c r="A205" s="1" t="s">
        <v>444</v>
      </c>
      <c r="B205" s="2" t="s">
        <v>341</v>
      </c>
      <c r="C205" s="2" t="s">
        <v>296</v>
      </c>
      <c r="D205" s="2" t="s">
        <v>431</v>
      </c>
      <c r="E205" s="6">
        <v>2300</v>
      </c>
      <c r="F205" s="18">
        <f>1066.67+148152.25</f>
        <v>149218.92000000001</v>
      </c>
      <c r="G205" s="18">
        <f>56.1+75601.88</f>
        <v>75657.98000000001</v>
      </c>
      <c r="H205" s="18">
        <f>17763.84+12684.31</f>
        <v>30448.15</v>
      </c>
      <c r="I205" s="18">
        <f>1295.16</f>
        <v>1295.1600000000001</v>
      </c>
      <c r="J205" s="18">
        <f>1127.29</f>
        <v>1127.29</v>
      </c>
      <c r="K205" s="18">
        <f>2977.85+6127.2</f>
        <v>9105.0499999999993</v>
      </c>
      <c r="L205" s="13">
        <f t="shared" si="0"/>
        <v>266852.55000000005</v>
      </c>
      <c r="M205" s="8"/>
      <c r="N205" s="164"/>
    </row>
    <row r="206" spans="1:14" s="3" customFormat="1" ht="12.2" customHeight="1" x14ac:dyDescent="0.15">
      <c r="A206" s="1" t="s">
        <v>445</v>
      </c>
      <c r="B206" s="2" t="s">
        <v>341</v>
      </c>
      <c r="C206" s="2" t="s">
        <v>297</v>
      </c>
      <c r="D206" s="2" t="s">
        <v>431</v>
      </c>
      <c r="E206" s="6">
        <v>2400</v>
      </c>
      <c r="F206" s="18">
        <f>97800.04+96300.1+80499.9+82648.38+50858.04</f>
        <v>408106.46</v>
      </c>
      <c r="G206" s="18">
        <f>52138.62+32277.32+1833.1+1630.82+138+72+808.92+480+19727.35+11107.26+46200.5+25794.42</f>
        <v>192208.31</v>
      </c>
      <c r="H206" s="18">
        <f>650+225+10139.64+4339.57+1492.4+468+132+69.93</f>
        <v>17516.54</v>
      </c>
      <c r="I206" s="18">
        <f>51.76</f>
        <v>51.76</v>
      </c>
      <c r="J206" s="18">
        <f>10584.29+4226.46</f>
        <v>14810.75</v>
      </c>
      <c r="K206" s="18">
        <f>560+1494</f>
        <v>2054</v>
      </c>
      <c r="L206" s="13">
        <f t="shared" si="0"/>
        <v>634747.82000000007</v>
      </c>
      <c r="M206" s="8"/>
      <c r="N206" s="164"/>
    </row>
    <row r="207" spans="1:14" s="3" customFormat="1" ht="12.2" customHeight="1" x14ac:dyDescent="0.15">
      <c r="A207" s="1" t="s">
        <v>446</v>
      </c>
      <c r="B207" s="2" t="s">
        <v>341</v>
      </c>
      <c r="C207" s="2" t="s">
        <v>298</v>
      </c>
      <c r="D207" s="2" t="s">
        <v>431</v>
      </c>
      <c r="E207" s="6">
        <v>2500</v>
      </c>
      <c r="F207" s="18">
        <f>(92699.88+51994.7)/3</f>
        <v>48231.526666666672</v>
      </c>
      <c r="G207" s="18">
        <f>(52928.8+2446.64+72+475.31+10790.72+19012.57)/3</f>
        <v>28575.346666666668</v>
      </c>
      <c r="H207" s="18">
        <f>(200+14460.9+500+300)/3</f>
        <v>5153.6333333333332</v>
      </c>
      <c r="I207" s="18">
        <f>1301.81/3</f>
        <v>433.93666666666667</v>
      </c>
      <c r="J207" s="18"/>
      <c r="K207" s="18"/>
      <c r="L207" s="13">
        <f t="shared" si="0"/>
        <v>82394.443333333329</v>
      </c>
      <c r="M207" s="8"/>
      <c r="N207" s="164"/>
    </row>
    <row r="208" spans="1:14" s="3" customFormat="1" ht="12.2" customHeight="1" x14ac:dyDescent="0.15">
      <c r="A208" s="1" t="s">
        <v>447</v>
      </c>
      <c r="B208" s="2" t="s">
        <v>341</v>
      </c>
      <c r="C208" s="2" t="s">
        <v>299</v>
      </c>
      <c r="D208" s="2" t="s">
        <v>431</v>
      </c>
      <c r="E208" s="6">
        <v>2600</v>
      </c>
      <c r="F208" s="18">
        <f>93915.82+3073.77+48848.61</f>
        <v>145838.20000000001</v>
      </c>
      <c r="G208" s="18">
        <f>17892.76+801.25+94.5+326.17+7495.18+13122.94+22832.01</f>
        <v>62564.81</v>
      </c>
      <c r="H208" s="18">
        <f>1408.16+90840+632+244.5+3024+2656+18086+11024+2150.88+1440+1260+8320.76+3177.76+59877.57+104739.79+360+720+87005.22</f>
        <v>396966.64</v>
      </c>
      <c r="I208" s="18">
        <f>22377.3+7271.37+66081.48+21497.26+46463.48+21031.19+10444.93</f>
        <v>195167.00999999998</v>
      </c>
      <c r="J208" s="18">
        <f>77431.96</f>
        <v>77431.960000000006</v>
      </c>
      <c r="K208" s="18"/>
      <c r="L208" s="13">
        <f t="shared" si="0"/>
        <v>877968.62</v>
      </c>
      <c r="M208" s="8"/>
      <c r="N208" s="164"/>
    </row>
    <row r="209" spans="1:14" s="3" customFormat="1" ht="12.2" customHeight="1" x14ac:dyDescent="0.15">
      <c r="A209" s="1" t="s">
        <v>448</v>
      </c>
      <c r="B209" s="2" t="s">
        <v>341</v>
      </c>
      <c r="C209" s="2" t="s">
        <v>300</v>
      </c>
      <c r="D209" s="2" t="s">
        <v>431</v>
      </c>
      <c r="E209" s="6">
        <v>2700</v>
      </c>
      <c r="F209" s="18"/>
      <c r="G209" s="18"/>
      <c r="H209" s="18">
        <f>272224.45+175762.49+94184.45+2892.22+1884.61+2479.94</f>
        <v>549428.15999999992</v>
      </c>
      <c r="I209" s="18"/>
      <c r="J209" s="18"/>
      <c r="K209" s="18"/>
      <c r="L209" s="13">
        <f t="shared" si="0"/>
        <v>549428.15999999992</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5271883.7366666673</v>
      </c>
      <c r="G212" s="38">
        <f t="shared" si="1"/>
        <v>2861258.4166666665</v>
      </c>
      <c r="H212" s="38">
        <f t="shared" si="1"/>
        <v>1201375.1933333334</v>
      </c>
      <c r="I212" s="38">
        <f t="shared" si="1"/>
        <v>308044.35666666663</v>
      </c>
      <c r="J212" s="38">
        <f t="shared" si="1"/>
        <v>152427.53000000003</v>
      </c>
      <c r="K212" s="38">
        <f t="shared" si="1"/>
        <v>46049.369999999995</v>
      </c>
      <c r="L212" s="38">
        <f t="shared" si="1"/>
        <v>9841038.6033333335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1636748.18+62242.52+137134.2</f>
        <v>1836124.9</v>
      </c>
      <c r="G216" s="18">
        <f>439116.84+11812.71+906+4746.86+128407.21+321452.63+12840+86422.4</f>
        <v>1005704.65</v>
      </c>
      <c r="H216" s="18">
        <f>12141.62</f>
        <v>12141.62</v>
      </c>
      <c r="I216" s="18">
        <f>14798.38+3972.57+3938.67+3304.38+2539.21+4820.11+1298.78+2635.59+998.36+2916.29-122.2+426.11+1743.75+14229.77</f>
        <v>57499.770000000004</v>
      </c>
      <c r="J216" s="18"/>
      <c r="K216" s="18">
        <f>2620</f>
        <v>2620</v>
      </c>
      <c r="L216" s="13">
        <f>SUM(F216:K216)</f>
        <v>2914090.94</v>
      </c>
      <c r="M216" s="8"/>
      <c r="N216" s="164"/>
    </row>
    <row r="217" spans="1:14" s="3" customFormat="1" ht="12.2" customHeight="1" x14ac:dyDescent="0.15">
      <c r="A217" s="1" t="s">
        <v>439</v>
      </c>
      <c r="B217" s="2" t="s">
        <v>346</v>
      </c>
      <c r="C217" s="2" t="s">
        <v>291</v>
      </c>
      <c r="D217" s="2" t="s">
        <v>431</v>
      </c>
      <c r="E217" s="6">
        <v>1200</v>
      </c>
      <c r="F217" s="18">
        <f>351424.62+382461.73+535+29797+22847.84</f>
        <v>787066.19</v>
      </c>
      <c r="G217" s="18">
        <f>190815.82+3358.86+639+2290.28+53214.11+120089.85+4318.85+66568.88</f>
        <v>441295.65</v>
      </c>
      <c r="H217" s="18">
        <f>51170.4+20369.52+19360.33</f>
        <v>90900.25</v>
      </c>
      <c r="I217" s="18">
        <f>1969.79+188.7</f>
        <v>2158.4899999999998</v>
      </c>
      <c r="J217" s="18">
        <f>3864.58+3088.63+275</f>
        <v>7228.21</v>
      </c>
      <c r="K217" s="18"/>
      <c r="L217" s="13">
        <f>SUM(F217:K217)</f>
        <v>1328648.7899999998</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f>12700+32799</f>
        <v>45499</v>
      </c>
      <c r="G219" s="18">
        <f>971.56+2286.55+2933.3+4149.87</f>
        <v>10341.279999999999</v>
      </c>
      <c r="H219" s="18">
        <f>9705</f>
        <v>9705</v>
      </c>
      <c r="I219" s="18">
        <f>298.5+6828.33</f>
        <v>7126.83</v>
      </c>
      <c r="J219" s="18"/>
      <c r="K219" s="18">
        <f>524</f>
        <v>524</v>
      </c>
      <c r="L219" s="13">
        <f>SUM(F219:K219)</f>
        <v>73196.11</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114713.08+65250.12+31600.13+51864.31+171854.76+83824.13+13860+39599.95</f>
        <v>572566.48</v>
      </c>
      <c r="G221" s="18">
        <f>34257.28+720.4+72+399.6+8891.14+22529.72+58268.44+36+222.08+4747.67+12815.14+7683.02-3-9.99+2230.98+4275.48+26647.26+2888.18+34761.01+89673.45+43751.17</f>
        <v>354857.03</v>
      </c>
      <c r="H221" s="18">
        <f>21287.65</f>
        <v>21287.65</v>
      </c>
      <c r="I221" s="18">
        <f>499.01+1208.68+573.94+250.7+2751.67+798.57</f>
        <v>6082.57</v>
      </c>
      <c r="J221" s="18"/>
      <c r="K221" s="18">
        <f>2979.2</f>
        <v>2979.2</v>
      </c>
      <c r="L221" s="13">
        <f t="shared" ref="L221:L227" si="2">SUM(F221:K221)</f>
        <v>957772.92999999993</v>
      </c>
      <c r="M221" s="8"/>
      <c r="N221" s="164"/>
    </row>
    <row r="222" spans="1:14" s="3" customFormat="1" ht="12.2" customHeight="1" x14ac:dyDescent="0.15">
      <c r="A222" s="1" t="s">
        <v>443</v>
      </c>
      <c r="B222" s="2" t="s">
        <v>346</v>
      </c>
      <c r="C222" s="2" t="s">
        <v>295</v>
      </c>
      <c r="D222" s="2" t="s">
        <v>431</v>
      </c>
      <c r="E222" s="6">
        <v>2200</v>
      </c>
      <c r="F222" s="18">
        <f>66499.94+73700.12+67839.98</f>
        <v>208040.03999999998</v>
      </c>
      <c r="G222" s="18">
        <f>11743.75+339.88+36+228.16+5393.42+13060.58+30257.24+30.85+36+218.28+5247.32+14474.72+26680.53</f>
        <v>107746.73</v>
      </c>
      <c r="H222" s="18">
        <f>53148.32+12469.22</f>
        <v>65617.539999999994</v>
      </c>
      <c r="I222" s="18">
        <f>560.87+4905.62+4183.38+1235.77+12978.73</f>
        <v>23864.37</v>
      </c>
      <c r="J222" s="18">
        <f>995+38710.4+2872.51+3266.81+2148</f>
        <v>47992.72</v>
      </c>
      <c r="K222" s="18">
        <f>31192.38</f>
        <v>31192.38</v>
      </c>
      <c r="L222" s="13">
        <f t="shared" si="2"/>
        <v>484453.77999999991</v>
      </c>
      <c r="M222" s="8"/>
      <c r="N222" s="164"/>
    </row>
    <row r="223" spans="1:14" s="3" customFormat="1" ht="12.2" customHeight="1" x14ac:dyDescent="0.15">
      <c r="A223" s="1" t="s">
        <v>444</v>
      </c>
      <c r="B223" s="2" t="s">
        <v>346</v>
      </c>
      <c r="C223" s="2" t="s">
        <v>296</v>
      </c>
      <c r="D223" s="2" t="s">
        <v>431</v>
      </c>
      <c r="E223" s="6">
        <v>2300</v>
      </c>
      <c r="F223" s="18">
        <f>1066.67+148152.25</f>
        <v>149218.92000000001</v>
      </c>
      <c r="G223" s="18">
        <f>56.1+75601.88</f>
        <v>75657.98000000001</v>
      </c>
      <c r="H223" s="18">
        <f>17763.84+12684.31</f>
        <v>30448.15</v>
      </c>
      <c r="I223" s="18">
        <f>1295.16</f>
        <v>1295.1600000000001</v>
      </c>
      <c r="J223" s="18">
        <f>1127.29</f>
        <v>1127.29</v>
      </c>
      <c r="K223" s="18">
        <f>2977.85+6127.2</f>
        <v>9105.0499999999993</v>
      </c>
      <c r="L223" s="13">
        <f t="shared" si="2"/>
        <v>266852.55000000005</v>
      </c>
      <c r="M223" s="8"/>
      <c r="N223" s="164"/>
    </row>
    <row r="224" spans="1:14" s="3" customFormat="1" ht="12.2" customHeight="1" x14ac:dyDescent="0.15">
      <c r="A224" s="1" t="s">
        <v>445</v>
      </c>
      <c r="B224" s="2" t="s">
        <v>346</v>
      </c>
      <c r="C224" s="2" t="s">
        <v>297</v>
      </c>
      <c r="D224" s="2" t="s">
        <v>431</v>
      </c>
      <c r="E224" s="6">
        <v>2400</v>
      </c>
      <c r="F224" s="18">
        <f>97800.04+86900.06+88942.1</f>
        <v>273642.19999999995</v>
      </c>
      <c r="G224" s="18">
        <f>39637.98+1048.34+144+883.44+21142.41+48309.04</f>
        <v>111165.20999999999</v>
      </c>
      <c r="H224" s="18">
        <f>875+15255.76+1500+2552.96</f>
        <v>20183.72</v>
      </c>
      <c r="I224" s="18">
        <f>1173.51</f>
        <v>1173.51</v>
      </c>
      <c r="J224" s="18">
        <f>10072.41</f>
        <v>10072.41</v>
      </c>
      <c r="K224" s="18">
        <f>1629+4574.51</f>
        <v>6203.51</v>
      </c>
      <c r="L224" s="13">
        <f t="shared" si="2"/>
        <v>422440.55999999988</v>
      </c>
      <c r="M224" s="8"/>
      <c r="N224" s="164"/>
    </row>
    <row r="225" spans="1:14" s="3" customFormat="1" ht="12.2" customHeight="1" x14ac:dyDescent="0.15">
      <c r="A225" s="1" t="s">
        <v>446</v>
      </c>
      <c r="B225" s="2" t="s">
        <v>346</v>
      </c>
      <c r="C225" s="2" t="s">
        <v>298</v>
      </c>
      <c r="D225" s="2" t="s">
        <v>431</v>
      </c>
      <c r="E225" s="6">
        <v>2500</v>
      </c>
      <c r="F225" s="18">
        <f>(92699.88+51994.7)/3</f>
        <v>48231.526666666672</v>
      </c>
      <c r="G225" s="18">
        <f>(52928.8+2446.64+72+475.31+10790.72+19012.57)/3</f>
        <v>28575.346666666668</v>
      </c>
      <c r="H225" s="18">
        <f>(200+14460.9+500+300)/3</f>
        <v>5153.6333333333332</v>
      </c>
      <c r="I225" s="18">
        <f>1301.81/3</f>
        <v>433.93666666666667</v>
      </c>
      <c r="J225" s="18"/>
      <c r="K225" s="18"/>
      <c r="L225" s="13">
        <f t="shared" si="2"/>
        <v>82394.443333333329</v>
      </c>
      <c r="M225" s="8"/>
      <c r="N225" s="164"/>
    </row>
    <row r="226" spans="1:14" s="3" customFormat="1" ht="12.2" customHeight="1" x14ac:dyDescent="0.15">
      <c r="A226" s="1" t="s">
        <v>447</v>
      </c>
      <c r="B226" s="2" t="s">
        <v>346</v>
      </c>
      <c r="C226" s="2" t="s">
        <v>299</v>
      </c>
      <c r="D226" s="2" t="s">
        <v>431</v>
      </c>
      <c r="E226" s="6">
        <v>2600</v>
      </c>
      <c r="F226" s="18">
        <f>93915.81+48848.64</f>
        <v>142764.45000000001</v>
      </c>
      <c r="G226" s="18">
        <f>17892.75+801.25+94.5+326.11+7260.92+12706.58+22832.01</f>
        <v>61914.119999999995</v>
      </c>
      <c r="H226" s="18">
        <f>138420+6185+3204+33463+1080+630+7632.76+196355.88+87005.22</f>
        <v>473975.86</v>
      </c>
      <c r="I226" s="18">
        <f>48654.43+140989.41+16903.62+70023.58+360+10444.93</f>
        <v>287375.96999999997</v>
      </c>
      <c r="J226" s="18">
        <f>77431.96</f>
        <v>77431.960000000006</v>
      </c>
      <c r="K226" s="18"/>
      <c r="L226" s="13">
        <f t="shared" si="2"/>
        <v>1043462.3599999999</v>
      </c>
      <c r="M226" s="8"/>
      <c r="N226" s="164"/>
    </row>
    <row r="227" spans="1:14" s="3" customFormat="1" ht="12.2" customHeight="1" x14ac:dyDescent="0.15">
      <c r="A227" s="1" t="s">
        <v>448</v>
      </c>
      <c r="B227" s="2" t="s">
        <v>346</v>
      </c>
      <c r="C227" s="2" t="s">
        <v>300</v>
      </c>
      <c r="D227" s="2" t="s">
        <v>431</v>
      </c>
      <c r="E227" s="6">
        <v>2700</v>
      </c>
      <c r="F227" s="18"/>
      <c r="G227" s="18"/>
      <c r="H227" s="18">
        <f>272224.43+94184.45+23968.19+2719.72+2479.94</f>
        <v>395576.73</v>
      </c>
      <c r="I227" s="18"/>
      <c r="J227" s="18"/>
      <c r="K227" s="18"/>
      <c r="L227" s="13">
        <f t="shared" si="2"/>
        <v>395576.73</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4063153.7066666665</v>
      </c>
      <c r="G230" s="38">
        <f>SUM(G216:G229)</f>
        <v>2197257.9966666671</v>
      </c>
      <c r="H230" s="38">
        <f>SUM(H216:H229)</f>
        <v>1124990.1533333333</v>
      </c>
      <c r="I230" s="38">
        <f>SUM(I216:I229)</f>
        <v>387010.60666666663</v>
      </c>
      <c r="J230" s="38">
        <f>SUM(J216:J229)</f>
        <v>143852.59000000003</v>
      </c>
      <c r="K230" s="38">
        <f t="shared" si="3"/>
        <v>52624.140000000007</v>
      </c>
      <c r="L230" s="38">
        <f t="shared" si="3"/>
        <v>7968889.1933333334</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f>3008989.58+1889336.56+3384877+66568.87</f>
        <v>8349772.0100000007</v>
      </c>
      <c r="I234" s="18"/>
      <c r="J234" s="18"/>
      <c r="K234" s="18"/>
      <c r="L234" s="13">
        <f>SUM(F234:K234)</f>
        <v>8349772.0100000007</v>
      </c>
      <c r="M234" s="8"/>
      <c r="N234" s="164"/>
    </row>
    <row r="235" spans="1:14" s="3" customFormat="1" ht="12.2" customHeight="1" x14ac:dyDescent="0.15">
      <c r="A235" s="1" t="s">
        <v>439</v>
      </c>
      <c r="B235" s="2" t="s">
        <v>350</v>
      </c>
      <c r="C235" s="2" t="s">
        <v>291</v>
      </c>
      <c r="D235" s="2" t="s">
        <v>431</v>
      </c>
      <c r="E235" s="6">
        <v>1200</v>
      </c>
      <c r="F235" s="18"/>
      <c r="G235" s="18"/>
      <c r="H235" s="18">
        <f>214396.16+136003.93+198967.79+33284.44</f>
        <v>582652.32000000007</v>
      </c>
      <c r="I235" s="18"/>
      <c r="J235" s="18">
        <f>2127+29.98</f>
        <v>2156.98</v>
      </c>
      <c r="K235" s="18"/>
      <c r="L235" s="13">
        <f>SUM(F235:K235)</f>
        <v>584809.30000000005</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f>1066.67+148152.25</f>
        <v>149218.92000000001</v>
      </c>
      <c r="G241" s="18">
        <f>56.1+75601.88</f>
        <v>75657.98000000001</v>
      </c>
      <c r="H241" s="18">
        <f>17763.84+12684.31</f>
        <v>30448.15</v>
      </c>
      <c r="I241" s="18">
        <f>1295.16</f>
        <v>1295.1600000000001</v>
      </c>
      <c r="J241" s="18">
        <f>1127.29</f>
        <v>1127.29</v>
      </c>
      <c r="K241" s="18">
        <f>2977.85+6127.2</f>
        <v>9105.0499999999993</v>
      </c>
      <c r="L241" s="13">
        <f t="shared" si="4"/>
        <v>266852.55000000005</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f>(92699.88+51994.7)/3</f>
        <v>48231.526666666672</v>
      </c>
      <c r="G243" s="18">
        <f>(52928.8+2446.64+72+475.31+10790.72+19012.57)/3</f>
        <v>28575.346666666668</v>
      </c>
      <c r="H243" s="18">
        <f>(200+14460.9+500+300)/3</f>
        <v>5153.6333333333332</v>
      </c>
      <c r="I243" s="18">
        <f>1301.81/3</f>
        <v>433.93666666666667</v>
      </c>
      <c r="J243" s="18"/>
      <c r="K243" s="18"/>
      <c r="L243" s="13">
        <f t="shared" si="4"/>
        <v>82394.443333333329</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f>202099.36+116040.75</f>
        <v>318140.11</v>
      </c>
      <c r="I245" s="18"/>
      <c r="J245" s="18"/>
      <c r="K245" s="18"/>
      <c r="L245" s="13">
        <f t="shared" si="4"/>
        <v>318140.11</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197450.44666666668</v>
      </c>
      <c r="G248" s="38">
        <f t="shared" si="5"/>
        <v>104233.32666666668</v>
      </c>
      <c r="H248" s="38">
        <f t="shared" si="5"/>
        <v>9286166.2233333327</v>
      </c>
      <c r="I248" s="38">
        <f t="shared" si="5"/>
        <v>1729.0966666666668</v>
      </c>
      <c r="J248" s="38">
        <f t="shared" si="5"/>
        <v>3284.27</v>
      </c>
      <c r="K248" s="38">
        <f t="shared" si="5"/>
        <v>9105.0499999999993</v>
      </c>
      <c r="L248" s="38">
        <f t="shared" si="5"/>
        <v>9601968.413333334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f>94580+132588.96+33284.43</f>
        <v>260453.38999999998</v>
      </c>
      <c r="I256" s="18"/>
      <c r="J256" s="18"/>
      <c r="K256" s="18"/>
      <c r="L256" s="13">
        <f t="shared" si="6"/>
        <v>260453.38999999998</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260453.38999999998</v>
      </c>
      <c r="I257" s="38">
        <f t="shared" si="7"/>
        <v>0</v>
      </c>
      <c r="J257" s="38">
        <f t="shared" si="7"/>
        <v>0</v>
      </c>
      <c r="K257" s="38">
        <f t="shared" si="7"/>
        <v>0</v>
      </c>
      <c r="L257" s="38">
        <f>SUM(F257:K257)</f>
        <v>260453.38999999998</v>
      </c>
      <c r="M257" s="8"/>
      <c r="N257" s="164"/>
    </row>
    <row r="258" spans="1:14" s="3" customFormat="1" ht="12.2" customHeight="1" thickTop="1" x14ac:dyDescent="0.15">
      <c r="A258" s="35" t="s">
        <v>462</v>
      </c>
      <c r="B258" s="37">
        <v>10</v>
      </c>
      <c r="C258" s="37">
        <v>8</v>
      </c>
      <c r="D258" s="36" t="s">
        <v>431</v>
      </c>
      <c r="E258" s="37"/>
      <c r="F258" s="38">
        <f t="shared" ref="F258:L258" si="8">F212+F230+F248+F257</f>
        <v>9532487.8900000006</v>
      </c>
      <c r="G258" s="38">
        <f t="shared" si="8"/>
        <v>5162749.7400000012</v>
      </c>
      <c r="H258" s="38">
        <f t="shared" si="8"/>
        <v>11872984.960000001</v>
      </c>
      <c r="I258" s="38">
        <f t="shared" si="8"/>
        <v>696784.05999999994</v>
      </c>
      <c r="J258" s="38">
        <f t="shared" si="8"/>
        <v>299564.39000000007</v>
      </c>
      <c r="K258" s="38">
        <f t="shared" si="8"/>
        <v>107778.56000000001</v>
      </c>
      <c r="L258" s="38">
        <f t="shared" si="8"/>
        <v>27672349.600000001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225000</v>
      </c>
      <c r="L267" s="13">
        <f t="shared" si="9"/>
        <v>225000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225000</v>
      </c>
      <c r="L271" s="38">
        <f t="shared" si="9"/>
        <v>225000</v>
      </c>
      <c r="M271" s="8"/>
      <c r="N271" s="164"/>
    </row>
    <row r="272" spans="1:14" s="33" customFormat="1" ht="12.2" customHeight="1" thickTop="1" x14ac:dyDescent="0.2">
      <c r="A272" s="40" t="s">
        <v>464</v>
      </c>
      <c r="B272" s="37">
        <v>10</v>
      </c>
      <c r="C272" s="37">
        <v>18</v>
      </c>
      <c r="D272" s="36" t="s">
        <v>431</v>
      </c>
      <c r="E272" s="37"/>
      <c r="F272" s="39">
        <f t="shared" ref="F272:L272" si="11">F258+F271</f>
        <v>9532487.8900000006</v>
      </c>
      <c r="G272" s="39">
        <f t="shared" si="11"/>
        <v>5162749.7400000012</v>
      </c>
      <c r="H272" s="39">
        <f t="shared" si="11"/>
        <v>11872984.960000001</v>
      </c>
      <c r="I272" s="39">
        <f t="shared" si="11"/>
        <v>696784.05999999994</v>
      </c>
      <c r="J272" s="39">
        <f t="shared" si="11"/>
        <v>299564.39000000007</v>
      </c>
      <c r="K272" s="39">
        <f t="shared" si="11"/>
        <v>332778.56</v>
      </c>
      <c r="L272" s="39">
        <f t="shared" si="11"/>
        <v>27897349.600000001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(68703+7160+2800+3180+12255+12500+86319)/2</f>
        <v>96458.5</v>
      </c>
      <c r="G277" s="18">
        <f>(5248+10958+548+1406+214+550+243+571+917+2360+956+2363+8946+6510+8169)/2</f>
        <v>24979.5</v>
      </c>
      <c r="H277" s="18"/>
      <c r="I277" s="18">
        <f>(43472+33085+5483+4772+4269+2512+7186+4658+702+315+65+1848)/2</f>
        <v>54183.5</v>
      </c>
      <c r="J277" s="18">
        <f>813/2</f>
        <v>406.5</v>
      </c>
      <c r="K277" s="18">
        <f>768/2</f>
        <v>384</v>
      </c>
      <c r="L277" s="13">
        <f>SUM(F277:K277)</f>
        <v>176412</v>
      </c>
      <c r="M277" s="8"/>
      <c r="N277" s="164"/>
    </row>
    <row r="278" spans="1:14" s="3" customFormat="1" ht="12.2" customHeight="1" x14ac:dyDescent="0.15">
      <c r="A278" s="1" t="s">
        <v>439</v>
      </c>
      <c r="B278" s="2" t="s">
        <v>357</v>
      </c>
      <c r="C278" s="2" t="s">
        <v>291</v>
      </c>
      <c r="D278" s="2" t="s">
        <v>431</v>
      </c>
      <c r="E278" s="6">
        <v>1200</v>
      </c>
      <c r="F278" s="18">
        <f>(450+89000+47000+58575+42260)/2</f>
        <v>118642.5</v>
      </c>
      <c r="G278" s="18">
        <f>(34+88+8296+30854+10082+4433+3595+6604+3185+11504+5254+17480+4124)/2</f>
        <v>52766.5</v>
      </c>
      <c r="H278" s="18" t="s">
        <v>286</v>
      </c>
      <c r="I278" s="18"/>
      <c r="J278" s="18"/>
      <c r="K278" s="18"/>
      <c r="L278" s="13">
        <f>SUM(F278:K278)</f>
        <v>171409</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f>450/2</f>
        <v>225</v>
      </c>
      <c r="G283" s="18">
        <f>(35+88)/2</f>
        <v>61.5</v>
      </c>
      <c r="H283" s="18">
        <f>(81373+4250+5236+5638+800+2450+5610)/2</f>
        <v>52678.5</v>
      </c>
      <c r="I283" s="18">
        <f>(405+1835+1)/2</f>
        <v>1120.5</v>
      </c>
      <c r="J283" s="18"/>
      <c r="K283" s="18"/>
      <c r="L283" s="13">
        <f t="shared" si="12"/>
        <v>54085.5</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f>8550/2</f>
        <v>4275</v>
      </c>
      <c r="G287" s="18"/>
      <c r="H287" s="18">
        <f>92727/2</f>
        <v>46363.5</v>
      </c>
      <c r="I287" s="18"/>
      <c r="J287" s="18"/>
      <c r="K287" s="18"/>
      <c r="L287" s="13">
        <f t="shared" si="12"/>
        <v>50638.5</v>
      </c>
      <c r="M287" s="8"/>
      <c r="N287" s="164"/>
    </row>
    <row r="288" spans="1:14" s="3" customFormat="1" ht="12.2" customHeight="1" x14ac:dyDescent="0.15">
      <c r="A288" s="1" t="s">
        <v>448</v>
      </c>
      <c r="B288" s="2" t="s">
        <v>357</v>
      </c>
      <c r="C288" s="2" t="s">
        <v>300</v>
      </c>
      <c r="D288" s="2" t="s">
        <v>431</v>
      </c>
      <c r="E288" s="6">
        <v>2700</v>
      </c>
      <c r="F288" s="18"/>
      <c r="G288" s="18"/>
      <c r="H288" s="18">
        <f>(6667+584)/2</f>
        <v>3625.5</v>
      </c>
      <c r="I288" s="18"/>
      <c r="J288" s="18"/>
      <c r="K288" s="18"/>
      <c r="L288" s="13">
        <f t="shared" si="12"/>
        <v>3625.5</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219601</v>
      </c>
      <c r="G291" s="39">
        <f t="shared" si="13"/>
        <v>77807.5</v>
      </c>
      <c r="H291" s="39">
        <f t="shared" si="13"/>
        <v>102667.5</v>
      </c>
      <c r="I291" s="39">
        <f t="shared" si="13"/>
        <v>55304</v>
      </c>
      <c r="J291" s="39">
        <f t="shared" si="13"/>
        <v>406.5</v>
      </c>
      <c r="K291" s="39">
        <f t="shared" si="13"/>
        <v>384</v>
      </c>
      <c r="L291" s="38">
        <f t="shared" si="13"/>
        <v>456170.5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f>(68703+7160+2800+3180+12255+12500+86319)/2</f>
        <v>96458.5</v>
      </c>
      <c r="G296" s="18">
        <f>(5248+10958+548+1406+214+550+243+571+917+2360+956+2363+8946+6510+8169)/2</f>
        <v>24979.5</v>
      </c>
      <c r="H296" s="18"/>
      <c r="I296" s="18">
        <f>(43472+33085+5483+4772+4269+2512+7186+4658+702+315+65+1848)/2</f>
        <v>54183.5</v>
      </c>
      <c r="J296" s="18">
        <f>813/2</f>
        <v>406.5</v>
      </c>
      <c r="K296" s="18">
        <f>768/2</f>
        <v>384</v>
      </c>
      <c r="L296" s="13">
        <f>SUM(F296:K296)</f>
        <v>176412</v>
      </c>
      <c r="M296" s="8"/>
      <c r="N296" s="164"/>
    </row>
    <row r="297" spans="1:14" s="3" customFormat="1" ht="12.2" customHeight="1" x14ac:dyDescent="0.15">
      <c r="A297" s="1" t="s">
        <v>439</v>
      </c>
      <c r="B297" s="2" t="s">
        <v>358</v>
      </c>
      <c r="C297" s="2" t="s">
        <v>291</v>
      </c>
      <c r="D297" s="2" t="s">
        <v>431</v>
      </c>
      <c r="E297" s="6">
        <v>1200</v>
      </c>
      <c r="F297" s="18">
        <f>(450+89000+47000+58575+42260)/2</f>
        <v>118642.5</v>
      </c>
      <c r="G297" s="18">
        <f>(34+88+8296+30854+10082+4433+3595+6604+3185+11504+5254+17480+4124)/2</f>
        <v>52766.5</v>
      </c>
      <c r="H297" s="18" t="s">
        <v>286</v>
      </c>
      <c r="I297" s="18"/>
      <c r="J297" s="18"/>
      <c r="K297" s="18"/>
      <c r="L297" s="13">
        <f>SUM(F297:K297)</f>
        <v>171409</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f>450/2</f>
        <v>225</v>
      </c>
      <c r="G302" s="18">
        <f>(35+88)/2</f>
        <v>61.5</v>
      </c>
      <c r="H302" s="18">
        <f>(81373+4250+5236+5638+800+2450+5610)/2</f>
        <v>52678.5</v>
      </c>
      <c r="I302" s="18">
        <f>(405+1835+1)/2</f>
        <v>1120.5</v>
      </c>
      <c r="J302" s="18"/>
      <c r="K302" s="18"/>
      <c r="L302" s="13">
        <f t="shared" si="14"/>
        <v>54085.5</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f>8550/2</f>
        <v>4275</v>
      </c>
      <c r="G306" s="18"/>
      <c r="H306" s="18">
        <f>92727/2</f>
        <v>46363.5</v>
      </c>
      <c r="I306" s="18"/>
      <c r="J306" s="18"/>
      <c r="K306" s="18"/>
      <c r="L306" s="13">
        <f t="shared" si="14"/>
        <v>50638.5</v>
      </c>
      <c r="M306" s="8"/>
      <c r="N306" s="164"/>
    </row>
    <row r="307" spans="1:14" s="3" customFormat="1" ht="12.2" customHeight="1" x14ac:dyDescent="0.15">
      <c r="A307" s="1" t="s">
        <v>448</v>
      </c>
      <c r="B307" s="2" t="s">
        <v>358</v>
      </c>
      <c r="C307" s="2" t="s">
        <v>300</v>
      </c>
      <c r="D307" s="2" t="s">
        <v>431</v>
      </c>
      <c r="E307" s="6">
        <v>2700</v>
      </c>
      <c r="F307" s="18"/>
      <c r="G307" s="18"/>
      <c r="H307" s="18">
        <f>(6667+584)/2</f>
        <v>3625.5</v>
      </c>
      <c r="I307" s="18"/>
      <c r="J307" s="18"/>
      <c r="K307" s="18"/>
      <c r="L307" s="13">
        <f t="shared" si="14"/>
        <v>3625.5</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219601</v>
      </c>
      <c r="G310" s="39">
        <f t="shared" si="15"/>
        <v>77807.5</v>
      </c>
      <c r="H310" s="39">
        <f t="shared" si="15"/>
        <v>102667.5</v>
      </c>
      <c r="I310" s="39">
        <f t="shared" si="15"/>
        <v>55304</v>
      </c>
      <c r="J310" s="39">
        <f t="shared" si="15"/>
        <v>406.5</v>
      </c>
      <c r="K310" s="39">
        <f t="shared" si="15"/>
        <v>384</v>
      </c>
      <c r="L310" s="38">
        <f t="shared" si="15"/>
        <v>456170.5</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439202</v>
      </c>
      <c r="G339" s="38">
        <f t="shared" si="20"/>
        <v>155615</v>
      </c>
      <c r="H339" s="38">
        <f t="shared" si="20"/>
        <v>205335</v>
      </c>
      <c r="I339" s="38">
        <f t="shared" si="20"/>
        <v>110608</v>
      </c>
      <c r="J339" s="38">
        <f t="shared" si="20"/>
        <v>813</v>
      </c>
      <c r="K339" s="38">
        <f t="shared" si="20"/>
        <v>768</v>
      </c>
      <c r="L339" s="38">
        <f t="shared" si="20"/>
        <v>912341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439202</v>
      </c>
      <c r="G353" s="38">
        <f>G339</f>
        <v>155615</v>
      </c>
      <c r="H353" s="38">
        <f>H339</f>
        <v>205335</v>
      </c>
      <c r="I353" s="38">
        <f>I339</f>
        <v>110608</v>
      </c>
      <c r="J353" s="38">
        <f>J339</f>
        <v>813</v>
      </c>
      <c r="K353" s="38">
        <f>K339+K352</f>
        <v>768</v>
      </c>
      <c r="L353" s="38">
        <f>L339+L352</f>
        <v>912341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211402.14</v>
      </c>
      <c r="I359" s="18"/>
      <c r="J359" s="18">
        <v>36969.11</v>
      </c>
      <c r="K359" s="18">
        <v>355.88</v>
      </c>
      <c r="L359" s="13">
        <f>SUM(F359:K359)</f>
        <v>248727.13</v>
      </c>
      <c r="M359" s="8"/>
      <c r="N359" s="164"/>
    </row>
    <row r="360" spans="1:22" s="3" customFormat="1" ht="12.2" customHeight="1" x14ac:dyDescent="0.15">
      <c r="A360" s="1" t="s">
        <v>542</v>
      </c>
      <c r="B360" s="2" t="s">
        <v>366</v>
      </c>
      <c r="C360" s="6">
        <v>2</v>
      </c>
      <c r="D360" s="2" t="s">
        <v>431</v>
      </c>
      <c r="E360" s="6"/>
      <c r="F360" s="18"/>
      <c r="G360" s="18"/>
      <c r="H360" s="18">
        <v>211402.13</v>
      </c>
      <c r="I360" s="18"/>
      <c r="J360" s="18">
        <v>36969.11</v>
      </c>
      <c r="K360" s="18">
        <v>355.88</v>
      </c>
      <c r="L360" s="13">
        <f>SUM(F360:K360)</f>
        <v>248727.12</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422804.27</v>
      </c>
      <c r="I363" s="38">
        <f t="shared" si="22"/>
        <v>0</v>
      </c>
      <c r="J363" s="38">
        <f t="shared" si="22"/>
        <v>73938.22</v>
      </c>
      <c r="K363" s="38">
        <f t="shared" si="22"/>
        <v>711.76</v>
      </c>
      <c r="L363" s="38">
        <f t="shared" si="22"/>
        <v>497454.25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t="s">
        <v>286</v>
      </c>
      <c r="G397" s="18">
        <v>200000</v>
      </c>
      <c r="H397" s="18">
        <v>32347.61</v>
      </c>
      <c r="I397" s="18"/>
      <c r="J397" s="23" t="s">
        <v>288</v>
      </c>
      <c r="K397" s="23" t="s">
        <v>288</v>
      </c>
      <c r="L397" s="13">
        <f t="shared" si="26"/>
        <v>232347.61</v>
      </c>
      <c r="M397" s="8"/>
      <c r="N397" s="164"/>
    </row>
    <row r="398" spans="1:14" s="3" customFormat="1" ht="12.2" customHeight="1" x14ac:dyDescent="0.15">
      <c r="A398" s="62" t="s">
        <v>515</v>
      </c>
      <c r="B398" s="2" t="s">
        <v>381</v>
      </c>
      <c r="C398" s="6">
        <v>10</v>
      </c>
      <c r="D398" s="2" t="s">
        <v>432</v>
      </c>
      <c r="E398" s="6"/>
      <c r="F398" s="18"/>
      <c r="G398" s="18" t="s">
        <v>286</v>
      </c>
      <c r="H398" s="18">
        <v>12698.94</v>
      </c>
      <c r="I398" s="18"/>
      <c r="J398" s="23" t="s">
        <v>288</v>
      </c>
      <c r="K398" s="23" t="s">
        <v>288</v>
      </c>
      <c r="L398" s="13">
        <f t="shared" si="26"/>
        <v>12698.94</v>
      </c>
      <c r="M398" s="8"/>
      <c r="N398" s="164"/>
    </row>
    <row r="399" spans="1:14" s="3" customFormat="1" ht="12.2" customHeight="1" x14ac:dyDescent="0.15">
      <c r="A399" s="62" t="s">
        <v>558</v>
      </c>
      <c r="B399" s="2" t="s">
        <v>381</v>
      </c>
      <c r="C399" s="6">
        <v>11</v>
      </c>
      <c r="D399" s="2" t="s">
        <v>432</v>
      </c>
      <c r="E399" s="6"/>
      <c r="F399" s="18"/>
      <c r="G399" s="18" t="s">
        <v>286</v>
      </c>
      <c r="H399" s="18">
        <v>15295.31</v>
      </c>
      <c r="I399" s="18"/>
      <c r="J399" s="23" t="s">
        <v>288</v>
      </c>
      <c r="K399" s="23" t="s">
        <v>288</v>
      </c>
      <c r="L399" s="13">
        <f t="shared" si="26"/>
        <v>15295.31</v>
      </c>
      <c r="M399" s="8"/>
      <c r="N399" s="164"/>
    </row>
    <row r="400" spans="1:14" s="3" customFormat="1" ht="12.2" customHeight="1" x14ac:dyDescent="0.15">
      <c r="A400" s="62" t="s">
        <v>559</v>
      </c>
      <c r="B400" s="2" t="s">
        <v>381</v>
      </c>
      <c r="C400" s="6">
        <v>12</v>
      </c>
      <c r="D400" s="2" t="s">
        <v>432</v>
      </c>
      <c r="E400" s="6"/>
      <c r="F400" s="18"/>
      <c r="G400" s="18" t="s">
        <v>286</v>
      </c>
      <c r="H400" s="18">
        <v>2577.66</v>
      </c>
      <c r="I400" s="18"/>
      <c r="J400" s="23" t="s">
        <v>288</v>
      </c>
      <c r="K400" s="23" t="s">
        <v>288</v>
      </c>
      <c r="L400" s="13">
        <f t="shared" si="26"/>
        <v>2577.66</v>
      </c>
      <c r="M400" s="8"/>
      <c r="N400" s="164"/>
    </row>
    <row r="401" spans="1:21" s="3" customFormat="1" ht="12.2" customHeight="1" thickBot="1" x14ac:dyDescent="0.2">
      <c r="A401" s="62" t="s">
        <v>510</v>
      </c>
      <c r="B401" s="2" t="s">
        <v>381</v>
      </c>
      <c r="C401" s="6">
        <v>13</v>
      </c>
      <c r="D401" s="2" t="s">
        <v>432</v>
      </c>
      <c r="E401" s="6"/>
      <c r="F401" s="18" t="s">
        <v>286</v>
      </c>
      <c r="G401" s="18">
        <v>25000</v>
      </c>
      <c r="H401" s="18">
        <v>115.93</v>
      </c>
      <c r="I401" s="18"/>
      <c r="J401" s="23" t="s">
        <v>288</v>
      </c>
      <c r="K401" s="23" t="s">
        <v>288</v>
      </c>
      <c r="L401" s="13">
        <f t="shared" si="26"/>
        <v>25115.93</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225000</v>
      </c>
      <c r="H402" s="38">
        <f>SUM(H396:H401)</f>
        <v>63035.450000000004</v>
      </c>
      <c r="I402" s="38">
        <f>SUM(I396:I401)</f>
        <v>0</v>
      </c>
      <c r="J402" s="42" t="s">
        <v>288</v>
      </c>
      <c r="K402" s="42" t="s">
        <v>288</v>
      </c>
      <c r="L402" s="38">
        <f>SUM(L396:L401)</f>
        <v>288035.44999999995</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225000</v>
      </c>
      <c r="H409" s="38">
        <f>H394+H402+H408</f>
        <v>63035.450000000004</v>
      </c>
      <c r="I409" s="38">
        <f>I394+I402+I408</f>
        <v>0</v>
      </c>
      <c r="J409" s="23" t="s">
        <v>288</v>
      </c>
      <c r="K409" s="23" t="s">
        <v>288</v>
      </c>
      <c r="L409" s="38">
        <f>L394+L402+L408</f>
        <v>288035.44999999995</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15976</v>
      </c>
      <c r="I427" s="18"/>
      <c r="J427" s="18"/>
      <c r="K427" s="18"/>
      <c r="L427" s="13">
        <f t="shared" si="29"/>
        <v>15976</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15976</v>
      </c>
      <c r="I428" s="38">
        <f t="shared" si="30"/>
        <v>0</v>
      </c>
      <c r="J428" s="38">
        <f t="shared" si="30"/>
        <v>0</v>
      </c>
      <c r="K428" s="38">
        <f t="shared" si="30"/>
        <v>0</v>
      </c>
      <c r="L428" s="38">
        <f t="shared" si="30"/>
        <v>15976</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15976</v>
      </c>
      <c r="I435" s="38">
        <f t="shared" si="32"/>
        <v>0</v>
      </c>
      <c r="J435" s="38">
        <f t="shared" si="32"/>
        <v>0</v>
      </c>
      <c r="K435" s="38">
        <f t="shared" si="32"/>
        <v>0</v>
      </c>
      <c r="L435" s="38">
        <f t="shared" si="32"/>
        <v>15976</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2104246.7999999998</v>
      </c>
      <c r="G440" s="18"/>
      <c r="H440" s="18"/>
      <c r="I440" s="13">
        <f t="shared" ref="I440:I446" si="33">SUM(F440:H440)</f>
        <v>2104246.7999999998</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2104246.7999999998</v>
      </c>
      <c r="G447" s="13">
        <f>SUM(G440:G446)</f>
        <v>0</v>
      </c>
      <c r="H447" s="13">
        <f>SUM(H440:H446)</f>
        <v>0</v>
      </c>
      <c r="I447" s="13">
        <f>SUM(I440:I446)</f>
        <v>2104246.7999999998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v>2104246.7999999998</v>
      </c>
      <c r="G455" s="18"/>
      <c r="H455" s="18"/>
      <c r="I455" s="13">
        <f t="shared" ref="I455:I460" si="34">SUM(F455:H455)</f>
        <v>2104246.7999999998</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2104246.7999999998</v>
      </c>
      <c r="G461" s="65">
        <f>SUM(G455:G460)</f>
        <v>0</v>
      </c>
      <c r="H461" s="65">
        <f>SUM(H455:H460)</f>
        <v>0</v>
      </c>
      <c r="I461" s="65">
        <f>SUM(I455:I460)</f>
        <v>2104246.7999999998</v>
      </c>
      <c r="J461" s="23" t="s">
        <v>288</v>
      </c>
      <c r="K461" s="23" t="s">
        <v>288</v>
      </c>
      <c r="L461" s="23" t="s">
        <v>288</v>
      </c>
      <c r="N461" s="130"/>
    </row>
    <row r="462" spans="1:86" ht="12.2" customHeight="1" thickTop="1" x14ac:dyDescent="0.2">
      <c r="A462" s="40" t="s">
        <v>424</v>
      </c>
      <c r="B462" s="41">
        <v>18</v>
      </c>
      <c r="C462" s="64">
        <v>21</v>
      </c>
      <c r="D462" s="114" t="s">
        <v>432</v>
      </c>
      <c r="E462" s="64"/>
      <c r="F462" s="39">
        <f>F453+F461</f>
        <v>2104246.7999999998</v>
      </c>
      <c r="G462" s="39">
        <f>G453+G461</f>
        <v>0</v>
      </c>
      <c r="H462" s="39">
        <f>H453+H461</f>
        <v>0</v>
      </c>
      <c r="I462" s="39">
        <f>I453+I461</f>
        <v>2104246.7999999998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1096010.75</v>
      </c>
      <c r="G466" s="18">
        <v>197773.28</v>
      </c>
      <c r="H466" s="18">
        <v>0</v>
      </c>
      <c r="I466" s="18">
        <v>0</v>
      </c>
      <c r="J466" s="18">
        <v>1832187.35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27989149.850000001</v>
      </c>
      <c r="G469" s="18">
        <v>416646.96</v>
      </c>
      <c r="H469" s="18">
        <v>912341</v>
      </c>
      <c r="I469" s="18"/>
      <c r="J469" s="18">
        <f>12698.94+200000+32347.61+15295.31+2577.66+25000+115.93</f>
        <v>288035.44999999995</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27989149.850000001</v>
      </c>
      <c r="G471" s="19">
        <f>SUM(G469:G470)</f>
        <v>416646.96</v>
      </c>
      <c r="H471" s="19">
        <f>SUM(H469:H470)</f>
        <v>912341</v>
      </c>
      <c r="I471" s="19">
        <f>SUM(I469:I470)</f>
        <v>0</v>
      </c>
      <c r="J471" s="19">
        <f>SUM(J469:J470)</f>
        <v>288035.44999999995</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27624291+273058.6</f>
        <v>27897349.600000001</v>
      </c>
      <c r="G473" s="18">
        <v>497454.25</v>
      </c>
      <c r="H473" s="18">
        <v>912341</v>
      </c>
      <c r="I473" s="18"/>
      <c r="J473" s="18">
        <v>15976</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27897349.600000001</v>
      </c>
      <c r="G475" s="19">
        <f>SUM(G473:G474)</f>
        <v>497454.25</v>
      </c>
      <c r="H475" s="19">
        <f>SUM(H473:H474)</f>
        <v>912341</v>
      </c>
      <c r="I475" s="19">
        <f>SUM(I473:I474)</f>
        <v>0</v>
      </c>
      <c r="J475" s="19">
        <f>SUM(J473:J474)</f>
        <v>15976</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1187811</v>
      </c>
      <c r="G477" s="19">
        <f>(G466+G471)- G475</f>
        <v>116965.98999999999</v>
      </c>
      <c r="H477" s="19">
        <f>(H466+H471)- H475</f>
        <v>0</v>
      </c>
      <c r="I477" s="19">
        <f>(I466+I471)- I475</f>
        <v>0</v>
      </c>
      <c r="J477" s="19">
        <f>(J466+J471)- J475</f>
        <v>2104246.7999999998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1219630.01+118642.5</f>
        <v>1338272.51</v>
      </c>
      <c r="G522" s="18">
        <f>647061.88+52766.5</f>
        <v>699828.38</v>
      </c>
      <c r="H522" s="18">
        <f>94835.07</f>
        <v>94835.07</v>
      </c>
      <c r="I522" s="18">
        <f>16942.51</f>
        <v>16942.509999999998</v>
      </c>
      <c r="J522" s="18">
        <f>1528.82</f>
        <v>1528.82</v>
      </c>
      <c r="K522" s="18"/>
      <c r="L522" s="69">
        <f>SUM(F522:K522)</f>
        <v>2151407.2899999996</v>
      </c>
      <c r="N522" s="130"/>
    </row>
    <row r="523" spans="1:14" ht="12.2" customHeight="1" x14ac:dyDescent="0.2">
      <c r="A523" s="21" t="s">
        <v>634</v>
      </c>
      <c r="B523" s="22">
        <v>21</v>
      </c>
      <c r="C523" s="22">
        <v>2</v>
      </c>
      <c r="D523" s="2" t="s">
        <v>432</v>
      </c>
      <c r="E523" s="22"/>
      <c r="F523" s="18">
        <f>787066.19+118642.5</f>
        <v>905708.69</v>
      </c>
      <c r="G523" s="18">
        <f>441295.65+52766.5</f>
        <v>494062.15</v>
      </c>
      <c r="H523" s="18">
        <v>90900.25</v>
      </c>
      <c r="I523" s="18">
        <v>2158.4899999999998</v>
      </c>
      <c r="J523" s="18">
        <v>7228.21</v>
      </c>
      <c r="K523" s="18"/>
      <c r="L523" s="69">
        <f>SUM(F523:K523)</f>
        <v>1500057.7899999998</v>
      </c>
      <c r="N523" s="130"/>
    </row>
    <row r="524" spans="1:14" ht="12.2" customHeight="1" thickBot="1" x14ac:dyDescent="0.25">
      <c r="A524" s="21" t="s">
        <v>635</v>
      </c>
      <c r="B524" s="22">
        <v>21</v>
      </c>
      <c r="C524" s="22">
        <v>3</v>
      </c>
      <c r="D524" s="2" t="s">
        <v>432</v>
      </c>
      <c r="E524" s="22"/>
      <c r="F524" s="18"/>
      <c r="G524" s="18"/>
      <c r="H524" s="18">
        <v>582652.31999999995</v>
      </c>
      <c r="I524" s="18"/>
      <c r="J524" s="18">
        <v>2156.98</v>
      </c>
      <c r="K524" s="18"/>
      <c r="L524" s="69">
        <f>SUM(F524:K524)</f>
        <v>584809.29999999993</v>
      </c>
      <c r="N524" s="130"/>
    </row>
    <row r="525" spans="1:14" ht="12.2" customHeight="1" thickTop="1" x14ac:dyDescent="0.2">
      <c r="A525" s="97" t="s">
        <v>63</v>
      </c>
      <c r="B525" s="41">
        <v>21</v>
      </c>
      <c r="C525" s="41">
        <v>4</v>
      </c>
      <c r="D525" s="115" t="s">
        <v>432</v>
      </c>
      <c r="E525" s="41"/>
      <c r="F525" s="81">
        <f>SUM(F522:F524)</f>
        <v>2243981.2000000002</v>
      </c>
      <c r="G525" s="81">
        <f t="shared" ref="G525:L525" si="36">SUM(G522:G524)</f>
        <v>1193890.53</v>
      </c>
      <c r="H525" s="81">
        <f t="shared" si="36"/>
        <v>768387.6399999999</v>
      </c>
      <c r="I525" s="81">
        <f t="shared" si="36"/>
        <v>19101</v>
      </c>
      <c r="J525" s="81">
        <f t="shared" si="36"/>
        <v>10914.01</v>
      </c>
      <c r="K525" s="81">
        <f t="shared" si="36"/>
        <v>0</v>
      </c>
      <c r="L525" s="70">
        <f t="shared" si="36"/>
        <v>4236274.379999999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722574.36</f>
        <v>722574.36</v>
      </c>
      <c r="G527" s="18">
        <f>368787.52</f>
        <v>368787.52</v>
      </c>
      <c r="H527" s="18">
        <f>21736.15</f>
        <v>21736.15</v>
      </c>
      <c r="I527" s="18">
        <f>8221.78</f>
        <v>8221.7800000000007</v>
      </c>
      <c r="J527" s="18"/>
      <c r="K527" s="18">
        <f>2979.2</f>
        <v>2979.2</v>
      </c>
      <c r="L527" s="69">
        <f>SUM(F527:K527)</f>
        <v>1124299.0099999998</v>
      </c>
      <c r="M527" s="8"/>
      <c r="N527" s="164"/>
    </row>
    <row r="528" spans="1:14" s="3" customFormat="1" ht="12.2" customHeight="1" x14ac:dyDescent="0.15">
      <c r="A528" s="21" t="s">
        <v>634</v>
      </c>
      <c r="B528" s="22">
        <v>21</v>
      </c>
      <c r="C528" s="22">
        <v>6</v>
      </c>
      <c r="D528" s="2" t="s">
        <v>432</v>
      </c>
      <c r="E528" s="22"/>
      <c r="F528" s="18">
        <v>572566.48</v>
      </c>
      <c r="G528" s="18">
        <v>354857.03</v>
      </c>
      <c r="H528" s="18">
        <v>21287.65</v>
      </c>
      <c r="I528" s="18">
        <v>6082.57</v>
      </c>
      <c r="J528" s="18"/>
      <c r="K528" s="18">
        <v>2979.2</v>
      </c>
      <c r="L528" s="69">
        <f>SUM(F528:K528)</f>
        <v>957772.92999999993</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1295140.8399999999</v>
      </c>
      <c r="G530" s="70">
        <f t="shared" ref="G530:L530" si="37">SUM(G527:G529)</f>
        <v>723644.55</v>
      </c>
      <c r="H530" s="70">
        <f t="shared" si="37"/>
        <v>43023.8</v>
      </c>
      <c r="I530" s="70">
        <f t="shared" si="37"/>
        <v>14304.35</v>
      </c>
      <c r="J530" s="70">
        <f t="shared" si="37"/>
        <v>0</v>
      </c>
      <c r="K530" s="70">
        <f t="shared" si="37"/>
        <v>5958.4</v>
      </c>
      <c r="L530" s="70">
        <f t="shared" si="37"/>
        <v>2082071.9399999997</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157800/3</f>
        <v>52600</v>
      </c>
      <c r="G532" s="18">
        <f>(12071+30913+30000)/3</f>
        <v>24328</v>
      </c>
      <c r="H532" s="18"/>
      <c r="I532" s="18"/>
      <c r="J532" s="18"/>
      <c r="K532" s="18"/>
      <c r="L532" s="69">
        <f>SUM(F532:K532)</f>
        <v>76928</v>
      </c>
      <c r="M532" s="8"/>
      <c r="N532" s="164"/>
    </row>
    <row r="533" spans="1:14" s="3" customFormat="1" ht="12.2" customHeight="1" x14ac:dyDescent="0.15">
      <c r="A533" s="21" t="s">
        <v>634</v>
      </c>
      <c r="B533" s="22">
        <v>21</v>
      </c>
      <c r="C533" s="22">
        <v>10</v>
      </c>
      <c r="D533" s="2" t="s">
        <v>432</v>
      </c>
      <c r="E533" s="22"/>
      <c r="F533" s="18">
        <f>157800/3</f>
        <v>52600</v>
      </c>
      <c r="G533" s="18">
        <f>(12071+30913+30000)/3</f>
        <v>24328</v>
      </c>
      <c r="H533" s="18"/>
      <c r="I533" s="18"/>
      <c r="J533" s="18"/>
      <c r="K533" s="18"/>
      <c r="L533" s="69">
        <f>SUM(F533:K533)</f>
        <v>76928</v>
      </c>
      <c r="M533" s="8"/>
      <c r="N533" s="164"/>
    </row>
    <row r="534" spans="1:14" s="3" customFormat="1" ht="12.2" customHeight="1" thickBot="1" x14ac:dyDescent="0.2">
      <c r="A534" s="21" t="s">
        <v>635</v>
      </c>
      <c r="B534" s="22">
        <v>21</v>
      </c>
      <c r="C534" s="22">
        <v>11</v>
      </c>
      <c r="D534" s="2" t="s">
        <v>432</v>
      </c>
      <c r="E534" s="22"/>
      <c r="F534" s="18">
        <f>157800/3</f>
        <v>52600</v>
      </c>
      <c r="G534" s="18">
        <f>(12071+30913+30000)/3</f>
        <v>24328</v>
      </c>
      <c r="H534" s="18"/>
      <c r="I534" s="18"/>
      <c r="J534" s="18"/>
      <c r="K534" s="18"/>
      <c r="L534" s="69">
        <f>SUM(F534:K534)</f>
        <v>76928</v>
      </c>
      <c r="M534" s="8"/>
      <c r="N534" s="164"/>
    </row>
    <row r="535" spans="1:14" s="3" customFormat="1" ht="12.2" customHeight="1" thickTop="1" x14ac:dyDescent="0.15">
      <c r="A535" s="97" t="s">
        <v>67</v>
      </c>
      <c r="B535" s="41">
        <v>21</v>
      </c>
      <c r="C535" s="41">
        <v>12</v>
      </c>
      <c r="D535" s="115" t="s">
        <v>432</v>
      </c>
      <c r="E535" s="41"/>
      <c r="F535" s="70">
        <f>SUM(F532:F534)</f>
        <v>157800</v>
      </c>
      <c r="G535" s="70">
        <f t="shared" ref="G535:L535" si="38">SUM(G532:G534)</f>
        <v>72984</v>
      </c>
      <c r="H535" s="70">
        <f t="shared" si="38"/>
        <v>0</v>
      </c>
      <c r="I535" s="70">
        <f t="shared" si="38"/>
        <v>0</v>
      </c>
      <c r="J535" s="70">
        <f t="shared" si="38"/>
        <v>0</v>
      </c>
      <c r="K535" s="70">
        <f t="shared" si="38"/>
        <v>0</v>
      </c>
      <c r="L535" s="70">
        <f t="shared" si="38"/>
        <v>230784</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175762.49+94184.45</f>
        <v>269946.94</v>
      </c>
      <c r="I542" s="18"/>
      <c r="J542" s="18"/>
      <c r="K542" s="18"/>
      <c r="L542" s="69">
        <f>SUM(F542:K542)</f>
        <v>269946.94</v>
      </c>
      <c r="M542" s="8"/>
      <c r="N542" s="164"/>
    </row>
    <row r="543" spans="1:14" s="3" customFormat="1" ht="12.2" customHeight="1" x14ac:dyDescent="0.15">
      <c r="A543" s="21" t="s">
        <v>634</v>
      </c>
      <c r="B543" s="22">
        <v>21</v>
      </c>
      <c r="C543" s="22">
        <v>18</v>
      </c>
      <c r="D543" s="2" t="s">
        <v>432</v>
      </c>
      <c r="E543" s="22"/>
      <c r="F543" s="18"/>
      <c r="G543" s="18"/>
      <c r="H543" s="18">
        <f>94184.45</f>
        <v>94184.45</v>
      </c>
      <c r="I543" s="18"/>
      <c r="J543" s="18"/>
      <c r="K543" s="18"/>
      <c r="L543" s="69">
        <f>SUM(F543:K543)</f>
        <v>94184.45</v>
      </c>
      <c r="M543" s="8"/>
      <c r="N543" s="164"/>
    </row>
    <row r="544" spans="1:14" s="3" customFormat="1" ht="12.2" customHeight="1" thickBot="1" x14ac:dyDescent="0.2">
      <c r="A544" s="21" t="s">
        <v>635</v>
      </c>
      <c r="B544" s="22">
        <v>21</v>
      </c>
      <c r="C544" s="22">
        <v>19</v>
      </c>
      <c r="D544" s="2" t="s">
        <v>432</v>
      </c>
      <c r="E544" s="22"/>
      <c r="F544" s="18"/>
      <c r="G544" s="18"/>
      <c r="H544" s="18">
        <f>116040.75</f>
        <v>116040.75</v>
      </c>
      <c r="I544" s="18"/>
      <c r="J544" s="18"/>
      <c r="K544" s="18"/>
      <c r="L544" s="69">
        <f>SUM(F544:K544)</f>
        <v>116040.75</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480172.14</v>
      </c>
      <c r="I545" s="140">
        <f t="shared" si="40"/>
        <v>0</v>
      </c>
      <c r="J545" s="140">
        <f t="shared" si="40"/>
        <v>0</v>
      </c>
      <c r="K545" s="140">
        <f t="shared" si="40"/>
        <v>0</v>
      </c>
      <c r="L545" s="140">
        <f t="shared" si="40"/>
        <v>480172.14</v>
      </c>
      <c r="M545" s="8"/>
      <c r="N545" s="164"/>
    </row>
    <row r="546" spans="1:14" s="3" customFormat="1" ht="12.2" customHeight="1" thickTop="1" x14ac:dyDescent="0.15">
      <c r="A546" s="75" t="s">
        <v>72</v>
      </c>
      <c r="B546" s="41">
        <v>21</v>
      </c>
      <c r="C546" s="41">
        <v>21</v>
      </c>
      <c r="D546" s="115" t="s">
        <v>432</v>
      </c>
      <c r="E546" s="41"/>
      <c r="F546" s="70">
        <f>F525+F530+F535+F540+F545</f>
        <v>3696922.04</v>
      </c>
      <c r="G546" s="70">
        <f t="shared" ref="G546:L546" si="41">G525+G530+G535+G540+G545</f>
        <v>1990519.08</v>
      </c>
      <c r="H546" s="70">
        <f t="shared" si="41"/>
        <v>1291583.58</v>
      </c>
      <c r="I546" s="70">
        <f t="shared" si="41"/>
        <v>33405.35</v>
      </c>
      <c r="J546" s="70">
        <f t="shared" si="41"/>
        <v>10914.01</v>
      </c>
      <c r="K546" s="70">
        <f t="shared" si="41"/>
        <v>5958.4</v>
      </c>
      <c r="L546" s="70">
        <f t="shared" si="41"/>
        <v>7029302.4599999981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2151407.2899999996</v>
      </c>
      <c r="G550" s="69">
        <f>L527</f>
        <v>1124299.0099999998</v>
      </c>
      <c r="H550" s="69">
        <f>L532</f>
        <v>76928</v>
      </c>
      <c r="I550" s="69">
        <f>L537</f>
        <v>0</v>
      </c>
      <c r="J550" s="69">
        <f>L542</f>
        <v>269946.94</v>
      </c>
      <c r="K550" s="69">
        <f>SUM(F550:J550)</f>
        <v>3622581.2399999993</v>
      </c>
      <c r="L550" s="23" t="s">
        <v>288</v>
      </c>
      <c r="M550" s="8"/>
      <c r="N550" s="164"/>
    </row>
    <row r="551" spans="1:14" s="3" customFormat="1" ht="12.2" customHeight="1" x14ac:dyDescent="0.15">
      <c r="A551" s="21" t="s">
        <v>634</v>
      </c>
      <c r="B551" s="22">
        <v>21</v>
      </c>
      <c r="C551" s="22">
        <v>23</v>
      </c>
      <c r="D551" s="2" t="s">
        <v>432</v>
      </c>
      <c r="E551" s="22"/>
      <c r="F551" s="69">
        <f>L523</f>
        <v>1500057.7899999998</v>
      </c>
      <c r="G551" s="69">
        <f>L528</f>
        <v>957772.92999999993</v>
      </c>
      <c r="H551" s="69">
        <f>L533</f>
        <v>76928</v>
      </c>
      <c r="I551" s="69">
        <f>L538</f>
        <v>0</v>
      </c>
      <c r="J551" s="69">
        <f>L543</f>
        <v>94184.45</v>
      </c>
      <c r="K551" s="69">
        <f>SUM(F551:J551)</f>
        <v>2628943.17</v>
      </c>
      <c r="L551" s="23" t="s">
        <v>288</v>
      </c>
      <c r="M551" s="8"/>
      <c r="N551" s="164"/>
    </row>
    <row r="552" spans="1:14" s="3" customFormat="1" ht="12.2" customHeight="1" thickBot="1" x14ac:dyDescent="0.2">
      <c r="A552" s="21" t="s">
        <v>635</v>
      </c>
      <c r="B552" s="22">
        <v>21</v>
      </c>
      <c r="C552" s="22">
        <v>24</v>
      </c>
      <c r="D552" s="2" t="s">
        <v>432</v>
      </c>
      <c r="E552" s="22"/>
      <c r="F552" s="69">
        <f>L524</f>
        <v>584809.29999999993</v>
      </c>
      <c r="G552" s="69">
        <f>L529</f>
        <v>0</v>
      </c>
      <c r="H552" s="69">
        <f>L534</f>
        <v>76928</v>
      </c>
      <c r="I552" s="69">
        <f>L539</f>
        <v>0</v>
      </c>
      <c r="J552" s="69">
        <f>L544</f>
        <v>116040.75</v>
      </c>
      <c r="K552" s="69">
        <f>SUM(F552:J552)</f>
        <v>777778.04999999993</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4236274.379999999</v>
      </c>
      <c r="G553" s="70">
        <f t="shared" si="42"/>
        <v>2082071.9399999997</v>
      </c>
      <c r="H553" s="70">
        <f t="shared" si="42"/>
        <v>230784</v>
      </c>
      <c r="I553" s="70">
        <f t="shared" si="42"/>
        <v>0</v>
      </c>
      <c r="J553" s="70">
        <f t="shared" si="42"/>
        <v>480172.14</v>
      </c>
      <c r="K553" s="70">
        <f t="shared" si="42"/>
        <v>7029302.459999999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f>3008989.58+3384877</f>
        <v>6393866.5800000001</v>
      </c>
      <c r="I576" s="69">
        <f>SUM(F576:H576)</f>
        <v>6393866.5800000001</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1889336.56</v>
      </c>
      <c r="I578" s="69">
        <f t="shared" si="47"/>
        <v>1889336.56</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214396.16</v>
      </c>
      <c r="I580" s="69">
        <f t="shared" si="47"/>
        <v>214396.16</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136003.93</v>
      </c>
      <c r="I582" s="69">
        <f t="shared" si="47"/>
        <v>136003.93</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75474.740000000005</v>
      </c>
      <c r="G583" s="18">
        <v>51170.400000000001</v>
      </c>
      <c r="H583" s="18">
        <v>198967.79</v>
      </c>
      <c r="I583" s="69">
        <f t="shared" si="47"/>
        <v>325612.93000000005</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75474.740000000005</v>
      </c>
      <c r="G589" s="79">
        <f t="shared" ref="G589:I589" si="48">SUM(G576:G588)</f>
        <v>51170.400000000001</v>
      </c>
      <c r="H589" s="79">
        <f t="shared" si="48"/>
        <v>8832571.0199999996</v>
      </c>
      <c r="I589" s="79">
        <f t="shared" si="48"/>
        <v>8959216.1600000001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272224.45</f>
        <v>272224.45</v>
      </c>
      <c r="I592" s="18">
        <f>272224.43</f>
        <v>272224.43</v>
      </c>
      <c r="J592" s="18">
        <f>202099.36</f>
        <v>202099.36</v>
      </c>
      <c r="K592" s="80">
        <f t="shared" ref="K592:K598" si="49">SUM(H592:J592)</f>
        <v>746548.24</v>
      </c>
      <c r="L592" s="23" t="s">
        <v>288</v>
      </c>
      <c r="M592" s="8"/>
      <c r="N592" s="164"/>
    </row>
    <row r="593" spans="1:14" s="3" customFormat="1" ht="12.2" customHeight="1" x14ac:dyDescent="0.15">
      <c r="A593" s="3" t="s">
        <v>638</v>
      </c>
      <c r="B593" s="22">
        <v>23</v>
      </c>
      <c r="C593" s="22">
        <v>2</v>
      </c>
      <c r="D593" s="2" t="s">
        <v>432</v>
      </c>
      <c r="E593" s="22"/>
      <c r="F593" s="78">
        <v>2722</v>
      </c>
      <c r="G593" s="79" t="s">
        <v>97</v>
      </c>
      <c r="H593" s="18">
        <f>175762.49+94184.45</f>
        <v>269946.94</v>
      </c>
      <c r="I593" s="18">
        <f>94184.45</f>
        <v>94184.45</v>
      </c>
      <c r="J593" s="18">
        <v>116040.75</v>
      </c>
      <c r="K593" s="80">
        <f t="shared" si="49"/>
        <v>480172.14</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2719.72</v>
      </c>
      <c r="J595" s="18"/>
      <c r="K595" s="80">
        <f t="shared" si="49"/>
        <v>2719.72</v>
      </c>
      <c r="L595" s="23" t="s">
        <v>288</v>
      </c>
      <c r="M595" s="8"/>
      <c r="N595" s="164"/>
    </row>
    <row r="596" spans="1:14" s="3" customFormat="1" ht="12.2" customHeight="1" x14ac:dyDescent="0.15">
      <c r="A596" s="103" t="s">
        <v>652</v>
      </c>
      <c r="B596" s="22">
        <v>23</v>
      </c>
      <c r="C596" s="22">
        <v>5</v>
      </c>
      <c r="D596" s="2" t="s">
        <v>432</v>
      </c>
      <c r="E596" s="22"/>
      <c r="F596" s="78">
        <v>2725</v>
      </c>
      <c r="G596" s="79" t="s">
        <v>97</v>
      </c>
      <c r="H596" s="18">
        <f>2892.22+1884.61</f>
        <v>4776.83</v>
      </c>
      <c r="I596" s="18">
        <v>23968.19</v>
      </c>
      <c r="J596" s="18"/>
      <c r="K596" s="80">
        <f t="shared" si="49"/>
        <v>28745.019999999997</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2479.94</v>
      </c>
      <c r="I598" s="18">
        <v>2479.94</v>
      </c>
      <c r="J598" s="18"/>
      <c r="K598" s="80">
        <f t="shared" si="49"/>
        <v>4959.88</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549428.15999999992</v>
      </c>
      <c r="I599" s="81">
        <f>SUM(I592:I598)</f>
        <v>395576.73</v>
      </c>
      <c r="J599" s="81">
        <f>SUM(J592:J598)</f>
        <v>318140.11</v>
      </c>
      <c r="K599" s="81">
        <f>SUM(K592:K598)</f>
        <v>1263144.9999999998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f>94580</f>
        <v>94580</v>
      </c>
      <c r="I604" s="18"/>
      <c r="J604" s="18"/>
      <c r="K604" s="80">
        <f>SUM(H604:J604)</f>
        <v>94580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102898.7</v>
      </c>
      <c r="I605" s="18">
        <v>102898.69</v>
      </c>
      <c r="J605" s="18"/>
      <c r="K605" s="80">
        <f>SUM(H605:J605)</f>
        <v>205797.39</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197478.7</v>
      </c>
      <c r="I606" s="81">
        <f>SUM(I603:I605)</f>
        <v>102898.69</v>
      </c>
      <c r="J606" s="81">
        <f>SUM(J603:J605)</f>
        <v>0</v>
      </c>
      <c r="K606" s="81">
        <f>SUM(K603:K605)</f>
        <v>300377.39</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2273095</v>
      </c>
      <c r="H618" s="80">
        <f>SUM(F52)</f>
        <v>2273095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116965.99</v>
      </c>
      <c r="H619" s="80">
        <f>SUM(G52)</f>
        <v>116965.99</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2104246.7999999998</v>
      </c>
      <c r="H622" s="80">
        <f>SUM(J52)</f>
        <v>2104246.7999999998</v>
      </c>
      <c r="I622" s="87" t="s">
        <v>875</v>
      </c>
      <c r="J622" s="80">
        <f>G622-H622</f>
        <v>0</v>
      </c>
      <c r="K622" s="80"/>
      <c r="L622" s="80"/>
      <c r="M622" s="8"/>
    </row>
    <row r="623" spans="1:14" s="3" customFormat="1" ht="12.2" customHeight="1" x14ac:dyDescent="0.15">
      <c r="A623" s="74"/>
      <c r="B623" s="22"/>
      <c r="C623" s="22"/>
      <c r="D623" s="22"/>
      <c r="E623" s="22"/>
      <c r="F623" s="87" t="s">
        <v>861</v>
      </c>
      <c r="G623" s="80">
        <f>F51</f>
        <v>1187811</v>
      </c>
      <c r="H623" s="80">
        <f>F477</f>
        <v>1187811</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116965.99</v>
      </c>
      <c r="H624" s="80">
        <f>G477</f>
        <v>116965.98999999999</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2104246.7999999998</v>
      </c>
      <c r="H627" s="80">
        <f>J477</f>
        <v>2104246.7999999998</v>
      </c>
      <c r="I627" s="87" t="s">
        <v>105</v>
      </c>
      <c r="J627" s="80">
        <f t="shared" si="51"/>
        <v>0</v>
      </c>
      <c r="K627" s="67"/>
      <c r="L627" s="69"/>
      <c r="M627" s="8"/>
    </row>
    <row r="628" spans="1:13" s="3" customFormat="1" ht="12.2" customHeight="1" x14ac:dyDescent="0.15">
      <c r="A628" s="21"/>
      <c r="B628" s="22"/>
      <c r="C628" s="22"/>
      <c r="D628" s="22"/>
      <c r="E628" s="22"/>
      <c r="F628" s="86" t="s">
        <v>658</v>
      </c>
      <c r="G628" s="80">
        <f>F194</f>
        <v>27989149.850000001</v>
      </c>
      <c r="H628" s="80">
        <f>SUM(F469)</f>
        <v>27989149.850000001</v>
      </c>
      <c r="I628" s="87" t="s">
        <v>106</v>
      </c>
      <c r="J628" s="80">
        <f>G628-H628</f>
        <v>0</v>
      </c>
      <c r="K628" s="67"/>
      <c r="L628" s="69"/>
      <c r="M628" s="8"/>
    </row>
    <row r="629" spans="1:13" s="3" customFormat="1" ht="12.2" customHeight="1" x14ac:dyDescent="0.15">
      <c r="A629" s="21"/>
      <c r="B629" s="22"/>
      <c r="C629" s="22"/>
      <c r="D629" s="22"/>
      <c r="E629" s="22"/>
      <c r="F629" s="86" t="s">
        <v>659</v>
      </c>
      <c r="G629" s="80">
        <f>G194</f>
        <v>416646.95999999996</v>
      </c>
      <c r="H629" s="80">
        <f>SUM(G469)</f>
        <v>416646.96</v>
      </c>
      <c r="I629" s="87" t="s">
        <v>107</v>
      </c>
      <c r="J629" s="80">
        <f>G629-H629</f>
        <v>0</v>
      </c>
      <c r="K629" s="67"/>
      <c r="L629" s="69"/>
      <c r="M629" s="8"/>
    </row>
    <row r="630" spans="1:13" s="3" customFormat="1" ht="12.2" customHeight="1" x14ac:dyDescent="0.15">
      <c r="A630" s="21"/>
      <c r="B630" s="22"/>
      <c r="C630" s="22"/>
      <c r="D630" s="22"/>
      <c r="E630" s="22"/>
      <c r="F630" s="86" t="s">
        <v>660</v>
      </c>
      <c r="G630" s="80">
        <f>H194</f>
        <v>912341</v>
      </c>
      <c r="H630" s="80">
        <f>SUM(H469)</f>
        <v>912341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288035.45</v>
      </c>
      <c r="H632" s="80">
        <f>SUM(J469)</f>
        <v>288035.44999999995</v>
      </c>
      <c r="I632" s="87" t="s">
        <v>110</v>
      </c>
      <c r="J632" s="80">
        <f>G632-H632</f>
        <v>0</v>
      </c>
      <c r="K632" s="67"/>
      <c r="L632" s="69"/>
      <c r="M632" s="8"/>
    </row>
    <row r="633" spans="1:13" s="3" customFormat="1" ht="12.2" customHeight="1" x14ac:dyDescent="0.15">
      <c r="A633" s="21"/>
      <c r="B633" s="22"/>
      <c r="C633" s="22"/>
      <c r="D633" s="22"/>
      <c r="E633" s="22"/>
      <c r="F633" s="86" t="s">
        <v>394</v>
      </c>
      <c r="G633" s="80">
        <f>SUM(L272)</f>
        <v>27897349.600000001</v>
      </c>
      <c r="H633" s="80">
        <f>SUM(F473)</f>
        <v>27897349.600000001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912341</v>
      </c>
      <c r="H634" s="80">
        <f>SUM(H473)</f>
        <v>912341</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497454.25</v>
      </c>
      <c r="H636" s="80">
        <f>SUM(G473)</f>
        <v>497454.25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288035.44999999995</v>
      </c>
      <c r="H638" s="108">
        <f>SUM(J469)</f>
        <v>288035.44999999995</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15976</v>
      </c>
      <c r="H639" s="108">
        <f>SUM(J473)</f>
        <v>15976</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2104246.7999999998</v>
      </c>
      <c r="H640" s="80">
        <f>SUM(F462)</f>
        <v>2104246.7999999998</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2104246.7999999998</v>
      </c>
      <c r="H643" s="80">
        <f>SUM(I462)</f>
        <v>2104246.7999999998</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63035.45</v>
      </c>
      <c r="H645" s="80">
        <f>H409</f>
        <v>63035.450000000004</v>
      </c>
      <c r="I645" s="87" t="s">
        <v>480</v>
      </c>
      <c r="J645" s="80">
        <f t="shared" si="51"/>
        <v>0</v>
      </c>
      <c r="K645" s="67"/>
      <c r="L645" s="69"/>
      <c r="M645" s="8"/>
    </row>
    <row r="646" spans="1:13" s="3" customFormat="1" ht="12.2" customHeight="1" x14ac:dyDescent="0.15">
      <c r="A646" s="21"/>
      <c r="B646" s="22"/>
      <c r="C646" s="22"/>
      <c r="D646" s="22"/>
      <c r="E646" s="22"/>
      <c r="F646" s="86" t="s">
        <v>664</v>
      </c>
      <c r="G646" s="80">
        <f>J184</f>
        <v>225000</v>
      </c>
      <c r="H646" s="80">
        <f>G409</f>
        <v>225000</v>
      </c>
      <c r="I646" s="87" t="s">
        <v>481</v>
      </c>
      <c r="J646" s="80">
        <f t="shared" si="51"/>
        <v>0</v>
      </c>
      <c r="K646" s="67"/>
      <c r="L646" s="69"/>
      <c r="M646" s="8"/>
    </row>
    <row r="647" spans="1:13" s="3" customFormat="1" ht="12.2" customHeight="1" x14ac:dyDescent="0.15">
      <c r="A647" s="21"/>
      <c r="B647" s="22"/>
      <c r="C647" s="22"/>
      <c r="D647" s="22"/>
      <c r="E647" s="22"/>
      <c r="F647" s="86" t="s">
        <v>662</v>
      </c>
      <c r="G647" s="80">
        <f>J194</f>
        <v>288035.45</v>
      </c>
      <c r="H647" s="80">
        <f>L409</f>
        <v>288035.44999999995</v>
      </c>
      <c r="I647" s="87" t="s">
        <v>477</v>
      </c>
      <c r="J647" s="80">
        <f t="shared" si="51"/>
        <v>0</v>
      </c>
      <c r="K647" s="67"/>
      <c r="L647" s="69"/>
      <c r="M647" s="8"/>
    </row>
    <row r="648" spans="1:13" s="3" customFormat="1" ht="12.2" customHeight="1" x14ac:dyDescent="0.15">
      <c r="A648" s="21"/>
      <c r="B648" s="22"/>
      <c r="C648" s="22"/>
      <c r="D648" s="22"/>
      <c r="E648" s="22"/>
      <c r="F648" s="86" t="s">
        <v>51</v>
      </c>
      <c r="G648" s="80">
        <f>K599</f>
        <v>1263144.9999999998</v>
      </c>
      <c r="H648" s="80">
        <f>L209+L227+L245</f>
        <v>1263145</v>
      </c>
      <c r="I648" s="87" t="s">
        <v>396</v>
      </c>
      <c r="J648" s="80">
        <f t="shared" si="51"/>
        <v>0</v>
      </c>
      <c r="K648" s="67"/>
      <c r="L648" s="69"/>
      <c r="M648" s="8"/>
    </row>
    <row r="649" spans="1:13" s="3" customFormat="1" ht="12.2" customHeight="1" x14ac:dyDescent="0.15">
      <c r="A649" s="21"/>
      <c r="B649" s="22"/>
      <c r="C649" s="22"/>
      <c r="D649" s="22"/>
      <c r="E649" s="22"/>
      <c r="F649" s="86" t="s">
        <v>52</v>
      </c>
      <c r="G649" s="80">
        <f>K606</f>
        <v>300377.39</v>
      </c>
      <c r="H649" s="80">
        <f>(J258+J339)-(J256+J337)</f>
        <v>300377.39000000007</v>
      </c>
      <c r="I649" s="87" t="s">
        <v>699</v>
      </c>
      <c r="J649" s="80">
        <f t="shared" si="51"/>
        <v>0</v>
      </c>
      <c r="K649" s="67"/>
      <c r="L649" s="69"/>
      <c r="M649" s="8"/>
    </row>
    <row r="650" spans="1:13" s="3" customFormat="1" ht="12.2" customHeight="1" x14ac:dyDescent="0.15">
      <c r="A650" s="21"/>
      <c r="B650" s="22"/>
      <c r="C650" s="22"/>
      <c r="D650" s="22"/>
      <c r="E650" s="22"/>
      <c r="F650" s="86" t="s">
        <v>387</v>
      </c>
      <c r="G650" s="80">
        <f>L209</f>
        <v>549428.15999999992</v>
      </c>
      <c r="H650" s="80">
        <f>H599</f>
        <v>549428.15999999992</v>
      </c>
      <c r="I650" s="87" t="s">
        <v>388</v>
      </c>
      <c r="J650" s="80">
        <f t="shared" si="51"/>
        <v>0</v>
      </c>
      <c r="K650" s="67"/>
      <c r="L650" s="69"/>
      <c r="M650" s="8"/>
    </row>
    <row r="651" spans="1:13" s="3" customFormat="1" ht="12.2" customHeight="1" x14ac:dyDescent="0.15">
      <c r="A651" s="21"/>
      <c r="B651" s="22"/>
      <c r="C651" s="22"/>
      <c r="D651" s="22"/>
      <c r="E651" s="22"/>
      <c r="F651" s="86" t="s">
        <v>392</v>
      </c>
      <c r="G651" s="80">
        <f>L227</f>
        <v>395576.73</v>
      </c>
      <c r="H651" s="80">
        <f>I599</f>
        <v>395576.73</v>
      </c>
      <c r="I651" s="87" t="s">
        <v>389</v>
      </c>
      <c r="J651" s="80">
        <f t="shared" si="51"/>
        <v>0</v>
      </c>
      <c r="K651" s="67"/>
      <c r="L651" s="69"/>
      <c r="M651" s="8"/>
    </row>
    <row r="652" spans="1:13" s="3" customFormat="1" ht="12.2" customHeight="1" x14ac:dyDescent="0.15">
      <c r="A652" s="21"/>
      <c r="B652" s="22"/>
      <c r="C652" s="22"/>
      <c r="D652" s="22"/>
      <c r="E652" s="22"/>
      <c r="F652" s="86" t="s">
        <v>393</v>
      </c>
      <c r="G652" s="80">
        <f>L245</f>
        <v>318140.11</v>
      </c>
      <c r="H652" s="80">
        <f>J599</f>
        <v>318140.11</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225000</v>
      </c>
      <c r="H656" s="80">
        <f>K267+K348</f>
        <v>225000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10545936.233333334</v>
      </c>
      <c r="G661" s="13">
        <f>(L230+L310+L360)</f>
        <v>8673786.8133333325</v>
      </c>
      <c r="H661" s="13">
        <f>(L248+L329+L361)</f>
        <v>9601968.413333334</v>
      </c>
      <c r="I661" s="13">
        <f>SUM(F661:H661)</f>
        <v>28821691.460000001</v>
      </c>
      <c r="J661" s="13"/>
      <c r="K661" s="13"/>
      <c r="L661" s="13"/>
      <c r="M661" s="9"/>
    </row>
    <row r="662" spans="1:13" s="3" customFormat="1" ht="12.2" customHeight="1" x14ac:dyDescent="0.2">
      <c r="A662" s="1" t="s">
        <v>127</v>
      </c>
      <c r="F662" s="13">
        <f>(L359/IF(SUM(L359:L361)=0,1,SUM(L359:L361))*(SUM(G97:G110)))</f>
        <v>141727.09784904783</v>
      </c>
      <c r="G662" s="13">
        <f>(L360/IF(SUM(L359:L361)=0,1,SUM(L359:L361))*(SUM(G97:G110)))</f>
        <v>141727.09215095217</v>
      </c>
      <c r="H662" s="13">
        <f>(L361/IF(SUM(L359:L361)=0,1,SUM(L359:L361))*(SUM(G97:G110)))</f>
        <v>0</v>
      </c>
      <c r="I662" s="13">
        <f>SUM(F662:H662)</f>
        <v>283454.19</v>
      </c>
      <c r="J662"/>
      <c r="K662" s="13"/>
      <c r="L662" s="13"/>
      <c r="M662" s="8"/>
    </row>
    <row r="663" spans="1:13" s="3" customFormat="1" ht="12.2" customHeight="1" x14ac:dyDescent="0.2">
      <c r="A663" s="1" t="s">
        <v>128</v>
      </c>
      <c r="F663" s="13">
        <f>(L209+L288)-(J209+J288)</f>
        <v>553053.65999999992</v>
      </c>
      <c r="G663" s="13">
        <f>(L227+L307)-(J227+J307)</f>
        <v>399202.23</v>
      </c>
      <c r="H663" s="13">
        <f>(L245+L326)-(J245+J326)</f>
        <v>318140.11</v>
      </c>
      <c r="I663" s="13">
        <f>SUM(F663:H663)</f>
        <v>1270396</v>
      </c>
      <c r="J663"/>
      <c r="K663" s="13"/>
      <c r="L663" s="13"/>
      <c r="M663" s="9"/>
    </row>
    <row r="664" spans="1:13" s="3" customFormat="1" ht="12.2" customHeight="1" x14ac:dyDescent="0.15">
      <c r="A664" s="141" t="s">
        <v>129</v>
      </c>
      <c r="B664" s="124"/>
      <c r="C664" s="124"/>
      <c r="D664" s="124"/>
      <c r="E664" s="124"/>
      <c r="F664" s="142">
        <f>SUM(F576:F588)+SUM(H603:H605)+SUM(L612)</f>
        <v>272953.44</v>
      </c>
      <c r="G664" s="142">
        <f>SUM(G576:G588)+SUM(I603:I605)+L613</f>
        <v>154069.09</v>
      </c>
      <c r="H664" s="142">
        <f>SUM(H576:H588)+SUM(J603:J605)+L614</f>
        <v>8832571.0199999996</v>
      </c>
      <c r="I664" s="13">
        <f>SUM(F664:H664)</f>
        <v>9259593.5499999989</v>
      </c>
      <c r="J664" s="13"/>
      <c r="K664" s="13"/>
      <c r="L664" s="13"/>
      <c r="M664" s="9"/>
    </row>
    <row r="665" spans="1:13" s="3" customFormat="1" ht="12.2" customHeight="1" x14ac:dyDescent="0.15">
      <c r="A665" s="1" t="s">
        <v>130</v>
      </c>
      <c r="F665" s="13">
        <f>F661-SUM(F662:F664)</f>
        <v>9578202.035484286</v>
      </c>
      <c r="G665" s="13">
        <f>G661-SUM(G662:G664)</f>
        <v>7978788.4011823805</v>
      </c>
      <c r="H665" s="13">
        <f>H661-SUM(H662:H664)</f>
        <v>451257.28333333507</v>
      </c>
      <c r="I665" s="13">
        <f>I661-SUM(I662:I664)</f>
        <v>18008247.720000003</v>
      </c>
      <c r="J665" s="13"/>
      <c r="K665" s="13"/>
      <c r="L665" s="13"/>
      <c r="M665" s="8"/>
    </row>
    <row r="666" spans="1:13" s="3" customFormat="1" ht="12.2" customHeight="1" x14ac:dyDescent="0.2">
      <c r="A666" s="1" t="s">
        <v>131</v>
      </c>
      <c r="F666" s="182">
        <v>542.77</v>
      </c>
      <c r="G666" s="183">
        <v>391.74</v>
      </c>
      <c r="H666" s="183"/>
      <c r="I666" s="13">
        <f>SUM(F666:H666)</f>
        <v>934.51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17646.89</v>
      </c>
      <c r="G668" s="13">
        <f>ROUND(G665/G666,2)</f>
        <v>20367.560000000001</v>
      </c>
      <c r="H668" s="13" t="e">
        <f>ROUND(H665/H666,2)</f>
        <v>#DIV/0!</v>
      </c>
      <c r="I668" s="13">
        <f>ROUND(I665/I666,2)</f>
        <v>19270.259999999998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-451257.28333333507</v>
      </c>
      <c r="I670" s="13">
        <f>SUM(F670:H670)</f>
        <v>-451257.28333333507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17646.89</v>
      </c>
      <c r="G673" s="13">
        <f>ROUND((G665+G670)/(G666+G671),2)</f>
        <v>20367.560000000001</v>
      </c>
      <c r="H673" s="13" t="e">
        <f>ROUND((H665+H670)/(H666+H671),2)</f>
        <v>#DIV/0!</v>
      </c>
      <c r="I673" s="13">
        <f>ROUND((I665+I670)/(I666+I671),2)</f>
        <v>18787.38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1640625" defaultRowHeight="15" x14ac:dyDescent="0.25"/>
  <cols>
    <col min="1" max="2" width="9.1640625" style="258"/>
    <col min="3" max="3" width="154.5" style="258" customWidth="1"/>
    <col min="4" max="4" width="9.1640625" style="258"/>
    <col min="5" max="5" width="14.1640625" style="258" customWidth="1"/>
    <col min="6" max="6" width="13.1640625" style="258" customWidth="1"/>
    <col min="7" max="7" width="9.1640625" style="258"/>
    <col min="8" max="8" width="23.1640625" style="258" customWidth="1"/>
    <col min="9" max="9" width="14.1640625" style="258" customWidth="1"/>
    <col min="10" max="16384" width="9.16406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151861</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31862+92727</f>
        <v>124589</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27272</f>
        <v>27272</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59" orientation="portrait"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Barrington</v>
      </c>
      <c r="C5" s="321"/>
      <c r="D5" s="321"/>
      <c r="E5" s="321"/>
      <c r="F5" s="321"/>
    </row>
    <row r="8" spans="1:9" ht="18" x14ac:dyDescent="0.25">
      <c r="A8" s="239" t="s">
        <v>1548</v>
      </c>
      <c r="F8" s="246" t="s">
        <v>1566</v>
      </c>
    </row>
    <row r="9" spans="1:9" ht="15" x14ac:dyDescent="0.2">
      <c r="A9" s="237" t="s">
        <v>1549</v>
      </c>
      <c r="B9" s="240">
        <f>'DOE25'!G97</f>
        <v>283454.19</v>
      </c>
      <c r="F9" s="237" t="s">
        <v>1562</v>
      </c>
    </row>
    <row r="10" spans="1:9" ht="15" x14ac:dyDescent="0.2">
      <c r="A10" s="237" t="s">
        <v>1550</v>
      </c>
      <c r="B10" s="240">
        <f>'DOE25'!G112-'DOE25'!G97</f>
        <v>0</v>
      </c>
      <c r="F10" s="237" t="s">
        <v>1563</v>
      </c>
    </row>
    <row r="11" spans="1:9" ht="15" x14ac:dyDescent="0.2">
      <c r="A11" s="237" t="s">
        <v>1551</v>
      </c>
      <c r="B11" s="240">
        <f>'DOE25'!G140</f>
        <v>5845.3</v>
      </c>
      <c r="F11" s="237" t="s">
        <v>1564</v>
      </c>
    </row>
    <row r="12" spans="1:9" ht="15" x14ac:dyDescent="0.2">
      <c r="A12" s="237" t="s">
        <v>1552</v>
      </c>
      <c r="B12" s="240">
        <f>'DOE25'!G170</f>
        <v>127347.47</v>
      </c>
      <c r="F12" s="237" t="s">
        <v>1565</v>
      </c>
    </row>
    <row r="13" spans="1:9" ht="15" x14ac:dyDescent="0.2">
      <c r="A13" s="237" t="s">
        <v>1553</v>
      </c>
      <c r="B13" s="240">
        <f>'DOE25'!G193-'DOE25'!G180</f>
        <v>0</v>
      </c>
      <c r="F13" s="237" t="s">
        <v>1575</v>
      </c>
    </row>
    <row r="14" spans="1:9" ht="18" x14ac:dyDescent="0.25">
      <c r="A14" s="239" t="s">
        <v>732</v>
      </c>
      <c r="B14" s="241">
        <f>SUM(B9:B13)</f>
        <v>416646.95999999996</v>
      </c>
    </row>
    <row r="16" spans="1:9" ht="18" x14ac:dyDescent="0.25">
      <c r="A16" s="239" t="s">
        <v>783</v>
      </c>
      <c r="F16" s="246" t="s">
        <v>1567</v>
      </c>
    </row>
    <row r="17" spans="1:6" ht="15" x14ac:dyDescent="0.2">
      <c r="A17" s="237" t="s">
        <v>1554</v>
      </c>
      <c r="B17" s="240">
        <f>'DOE25'!L363-'DOE25'!L362</f>
        <v>497454.25</v>
      </c>
      <c r="F17" s="237" t="s">
        <v>1568</v>
      </c>
    </row>
    <row r="18" spans="1:6" ht="15" x14ac:dyDescent="0.2">
      <c r="A18" s="237" t="s">
        <v>1555</v>
      </c>
      <c r="B18" s="250"/>
      <c r="F18" s="246" t="s">
        <v>1592</v>
      </c>
    </row>
    <row r="19" spans="1:6" ht="18" x14ac:dyDescent="0.25">
      <c r="A19" s="239" t="s">
        <v>725</v>
      </c>
      <c r="B19" s="241">
        <f>SUM(B17:B18)</f>
        <v>497454.25</v>
      </c>
    </row>
    <row r="21" spans="1:6" ht="18.75" thickBot="1" x14ac:dyDescent="0.3">
      <c r="A21" s="239" t="s">
        <v>1556</v>
      </c>
    </row>
    <row r="22" spans="1:6" ht="18.75" thickTop="1" x14ac:dyDescent="0.25">
      <c r="A22" s="239" t="s">
        <v>1557</v>
      </c>
      <c r="B22" s="245">
        <f>B14-B19</f>
        <v>-80807.290000000037</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197773.28</v>
      </c>
      <c r="F31" s="237" t="s">
        <v>1572</v>
      </c>
    </row>
    <row r="33" spans="1:6" ht="15" x14ac:dyDescent="0.2">
      <c r="A33" s="237" t="s">
        <v>1790</v>
      </c>
      <c r="B33" s="240">
        <f>'DOE25'!G477</f>
        <v>116965.98999999999</v>
      </c>
      <c r="F33" s="237" t="s">
        <v>1573</v>
      </c>
    </row>
    <row r="36" spans="1:6" ht="15" x14ac:dyDescent="0.2">
      <c r="A36" s="237" t="s">
        <v>1559</v>
      </c>
      <c r="B36" s="251">
        <v>31976.93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 sqref="B1"/>
    </sheetView>
  </sheetViews>
  <sheetFormatPr defaultColWidth="8.6640625" defaultRowHeight="11.25" x14ac:dyDescent="0.2"/>
  <cols>
    <col min="1" max="1" width="26.6640625" customWidth="1"/>
    <col min="2" max="2" width="33.6640625" customWidth="1"/>
    <col min="3" max="3" width="29.5" customWidth="1"/>
  </cols>
  <sheetData>
    <row r="1" spans="1:3" x14ac:dyDescent="0.2">
      <c r="A1" s="170" t="s">
        <v>778</v>
      </c>
      <c r="B1" s="169" t="str">
        <f>'DOE25'!A2</f>
        <v>Barrington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4378697.4700000007</v>
      </c>
      <c r="C9" s="166">
        <f>'DOE25'!G198+'DOE25'!G216+'DOE25'!G234+'DOE25'!G277+'DOE25'!G296+'DOE25'!G315</f>
        <v>2412469.4</v>
      </c>
    </row>
    <row r="10" spans="1:3" x14ac:dyDescent="0.2">
      <c r="A10" t="s">
        <v>772</v>
      </c>
      <c r="B10" s="176">
        <f>420+273948.4+1583110.95+396150.02+1636748.18+68702.5+7160+2800+450+450+3180+12255+12500+86318.88-999.38</f>
        <v>4083194.55</v>
      </c>
      <c r="C10" s="176">
        <v>2347882.04</v>
      </c>
    </row>
    <row r="11" spans="1:3" x14ac:dyDescent="0.2">
      <c r="A11" t="s">
        <v>773</v>
      </c>
      <c r="B11" s="176">
        <v>162464.03</v>
      </c>
      <c r="C11" s="176">
        <f>12428.5+21981.38+20000</f>
        <v>54409.880000000005</v>
      </c>
    </row>
    <row r="12" spans="1:3" x14ac:dyDescent="0.2">
      <c r="A12" t="s">
        <v>774</v>
      </c>
      <c r="B12" s="176">
        <f>57881.98+12914.39+62242.52</f>
        <v>133038.88999999998</v>
      </c>
      <c r="C12" s="176">
        <f>B12*7.65%</f>
        <v>10177.475084999998</v>
      </c>
    </row>
    <row r="13" spans="1:3" x14ac:dyDescent="0.2">
      <c r="A13" t="str">
        <f>IF(B9=B13,IF(C9=C13,"Check Total OK","Check Total Error"),"Check Total Error")</f>
        <v>Check Total Error</v>
      </c>
      <c r="B13" s="168">
        <f>SUM(B10:B12)</f>
        <v>4378697.47</v>
      </c>
      <c r="C13" s="168">
        <f>SUM(C10:C12)</f>
        <v>2412469.395085</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2243981.2000000002</v>
      </c>
      <c r="C18" s="166">
        <f>'DOE25'!G199+'DOE25'!G217+'DOE25'!G235+'DOE25'!G278+'DOE25'!G297+'DOE25'!G316</f>
        <v>1193890.51</v>
      </c>
    </row>
    <row r="19" spans="1:3" x14ac:dyDescent="0.2">
      <c r="A19" t="s">
        <v>772</v>
      </c>
      <c r="B19" s="176">
        <v>1096489.01</v>
      </c>
      <c r="C19" s="176">
        <f>83881.41+215350.44+400000+80097.87</f>
        <v>779329.72</v>
      </c>
    </row>
    <row r="20" spans="1:3" x14ac:dyDescent="0.2">
      <c r="A20" t="s">
        <v>773</v>
      </c>
      <c r="B20" s="176">
        <v>1121785.94</v>
      </c>
      <c r="C20" s="176">
        <f>85816.62+151777.64+75000+100000</f>
        <v>412594.26</v>
      </c>
    </row>
    <row r="21" spans="1:3" x14ac:dyDescent="0.2">
      <c r="A21" t="s">
        <v>774</v>
      </c>
      <c r="B21" s="176">
        <v>25706.25</v>
      </c>
      <c r="C21" s="176">
        <f>B21*7.65%</f>
        <v>1966.528125</v>
      </c>
    </row>
    <row r="22" spans="1:3" x14ac:dyDescent="0.2">
      <c r="A22" t="str">
        <f>IF(B18=B22,IF(C18=C22,"Check Total OK","Check Total Error"),"Check Total Error")</f>
        <v>Check Total Error</v>
      </c>
      <c r="B22" s="168">
        <f>SUM(B19:B21)</f>
        <v>2243981.2000000002</v>
      </c>
      <c r="C22" s="168">
        <f>SUM(C19:C21)</f>
        <v>1193890.5081249999</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45499</v>
      </c>
      <c r="C36" s="172">
        <f>'DOE25'!G201+'DOE25'!G219+'DOE25'!G237+'DOE25'!G280+'DOE25'!G299+'DOE25'!G318</f>
        <v>10341.279999999999</v>
      </c>
    </row>
    <row r="37" spans="1:3" x14ac:dyDescent="0.2">
      <c r="A37" t="s">
        <v>772</v>
      </c>
      <c r="B37" s="176"/>
      <c r="C37" s="176"/>
    </row>
    <row r="38" spans="1:3" x14ac:dyDescent="0.2">
      <c r="A38" t="s">
        <v>773</v>
      </c>
      <c r="B38" s="176"/>
      <c r="C38" s="176"/>
    </row>
    <row r="39" spans="1:3" x14ac:dyDescent="0.2">
      <c r="A39" t="s">
        <v>774</v>
      </c>
      <c r="B39" s="176">
        <v>45499</v>
      </c>
      <c r="C39" s="176">
        <v>10341.280000000001</v>
      </c>
    </row>
    <row r="40" spans="1:3" x14ac:dyDescent="0.2">
      <c r="A40" t="str">
        <f>IF(B36=B40,IF(C36=C40,"Check Total OK","Check Total Error"),"Check Total Error")</f>
        <v>Check Total OK</v>
      </c>
      <c r="B40" s="168">
        <f>SUM(B37:B39)</f>
        <v>45499</v>
      </c>
      <c r="C40" s="168">
        <f>SUM(C37:C39)</f>
        <v>10341.280000000001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36" sqref="F36"/>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4" t="s">
        <v>886</v>
      </c>
      <c r="B1" s="327"/>
      <c r="C1" s="327"/>
      <c r="D1" s="327"/>
      <c r="E1" s="327"/>
      <c r="F1" s="327"/>
      <c r="G1" s="327"/>
      <c r="H1" s="327"/>
      <c r="I1" s="130"/>
    </row>
    <row r="2" spans="1:9" x14ac:dyDescent="0.2">
      <c r="A2" s="32" t="s">
        <v>713</v>
      </c>
      <c r="B2" s="195" t="str">
        <f>'DOE25'!A2</f>
        <v>Barrington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19024048.120000001</v>
      </c>
      <c r="D5" s="19">
        <f>SUM('DOE25'!L198:L201)+SUM('DOE25'!L216:L219)+SUM('DOE25'!L234:L237)-F5-G5-H5</f>
        <v>19009271.370000001</v>
      </c>
      <c r="E5" s="179"/>
      <c r="F5" s="180"/>
      <c r="G5" s="19">
        <f>SUM('DOE25'!J198:J201)+SUM('DOE25'!J216:J219)+SUM('DOE25'!J234:J237)</f>
        <v>10914.01</v>
      </c>
      <c r="H5" s="19">
        <f>SUM('DOE25'!K198:K201)+SUM('DOE25'!K216:K219)+SUM('DOE25'!K234:K237)</f>
        <v>3862.74</v>
      </c>
      <c r="I5" s="191"/>
    </row>
    <row r="6" spans="1:9" x14ac:dyDescent="0.2">
      <c r="A6" s="31">
        <v>2100</v>
      </c>
      <c r="B6" t="s">
        <v>793</v>
      </c>
      <c r="C6" s="205">
        <f t="shared" si="0"/>
        <v>2082071.9399999997</v>
      </c>
      <c r="D6" s="19">
        <f>'DOE25'!L203+'DOE25'!L221+'DOE25'!L239-F6-G6-H6</f>
        <v>2076113.5399999998</v>
      </c>
      <c r="E6" s="179"/>
      <c r="F6" s="180"/>
      <c r="G6" s="19">
        <f>'DOE25'!J203+'DOE25'!J221+'DOE25'!J239</f>
        <v>0</v>
      </c>
      <c r="H6" s="19">
        <f>'DOE25'!K203+'DOE25'!K221+'DOE25'!K239</f>
        <v>5958.4</v>
      </c>
      <c r="I6" s="191"/>
    </row>
    <row r="7" spans="1:9" x14ac:dyDescent="0.2">
      <c r="A7" s="31">
        <v>2200</v>
      </c>
      <c r="B7" t="s">
        <v>817</v>
      </c>
      <c r="C7" s="205">
        <f t="shared" si="0"/>
        <v>1016270.8099999998</v>
      </c>
      <c r="D7" s="19">
        <f>'DOE25'!L204+'DOE25'!L222+'DOE25'!L240-F7-G7-H7</f>
        <v>848364.61999999988</v>
      </c>
      <c r="E7" s="179"/>
      <c r="F7" s="180"/>
      <c r="G7" s="19">
        <f>'DOE25'!J204+'DOE25'!J222+'DOE25'!J240</f>
        <v>105521.43</v>
      </c>
      <c r="H7" s="19">
        <f>'DOE25'!K204+'DOE25'!K222+'DOE25'!K240</f>
        <v>62384.76</v>
      </c>
      <c r="I7" s="191"/>
    </row>
    <row r="8" spans="1:9" x14ac:dyDescent="0.2">
      <c r="A8" s="31">
        <v>2300</v>
      </c>
      <c r="B8" t="s">
        <v>794</v>
      </c>
      <c r="C8" s="205">
        <f t="shared" si="0"/>
        <v>800557.65000000014</v>
      </c>
      <c r="D8" s="179"/>
      <c r="E8" s="19">
        <f>'DOE25'!L205+'DOE25'!L223+'DOE25'!L241-F8-G8-H8-D9-D11</f>
        <v>769860.63000000012</v>
      </c>
      <c r="F8" s="180"/>
      <c r="G8" s="19">
        <f>'DOE25'!J205+'DOE25'!J223+'DOE25'!J241</f>
        <v>3381.87</v>
      </c>
      <c r="H8" s="19">
        <f>'DOE25'!K205+'DOE25'!K223+'DOE25'!K241</f>
        <v>27315.149999999998</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1057188.3799999999</v>
      </c>
      <c r="D12" s="19">
        <f>'DOE25'!L206+'DOE25'!L224+'DOE25'!L242-F12-G12-H12</f>
        <v>1024047.7099999998</v>
      </c>
      <c r="E12" s="179"/>
      <c r="F12" s="180"/>
      <c r="G12" s="19">
        <f>'DOE25'!J206+'DOE25'!J224+'DOE25'!J242</f>
        <v>24883.16</v>
      </c>
      <c r="H12" s="19">
        <f>'DOE25'!K206+'DOE25'!K224+'DOE25'!K242</f>
        <v>8257.51</v>
      </c>
      <c r="I12" s="191"/>
    </row>
    <row r="13" spans="1:9" x14ac:dyDescent="0.2">
      <c r="A13" s="31">
        <v>2500</v>
      </c>
      <c r="B13" t="s">
        <v>795</v>
      </c>
      <c r="C13" s="205">
        <f t="shared" si="0"/>
        <v>247183.33</v>
      </c>
      <c r="D13" s="179"/>
      <c r="E13" s="19">
        <f>'DOE25'!L207+'DOE25'!L225+'DOE25'!L243-F13-G13-H13</f>
        <v>247183.33</v>
      </c>
      <c r="F13" s="180"/>
      <c r="G13" s="19">
        <f>'DOE25'!J207+'DOE25'!J225+'DOE25'!J243</f>
        <v>0</v>
      </c>
      <c r="H13" s="19">
        <f>'DOE25'!K207+'DOE25'!K225+'DOE25'!K243</f>
        <v>0</v>
      </c>
      <c r="I13" s="191"/>
    </row>
    <row r="14" spans="1:9" x14ac:dyDescent="0.2">
      <c r="A14" s="31">
        <v>2600</v>
      </c>
      <c r="B14" t="s">
        <v>815</v>
      </c>
      <c r="C14" s="205">
        <f t="shared" si="0"/>
        <v>1921430.98</v>
      </c>
      <c r="D14" s="19">
        <f>'DOE25'!L208+'DOE25'!L226+'DOE25'!L244-F14-G14-H14</f>
        <v>1766567.06</v>
      </c>
      <c r="E14" s="179"/>
      <c r="F14" s="180"/>
      <c r="G14" s="19">
        <f>'DOE25'!J208+'DOE25'!J226+'DOE25'!J244</f>
        <v>154863.92000000001</v>
      </c>
      <c r="H14" s="19">
        <f>'DOE25'!K208+'DOE25'!K226+'DOE25'!K244</f>
        <v>0</v>
      </c>
      <c r="I14" s="191"/>
    </row>
    <row r="15" spans="1:9" x14ac:dyDescent="0.2">
      <c r="A15" s="31">
        <v>2700</v>
      </c>
      <c r="B15" t="s">
        <v>796</v>
      </c>
      <c r="C15" s="205">
        <f t="shared" si="0"/>
        <v>1263145</v>
      </c>
      <c r="D15" s="19">
        <f>'DOE25'!L209+'DOE25'!L227+'DOE25'!L245-F15-G15-H15</f>
        <v>1263145</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260453.38999999998</v>
      </c>
      <c r="D22" s="179"/>
      <c r="E22" s="179"/>
      <c r="F22" s="179"/>
      <c r="G22" s="19">
        <f>'DOE25'!L256+'DOE25'!L337</f>
        <v>260453.38999999998</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497454.25</v>
      </c>
      <c r="D29" s="211">
        <f>'DOE25'!L359+'DOE25'!L360+'DOE25'!L361-'DOE25'!I368-F29-G29-H29-F39</f>
        <v>422804.27</v>
      </c>
      <c r="E29" s="179"/>
      <c r="F29" s="179"/>
      <c r="G29" s="19">
        <f>'DOE25'!J359+'DOE25'!J360+'DOE25'!J361</f>
        <v>73938.22</v>
      </c>
      <c r="H29" s="19">
        <f>'DOE25'!K359+'DOE25'!K360+'DOE25'!K361</f>
        <v>711.76</v>
      </c>
      <c r="I29" s="191"/>
    </row>
    <row r="30" spans="1:9" x14ac:dyDescent="0.2">
      <c r="A30" s="31"/>
      <c r="C30" s="206"/>
      <c r="D30" s="19"/>
      <c r="F30" s="200"/>
      <c r="G30" s="19"/>
      <c r="H30" s="19"/>
      <c r="I30" s="191"/>
    </row>
    <row r="31" spans="1:9" x14ac:dyDescent="0.2">
      <c r="A31" s="31" t="s">
        <v>814</v>
      </c>
      <c r="B31" t="s">
        <v>813</v>
      </c>
      <c r="C31" s="205">
        <f>SUM(D31:I31)</f>
        <v>912341</v>
      </c>
      <c r="D31" s="19">
        <f>'DOE25'!L291+'DOE25'!L310+'DOE25'!L329+'DOE25'!L334+'DOE25'!L335+'DOE25'!L336-F31-G31-H31</f>
        <v>910760</v>
      </c>
      <c r="E31" s="179"/>
      <c r="F31" s="180"/>
      <c r="G31" s="19">
        <f>'DOE25'!J291+'DOE25'!J310+'DOE25'!J329+'DOE25'!J334+'DOE25'!J335+'DOE25'!J336</f>
        <v>813</v>
      </c>
      <c r="H31" s="19">
        <f>'DOE25'!K291+'DOE25'!K310+'DOE25'!K329+'DOE25'!K334+'DOE25'!K335+'DOE25'!K336</f>
        <v>768</v>
      </c>
      <c r="I31" s="191"/>
    </row>
    <row r="32" spans="1:9" ht="12" thickBot="1" x14ac:dyDescent="0.25">
      <c r="C32" s="206"/>
      <c r="G32" s="187"/>
      <c r="H32" s="187"/>
      <c r="I32" s="193"/>
    </row>
    <row r="33" spans="1:9" ht="12" thickTop="1" x14ac:dyDescent="0.2">
      <c r="B33" t="s">
        <v>806</v>
      </c>
      <c r="D33" s="181">
        <f t="shared" ref="D33:I33" si="1">SUM(D5:D31)</f>
        <v>27321073.57</v>
      </c>
      <c r="E33" s="181">
        <f t="shared" si="1"/>
        <v>1017043.9600000001</v>
      </c>
      <c r="F33" s="181">
        <f t="shared" si="1"/>
        <v>0</v>
      </c>
      <c r="G33" s="181">
        <f t="shared" si="1"/>
        <v>634769</v>
      </c>
      <c r="H33" s="181">
        <f t="shared" si="1"/>
        <v>109258.31999999998</v>
      </c>
      <c r="I33" s="181">
        <f t="shared" si="1"/>
        <v>0</v>
      </c>
    </row>
    <row r="34" spans="1:9" ht="12" thickBot="1" x14ac:dyDescent="0.25"/>
    <row r="35" spans="1:9" ht="12" thickBot="1" x14ac:dyDescent="0.25">
      <c r="B35" s="187" t="s">
        <v>827</v>
      </c>
      <c r="D35" s="188">
        <f>E33</f>
        <v>1017043.9600000001</v>
      </c>
      <c r="E35" s="184"/>
      <c r="F35" s="294" t="s">
        <v>1596</v>
      </c>
      <c r="G35" s="295"/>
      <c r="H35" s="295"/>
      <c r="I35" s="296"/>
    </row>
    <row r="36" spans="1:9" ht="12" thickTop="1" x14ac:dyDescent="0.2">
      <c r="B36" t="s">
        <v>807</v>
      </c>
      <c r="D36" s="19">
        <f>D33</f>
        <v>27321073.57</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7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heetViews>
  <sheetFormatPr defaultColWidth="8.6640625" defaultRowHeight="11.25" x14ac:dyDescent="0.2"/>
  <cols>
    <col min="1" max="1" width="41.5" customWidth="1"/>
    <col min="2" max="2" width="22.1640625" customWidth="1"/>
    <col min="3" max="3" width="28.1640625" customWidth="1"/>
    <col min="4" max="4" width="19.1640625" customWidth="1"/>
    <col min="5" max="5" width="18" customWidth="1"/>
    <col min="6" max="6" width="20.1640625" customWidth="1"/>
    <col min="7" max="7" width="23.6640625" customWidth="1"/>
    <col min="8" max="8" width="19.1640625" customWidth="1"/>
    <col min="9" max="9" width="26.6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Barrington</v>
      </c>
      <c r="B2">
        <f>'DOE25'!B2</f>
        <v>33</v>
      </c>
      <c r="J2" s="223" t="s">
        <v>1799</v>
      </c>
      <c r="K2" s="308">
        <f>SUM('DOE25'!L198:L201)+SUM('DOE25'!L277:L280)</f>
        <v>6121351.9700000007</v>
      </c>
      <c r="L2" s="308">
        <f>'DOE25'!L203+'DOE25'!L282</f>
        <v>1124299.0099999998</v>
      </c>
      <c r="M2" s="308">
        <f>'DOE25'!L204+'DOE25'!L283</f>
        <v>585902.52999999991</v>
      </c>
      <c r="N2" s="308">
        <f>'DOE25'!L206+'DOE25'!L285</f>
        <v>634747.82000000007</v>
      </c>
      <c r="O2" s="316">
        <f>'Salaries-Benefits'!B10+'Salaries-Benefits'!B12+'Salaries-Benefits'!B19+'Salaries-Benefits'!B21+'Salaries-Benefits'!B28+'Salaries-Benefits'!B30+'Salaries-Benefits'!B37+'Salaries-Benefits'!B39</f>
        <v>5383927.6999999993</v>
      </c>
      <c r="P2" s="316">
        <f>'Salaries-Benefits'!B11+'Salaries-Benefits'!B20+'Salaries-Benefits'!B29+'Salaries-Benefits'!B38</f>
        <v>1284249.97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10297209.1</v>
      </c>
      <c r="G4" s="228">
        <f>'DOE25'!L212+'DOE25'!L291</f>
        <v>10297209.103333334</v>
      </c>
      <c r="H4" s="263">
        <f>F4-G4</f>
        <v>-3.3333338797092438E-3</v>
      </c>
      <c r="I4" s="313" t="str">
        <f>IF(H4=0,"","ERROR!! Please review pages 7 and 11 totals in comparison with total on this page")</f>
        <v>ERROR!! Please review pages 7 and 11 totals in comparison with total on this page</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75474.74+96069.09+450879.16</f>
        <v>622422.99</v>
      </c>
      <c r="E5" s="219">
        <v>3625.5</v>
      </c>
      <c r="F5" s="231">
        <f>D5+E5</f>
        <v>626048.49</v>
      </c>
      <c r="G5" s="222"/>
      <c r="H5" s="222"/>
      <c r="J5" s="71" t="s">
        <v>1840</v>
      </c>
      <c r="K5" s="20">
        <f>622422.99+3625.5</f>
        <v>626048.49</v>
      </c>
      <c r="L5" s="20"/>
      <c r="M5" s="20"/>
      <c r="N5" s="20"/>
      <c r="O5" s="20"/>
      <c r="P5" s="20"/>
      <c r="Q5" s="20"/>
    </row>
    <row r="6" spans="1:22" x14ac:dyDescent="0.2">
      <c r="A6" t="str" cm="1">
        <f t="array" ref="A6">IFERROR(INDEX('School Tables'!$A$4:$G$365,'School Tables'!$J4,3),"")</f>
        <v>Barrington Elementary School</v>
      </c>
      <c r="B6" s="229">
        <f>IFERROR(VLOOKUP(A6,'School Tables'!$C$3:$D$365,2,FALSE),"")</f>
        <v>22045</v>
      </c>
      <c r="C6" s="222" t="str">
        <f>IFERROR(INDEX('School Tables'!$B$3:$B$365,MATCH('School Level Expenditures'!B6,'School Tables'!$D$3:$D$365,0)),"")</f>
        <v>Barrington</v>
      </c>
      <c r="D6" s="219">
        <v>6994795.7999999998</v>
      </c>
      <c r="E6" s="219">
        <v>281136</v>
      </c>
      <c r="F6" s="231">
        <f t="shared" ref="F6:F20" si="2">D6+E6</f>
        <v>7275931.7999999998</v>
      </c>
      <c r="G6" s="222"/>
      <c r="H6" s="222"/>
      <c r="J6" t="str">
        <f t="shared" ref="J6:J20" si="3">A6</f>
        <v>Barrington Elementary School</v>
      </c>
      <c r="K6" s="20">
        <f>4592294.75</f>
        <v>4592294.75</v>
      </c>
      <c r="L6" s="20">
        <v>1123757.43</v>
      </c>
      <c r="M6" s="307">
        <v>580845.43000000005</v>
      </c>
      <c r="N6" s="20">
        <v>405353.24</v>
      </c>
      <c r="O6" s="20">
        <f>273848.4+1583110.95+396150.02+45582.5+272202.85+61588.48</f>
        <v>2632483.2000000002</v>
      </c>
      <c r="P6" s="20">
        <f>457409.4</f>
        <v>457409.4</v>
      </c>
      <c r="Q6" s="20">
        <f>13613.35+2774.9</f>
        <v>16388.25</v>
      </c>
    </row>
    <row r="7" spans="1:22" x14ac:dyDescent="0.2">
      <c r="A7" t="str" cm="1">
        <f t="array" ref="A7">IFERROR(INDEX('School Tables'!$A$4:$G$365,'School Tables'!$J5,3),"")</f>
        <v>Early Childhood Learning Center</v>
      </c>
      <c r="B7" s="229">
        <f>IFERROR(VLOOKUP(A7,'School Tables'!$C$3:$D$365,2,FALSE),"")</f>
        <v>29010</v>
      </c>
      <c r="C7" s="222" t="str">
        <f>IFERROR(INDEX('School Tables'!$B$3:$B$365,MATCH('School Level Expenditures'!B7,'School Tables'!$D$3:$D$365,0)),"")</f>
        <v>Barrington</v>
      </c>
      <c r="D7" s="219">
        <v>2223819.81</v>
      </c>
      <c r="E7" s="219">
        <f>171409</f>
        <v>171409</v>
      </c>
      <c r="F7" s="231">
        <f t="shared" si="2"/>
        <v>2395228.81</v>
      </c>
      <c r="G7" s="222"/>
      <c r="H7" s="222"/>
      <c r="J7" t="str">
        <f t="shared" si="3"/>
        <v>Early Childhood Learning Center</v>
      </c>
      <c r="K7" s="20">
        <v>903008.73</v>
      </c>
      <c r="L7" s="20">
        <v>541.58000000000004</v>
      </c>
      <c r="M7" s="307">
        <v>5057.1000000000004</v>
      </c>
      <c r="N7" s="20">
        <v>229394.58</v>
      </c>
      <c r="O7" s="20">
        <f>396150.02+130286.86+89000+46999.94+58574.88</f>
        <v>721011.70000000007</v>
      </c>
      <c r="P7" s="20">
        <f>162464.03+281914.81</f>
        <v>444378.83999999997</v>
      </c>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9841038.5999999996</v>
      </c>
      <c r="E21" s="261">
        <f>SUM(E5:E20)</f>
        <v>456170.5</v>
      </c>
      <c r="F21" s="216"/>
      <c r="G21" s="216"/>
      <c r="H21" s="216"/>
      <c r="K21" s="262">
        <f t="shared" ref="K21:Q21" si="4">SUM(K5:K20)</f>
        <v>6121351.9700000007</v>
      </c>
      <c r="L21" s="262">
        <f t="shared" si="4"/>
        <v>1124299.01</v>
      </c>
      <c r="M21" s="262">
        <f t="shared" si="4"/>
        <v>585902.53</v>
      </c>
      <c r="N21" s="262">
        <f t="shared" si="4"/>
        <v>634747.81999999995</v>
      </c>
      <c r="O21" s="262">
        <f t="shared" si="4"/>
        <v>3353494.9000000004</v>
      </c>
      <c r="P21" s="262">
        <f t="shared" si="4"/>
        <v>901788.24</v>
      </c>
      <c r="Q21" s="262">
        <f t="shared" si="4"/>
        <v>16388.25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4663756.84</v>
      </c>
      <c r="L23" s="19">
        <f>'DOE25'!L221+'DOE25'!L301</f>
        <v>957772.92999999993</v>
      </c>
      <c r="M23" s="19">
        <f>'DOE25'!L222+'DOE25'!L302</f>
        <v>538539.27999999991</v>
      </c>
      <c r="N23" s="19">
        <f>'DOE25'!L224+'DOE25'!L304</f>
        <v>422440.55999999988</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8425059.6899999995</v>
      </c>
      <c r="G25" s="228">
        <f>'DOE25'!L230+'DOE25'!L310</f>
        <v>8425059.6933333334</v>
      </c>
      <c r="H25" s="263">
        <f>F25-G25</f>
        <v>-3.3333338797092438E-3</v>
      </c>
      <c r="I25" s="313" t="str">
        <f>IF(H25=0,"","ERROR!! Please review pages 8 and 12 totals in comparison with total on this page")</f>
        <v>ERROR!! Please review pages 8 and 12 totals in comparison with total on this page</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51170.400000000001</v>
      </c>
      <c r="E26" s="219"/>
      <c r="F26" s="231">
        <f>D26+E26</f>
        <v>51170.400000000001</v>
      </c>
      <c r="G26" s="222"/>
      <c r="H26" s="222"/>
      <c r="J26" s="71" t="s">
        <v>1840</v>
      </c>
      <c r="K26" s="315">
        <f>51170.4+395576.73</f>
        <v>446747.13</v>
      </c>
      <c r="L26" s="315"/>
      <c r="M26" s="315"/>
      <c r="N26" s="315"/>
      <c r="O26" s="315"/>
      <c r="P26" s="315"/>
      <c r="Q26" s="315"/>
    </row>
    <row r="27" spans="1:17" x14ac:dyDescent="0.2">
      <c r="A27" t="str" cm="1">
        <f t="array" ref="A27">IFERROR(INDEX('School Tables'!$L$4:$R$100,'School Tables'!$U4,3),"")</f>
        <v>Barrington Middle School</v>
      </c>
      <c r="B27" s="229">
        <f>IFERROR(VLOOKUP(A27,'School Tables'!$N$4:$O$100,2,FALSE),"")</f>
        <v>22030</v>
      </c>
      <c r="C27" s="222" t="str">
        <f>IFERROR(INDEX('School Tables'!$M$4:$M$100,MATCH('School Level Expenditures'!A27,'School Tables'!$N$4:$N$100,0)),"")</f>
        <v>Barrington</v>
      </c>
      <c r="D27" s="219">
        <f>7968889.19-51170.4</f>
        <v>7917718.79</v>
      </c>
      <c r="E27" s="219">
        <v>456170.5</v>
      </c>
      <c r="F27" s="231">
        <f t="shared" ref="F27:F33" si="6">D27+E27</f>
        <v>8373889.29</v>
      </c>
      <c r="G27" s="222"/>
      <c r="H27" s="222"/>
      <c r="J27" t="str">
        <f t="shared" ref="J27:J33" si="7">A27</f>
        <v>Barrington Middle School</v>
      </c>
      <c r="K27" s="20">
        <v>4217009.71</v>
      </c>
      <c r="L27" s="20">
        <f>957772.93</f>
        <v>957772.93</v>
      </c>
      <c r="M27" s="307">
        <f>484453.78+54085.5</f>
        <v>538539.28</v>
      </c>
      <c r="N27" s="20">
        <v>422440.56</v>
      </c>
      <c r="O27" s="20">
        <f>1636748.18+351424.62+42260</f>
        <v>2030432.7999999998</v>
      </c>
      <c r="P27" s="20">
        <v>382461.73</v>
      </c>
      <c r="Q27" s="20">
        <f>13613.35+4905.62</f>
        <v>18518.97</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7968889.1900000004</v>
      </c>
      <c r="E34" s="261">
        <f>SUM(E26:E33)</f>
        <v>456170.5</v>
      </c>
      <c r="F34" s="216"/>
      <c r="G34" s="216"/>
      <c r="H34" s="216"/>
      <c r="K34" s="262">
        <f t="shared" ref="K34:Q34" si="8">SUM(K26:K33)</f>
        <v>4663756.84</v>
      </c>
      <c r="L34" s="262">
        <f t="shared" si="8"/>
        <v>957772.93</v>
      </c>
      <c r="M34" s="262">
        <f t="shared" si="8"/>
        <v>538539.28</v>
      </c>
      <c r="N34" s="262">
        <f t="shared" si="8"/>
        <v>422440.56</v>
      </c>
      <c r="O34" s="262">
        <f t="shared" si="8"/>
        <v>2030432.7999999998</v>
      </c>
      <c r="P34" s="262">
        <f t="shared" si="8"/>
        <v>382461.73</v>
      </c>
      <c r="Q34" s="262">
        <f t="shared" si="8"/>
        <v>18518.97</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8934581.3100000005</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9601968.4100000001</v>
      </c>
      <c r="G38" s="228">
        <f>'DOE25'!L248+'DOE25'!L329</f>
        <v>9601968.413333334</v>
      </c>
      <c r="H38" s="263">
        <f>F38-G38</f>
        <v>-3.3333338797092438E-3</v>
      </c>
      <c r="I38" s="313" t="str">
        <f>IF(H38=0,"","ERROR!! Please review pages 9 and 13 totals in comparison with total on this page")</f>
        <v>ERROR!! Please review pages 9 and 13 totals in comparison with total on this page</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9601968.4100000001</v>
      </c>
      <c r="E39" s="219"/>
      <c r="F39" s="231">
        <f t="shared" ref="F39:F44" si="10">D39+E39</f>
        <v>9601968.4100000001</v>
      </c>
      <c r="G39" s="222"/>
      <c r="H39" s="222"/>
      <c r="J39" s="71" t="s">
        <v>1840</v>
      </c>
      <c r="K39" s="315">
        <v>8934581.3100000005</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9601968.4100000001</v>
      </c>
      <c r="E45" s="262">
        <f>SUM(E39:E44)</f>
        <v>0</v>
      </c>
      <c r="K45" s="262">
        <f t="shared" ref="K45:Q45" si="11">SUM(K39:K44)</f>
        <v>8934581.3100000005</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14" zoomScale="150" zoomScaleNormal="150" workbookViewId="0">
      <selection activeCell="C141" sqref="C141"/>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Barrington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2128890</v>
      </c>
      <c r="D8" s="73">
        <f>'DOE25'!G9</f>
        <v>116965.99</v>
      </c>
      <c r="E8" s="73">
        <f>'DOE25'!H9</f>
        <v>0</v>
      </c>
      <c r="F8" s="73">
        <f>'DOE25'!I9</f>
        <v>0</v>
      </c>
      <c r="G8" s="73">
        <f>'DOE25'!J9</f>
        <v>2104246.7999999998</v>
      </c>
      <c r="H8" s="13">
        <f>SUM(C8:G8)</f>
        <v>4350102.79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115755</v>
      </c>
      <c r="D11" s="73">
        <f>'DOE25'!G12</f>
        <v>0</v>
      </c>
      <c r="E11" s="73">
        <f>'DOE25'!H12</f>
        <v>0</v>
      </c>
      <c r="F11" s="73">
        <f>'DOE25'!I12</f>
        <v>0</v>
      </c>
      <c r="G11" s="73">
        <f>'DOE25'!J12</f>
        <v>0</v>
      </c>
      <c r="H11" s="13">
        <f t="shared" si="0"/>
        <v>115755</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28450</v>
      </c>
      <c r="D16" s="73">
        <f>'DOE25'!G17</f>
        <v>0</v>
      </c>
      <c r="E16" s="73">
        <f>'DOE25'!H17</f>
        <v>0</v>
      </c>
      <c r="F16" s="73">
        <f>'DOE25'!I17</f>
        <v>0</v>
      </c>
      <c r="G16" s="73">
        <f>'DOE25'!J17</f>
        <v>0</v>
      </c>
      <c r="H16" s="13">
        <f t="shared" si="0"/>
        <v>28450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2273095</v>
      </c>
      <c r="D18" s="38">
        <f>SUM(D8:D17)</f>
        <v>116965.99</v>
      </c>
      <c r="E18" s="38">
        <f>SUM(E8:E17)</f>
        <v>0</v>
      </c>
      <c r="F18" s="38">
        <f>SUM(F8:F17)</f>
        <v>0</v>
      </c>
      <c r="G18" s="38">
        <f>SUM(G8:G17)</f>
        <v>2104246.7999999998</v>
      </c>
      <c r="H18" s="38">
        <f t="shared" si="0"/>
        <v>4494307.79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130314</v>
      </c>
      <c r="D21" s="73">
        <f>'DOE25'!G22</f>
        <v>0</v>
      </c>
      <c r="E21" s="73">
        <f>'DOE25'!H22</f>
        <v>0</v>
      </c>
      <c r="F21" s="73">
        <f>'DOE25'!I22</f>
        <v>0</v>
      </c>
      <c r="G21" s="73">
        <f>'DOE25'!J22</f>
        <v>0</v>
      </c>
      <c r="H21" s="13">
        <f t="shared" ref="H21:H31" si="1">SUM(C21:G21)</f>
        <v>130314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137948</v>
      </c>
      <c r="D23" s="73">
        <f>'DOE25'!G24</f>
        <v>0</v>
      </c>
      <c r="E23" s="73">
        <f>'DOE25'!H24</f>
        <v>0</v>
      </c>
      <c r="F23" s="73">
        <f>'DOE25'!I24</f>
        <v>0</v>
      </c>
      <c r="G23" s="73">
        <f>'DOE25'!J24</f>
        <v>0</v>
      </c>
      <c r="H23" s="13">
        <f t="shared" si="1"/>
        <v>137948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383937</v>
      </c>
      <c r="D27" s="73">
        <f>'DOE25'!G28</f>
        <v>0</v>
      </c>
      <c r="E27" s="73">
        <f>'DOE25'!H28</f>
        <v>0</v>
      </c>
      <c r="F27" s="73">
        <f>'DOE25'!I28</f>
        <v>0</v>
      </c>
      <c r="G27" s="23" t="s">
        <v>288</v>
      </c>
      <c r="H27" s="13">
        <f t="shared" si="1"/>
        <v>383937</v>
      </c>
      <c r="I27" s="90"/>
    </row>
    <row r="28" spans="1:9" x14ac:dyDescent="0.2">
      <c r="A28" s="1" t="s">
        <v>157</v>
      </c>
      <c r="B28" s="6">
        <v>470</v>
      </c>
      <c r="C28" s="73">
        <f>'DOE25'!F29</f>
        <v>433085</v>
      </c>
      <c r="D28" s="73">
        <f>'DOE25'!G29</f>
        <v>0</v>
      </c>
      <c r="E28" s="73">
        <f>'DOE25'!H29</f>
        <v>0</v>
      </c>
      <c r="F28" s="73">
        <f>'DOE25'!I29</f>
        <v>0</v>
      </c>
      <c r="G28" s="23" t="s">
        <v>288</v>
      </c>
      <c r="H28" s="13">
        <f t="shared" si="1"/>
        <v>433085</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1085284</v>
      </c>
      <c r="D31" s="38">
        <f>SUM(D21:D30)</f>
        <v>0</v>
      </c>
      <c r="E31" s="38">
        <f>SUM(E21:E30)</f>
        <v>0</v>
      </c>
      <c r="F31" s="38">
        <f>SUM(F21:F30)</f>
        <v>0</v>
      </c>
      <c r="G31" s="38">
        <f>SUM(G21:G30)</f>
        <v>0</v>
      </c>
      <c r="H31" s="38">
        <f t="shared" si="1"/>
        <v>1085284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28450</v>
      </c>
      <c r="D35" s="73">
        <f>'DOE25'!G36</f>
        <v>0</v>
      </c>
      <c r="E35" s="73">
        <f>'DOE25'!H36</f>
        <v>0</v>
      </c>
      <c r="F35" s="73">
        <f>'DOE25'!I36</f>
        <v>0</v>
      </c>
      <c r="G35" s="23" t="s">
        <v>288</v>
      </c>
      <c r="H35" s="13">
        <f t="shared" si="2"/>
        <v>28450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116965.99</v>
      </c>
      <c r="E39" s="23" t="s">
        <v>288</v>
      </c>
      <c r="F39" s="23" t="s">
        <v>288</v>
      </c>
      <c r="G39" s="23" t="s">
        <v>288</v>
      </c>
      <c r="H39" s="13">
        <f t="shared" si="2"/>
        <v>116965.99</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200000</v>
      </c>
      <c r="D43" s="73">
        <f>'DOE25'!G44</f>
        <v>0</v>
      </c>
      <c r="E43" s="73">
        <f>'DOE25'!H44</f>
        <v>0</v>
      </c>
      <c r="F43" s="73">
        <f>'DOE25'!I44</f>
        <v>0</v>
      </c>
      <c r="G43" s="23" t="s">
        <v>288</v>
      </c>
      <c r="H43" s="13">
        <f t="shared" si="2"/>
        <v>200000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565584</v>
      </c>
      <c r="D45" s="23" t="s">
        <v>288</v>
      </c>
      <c r="E45" s="23" t="s">
        <v>288</v>
      </c>
      <c r="F45" s="23" t="s">
        <v>288</v>
      </c>
      <c r="G45" s="23" t="s">
        <v>288</v>
      </c>
      <c r="H45" s="13">
        <f t="shared" si="2"/>
        <v>565584</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2104246.7999999998</v>
      </c>
      <c r="H48" s="13">
        <f t="shared" si="2"/>
        <v>2104246.7999999998</v>
      </c>
      <c r="I48" s="90"/>
    </row>
    <row r="49" spans="1:9" ht="12" thickBot="1" x14ac:dyDescent="0.25">
      <c r="A49" s="28" t="s">
        <v>879</v>
      </c>
      <c r="B49" s="56">
        <v>770</v>
      </c>
      <c r="C49" s="73">
        <f>'DOE25'!F50</f>
        <v>393777</v>
      </c>
      <c r="D49" s="23" t="s">
        <v>288</v>
      </c>
      <c r="E49" s="23" t="s">
        <v>288</v>
      </c>
      <c r="F49" s="23" t="s">
        <v>288</v>
      </c>
      <c r="G49" s="23" t="s">
        <v>288</v>
      </c>
      <c r="H49" s="13">
        <f t="shared" si="2"/>
        <v>393777</v>
      </c>
      <c r="I49" s="90"/>
    </row>
    <row r="50" spans="1:9" ht="12.75" thickTop="1" thickBot="1" x14ac:dyDescent="0.25">
      <c r="A50" s="35" t="s">
        <v>880</v>
      </c>
      <c r="B50" s="44"/>
      <c r="C50" s="38">
        <f>SUM(C34:C49)</f>
        <v>1187811</v>
      </c>
      <c r="D50" s="38">
        <f>SUM(D34:D49)</f>
        <v>116965.99</v>
      </c>
      <c r="E50" s="38">
        <f>SUM(E34:E49)</f>
        <v>0</v>
      </c>
      <c r="F50" s="38">
        <f>SUM(F34:F49)</f>
        <v>0</v>
      </c>
      <c r="G50" s="38">
        <f>SUM(G34:G49)</f>
        <v>2104246.7999999998</v>
      </c>
      <c r="H50" s="38">
        <f t="shared" si="2"/>
        <v>3409023.79</v>
      </c>
      <c r="I50" s="90"/>
    </row>
    <row r="51" spans="1:9" ht="12" thickTop="1" x14ac:dyDescent="0.2">
      <c r="A51" s="35" t="s">
        <v>881</v>
      </c>
      <c r="B51" s="2"/>
      <c r="C51" s="38">
        <f>C50+C31</f>
        <v>2273095</v>
      </c>
      <c r="D51" s="38">
        <f>D50+D31</f>
        <v>116965.99</v>
      </c>
      <c r="E51" s="38">
        <f>E50+E31</f>
        <v>0</v>
      </c>
      <c r="F51" s="38">
        <f>F50+F31</f>
        <v>0</v>
      </c>
      <c r="G51" s="38">
        <f>G50+G31</f>
        <v>2104246.7999999998</v>
      </c>
      <c r="H51" s="38">
        <f t="shared" si="2"/>
        <v>4494307.79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20463950</v>
      </c>
      <c r="D56" s="73">
        <f>'DOE25'!G60</f>
        <v>0</v>
      </c>
      <c r="E56" s="73">
        <f>'DOE25'!H60</f>
        <v>0</v>
      </c>
      <c r="F56" s="73">
        <f>'DOE25'!I60</f>
        <v>0</v>
      </c>
      <c r="G56" s="73">
        <f>'DOE25'!J60</f>
        <v>0</v>
      </c>
      <c r="H56" s="13">
        <f t="shared" ref="H56:H63" si="3">SUM(C56:G56)</f>
        <v>20463950</v>
      </c>
      <c r="I56"/>
    </row>
    <row r="57" spans="1:9" x14ac:dyDescent="0.2">
      <c r="A57" s="1" t="s">
        <v>164</v>
      </c>
      <c r="B57" s="6" t="s">
        <v>165</v>
      </c>
      <c r="C57" s="73">
        <f>'DOE25'!F79</f>
        <v>90905</v>
      </c>
      <c r="D57" s="23" t="s">
        <v>288</v>
      </c>
      <c r="E57" s="73">
        <f>'DOE25'!H79</f>
        <v>0</v>
      </c>
      <c r="F57" s="23" t="s">
        <v>288</v>
      </c>
      <c r="G57" s="23" t="s">
        <v>288</v>
      </c>
      <c r="H57" s="13">
        <f t="shared" si="3"/>
        <v>90905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63035.45</v>
      </c>
      <c r="D59" s="73">
        <f>'DOE25'!G96</f>
        <v>0</v>
      </c>
      <c r="E59" s="73">
        <f>'DOE25'!H96</f>
        <v>0</v>
      </c>
      <c r="F59" s="73">
        <f>'DOE25'!I96</f>
        <v>0</v>
      </c>
      <c r="G59" s="73">
        <f>'DOE25'!J96</f>
        <v>63035.45</v>
      </c>
      <c r="H59" s="13">
        <f t="shared" si="3"/>
        <v>126070.9</v>
      </c>
      <c r="I59"/>
    </row>
    <row r="60" spans="1:9" x14ac:dyDescent="0.2">
      <c r="A60" s="1" t="s">
        <v>170</v>
      </c>
      <c r="B60" s="22" t="s">
        <v>171</v>
      </c>
      <c r="C60" s="23" t="s">
        <v>288</v>
      </c>
      <c r="D60" s="73">
        <f>'DOE25'!G97</f>
        <v>283454.19</v>
      </c>
      <c r="E60" s="23" t="s">
        <v>288</v>
      </c>
      <c r="F60" s="23" t="s">
        <v>288</v>
      </c>
      <c r="G60" s="23" t="s">
        <v>288</v>
      </c>
      <c r="H60" s="13">
        <f t="shared" si="3"/>
        <v>283454.19</v>
      </c>
      <c r="I60"/>
    </row>
    <row r="61" spans="1:9" ht="12" thickBot="1" x14ac:dyDescent="0.25">
      <c r="A61" s="1" t="s">
        <v>172</v>
      </c>
      <c r="B61" s="22" t="s">
        <v>173</v>
      </c>
      <c r="C61" s="73">
        <f>SUM('DOE25'!F98:F110)</f>
        <v>14070</v>
      </c>
      <c r="D61" s="73">
        <f>SUM('DOE25'!G98:G110)</f>
        <v>0</v>
      </c>
      <c r="E61" s="73">
        <f>SUM('DOE25'!H98:H110)</f>
        <v>0</v>
      </c>
      <c r="F61" s="73">
        <f>SUM('DOE25'!I98:I110)</f>
        <v>0</v>
      </c>
      <c r="G61" s="73">
        <f>SUM('DOE25'!J98:J110)</f>
        <v>0</v>
      </c>
      <c r="H61" s="13">
        <f t="shared" si="3"/>
        <v>14070</v>
      </c>
      <c r="I61"/>
    </row>
    <row r="62" spans="1:9" ht="12.75" thickTop="1" thickBot="1" x14ac:dyDescent="0.25">
      <c r="A62" s="28" t="s">
        <v>174</v>
      </c>
      <c r="B62" s="6"/>
      <c r="C62" s="93">
        <f>SUM(C57:C61)</f>
        <v>168010.45</v>
      </c>
      <c r="D62" s="93">
        <f>SUM(D57:D61)</f>
        <v>283454.19</v>
      </c>
      <c r="E62" s="93">
        <f>SUM(E57:E61)</f>
        <v>0</v>
      </c>
      <c r="F62" s="93">
        <f>SUM(F57:F61)</f>
        <v>0</v>
      </c>
      <c r="G62" s="93">
        <f>SUM(G57:G61)</f>
        <v>63035.45</v>
      </c>
      <c r="H62" s="13">
        <f t="shared" si="3"/>
        <v>514500.09</v>
      </c>
      <c r="I62"/>
    </row>
    <row r="63" spans="1:9" ht="12" thickTop="1" x14ac:dyDescent="0.2">
      <c r="A63" s="28" t="s">
        <v>175</v>
      </c>
      <c r="B63" s="6"/>
      <c r="C63" s="21">
        <f>C56+C62</f>
        <v>20631960.449999999</v>
      </c>
      <c r="D63" s="21">
        <f>D56+D62</f>
        <v>283454.19</v>
      </c>
      <c r="E63" s="21">
        <f>E56+E62</f>
        <v>0</v>
      </c>
      <c r="F63" s="21">
        <f>F56+F62</f>
        <v>0</v>
      </c>
      <c r="G63" s="21">
        <f>G56+G62</f>
        <v>63035.45</v>
      </c>
      <c r="H63" s="13">
        <f t="shared" si="3"/>
        <v>20978450.09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4904367.16</v>
      </c>
      <c r="D66" s="23" t="s">
        <v>288</v>
      </c>
      <c r="E66" s="23" t="s">
        <v>288</v>
      </c>
      <c r="F66" s="23" t="s">
        <v>288</v>
      </c>
      <c r="G66" s="23" t="s">
        <v>288</v>
      </c>
      <c r="H66" s="13">
        <f t="shared" ref="H66:H81" si="4">SUM(C66:G66)</f>
        <v>4904367.16</v>
      </c>
      <c r="I66"/>
    </row>
    <row r="67" spans="1:9" x14ac:dyDescent="0.2">
      <c r="A67" s="1" t="s">
        <v>767</v>
      </c>
      <c r="B67" s="6">
        <v>3112</v>
      </c>
      <c r="C67" s="73">
        <f>'DOE25'!F118</f>
        <v>2159419</v>
      </c>
      <c r="D67" s="23"/>
      <c r="E67" s="23"/>
      <c r="F67" s="23"/>
      <c r="G67" s="23"/>
      <c r="H67" s="13">
        <f t="shared" si="4"/>
        <v>2159419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28623.339999999997</v>
      </c>
      <c r="D69" s="73">
        <f>'DOE25'!G120</f>
        <v>0</v>
      </c>
      <c r="E69" s="73">
        <f>'DOE25'!H120</f>
        <v>0</v>
      </c>
      <c r="F69" s="73">
        <f>'DOE25'!I120</f>
        <v>0</v>
      </c>
      <c r="G69" s="73">
        <f>'DOE25'!J120</f>
        <v>0</v>
      </c>
      <c r="H69" s="13">
        <f t="shared" si="4"/>
        <v>28623.339999999997</v>
      </c>
      <c r="I69"/>
    </row>
    <row r="70" spans="1:9" ht="12" thickTop="1" x14ac:dyDescent="0.2">
      <c r="A70" s="28" t="s">
        <v>252</v>
      </c>
      <c r="B70" s="2"/>
      <c r="C70" s="97">
        <f>SUM(C66:C69)</f>
        <v>7092409.5</v>
      </c>
      <c r="D70" s="97">
        <f>D69</f>
        <v>0</v>
      </c>
      <c r="E70" s="97">
        <f>E69</f>
        <v>0</v>
      </c>
      <c r="F70" s="97">
        <f>F69</f>
        <v>0</v>
      </c>
      <c r="G70" s="97">
        <f>G69</f>
        <v>0</v>
      </c>
      <c r="H70" s="13">
        <f t="shared" si="4"/>
        <v>7092409.5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38131.370000000003</v>
      </c>
      <c r="D75" s="23" t="s">
        <v>288</v>
      </c>
      <c r="E75" s="23" t="s">
        <v>288</v>
      </c>
      <c r="F75" s="23" t="s">
        <v>288</v>
      </c>
      <c r="G75" s="23" t="s">
        <v>288</v>
      </c>
      <c r="H75" s="13">
        <f t="shared" si="4"/>
        <v>38131.370000000003</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5845.3</v>
      </c>
      <c r="E77" s="73">
        <f>SUM('DOE25'!H131:H135)</f>
        <v>0</v>
      </c>
      <c r="F77" s="73">
        <f>SUM('DOE25'!I131:I135)</f>
        <v>0</v>
      </c>
      <c r="G77" s="73">
        <f>SUM('DOE25'!J131:J135)</f>
        <v>0</v>
      </c>
      <c r="H77" s="13">
        <f t="shared" si="4"/>
        <v>5845.3</v>
      </c>
      <c r="I77"/>
    </row>
    <row r="78" spans="1:9" ht="12.75" thickTop="1" thickBot="1" x14ac:dyDescent="0.25">
      <c r="A78" s="28" t="s">
        <v>259</v>
      </c>
      <c r="B78" s="6"/>
      <c r="C78" s="93">
        <f>SUM(C72:C77)</f>
        <v>38131.370000000003</v>
      </c>
      <c r="D78" s="93">
        <f>SUM(D72:D77)</f>
        <v>5845.3</v>
      </c>
      <c r="E78" s="93">
        <f>SUM(E72:E77)</f>
        <v>0</v>
      </c>
      <c r="F78" s="93">
        <f>SUM(F72:F77)</f>
        <v>0</v>
      </c>
      <c r="G78" s="93">
        <f>SUM(G72:G77)</f>
        <v>0</v>
      </c>
      <c r="H78" s="13">
        <f t="shared" si="4"/>
        <v>43976.670000000006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7130540.8700000001</v>
      </c>
      <c r="D81" s="93">
        <f>SUM(D79:D80)+D78+D70</f>
        <v>5845.3</v>
      </c>
      <c r="E81" s="93">
        <f>SUM(E79:E80)+E78+E70</f>
        <v>0</v>
      </c>
      <c r="F81" s="93">
        <f>SUM(F79:F80)+F78+F70</f>
        <v>0</v>
      </c>
      <c r="G81" s="93">
        <f>SUM(G79:G80)+G78+G70</f>
        <v>0</v>
      </c>
      <c r="H81" s="93">
        <f t="shared" si="4"/>
        <v>7136386.1699999999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1648.53</v>
      </c>
      <c r="D88" s="252">
        <f>SUM('DOE25'!G153:G162)</f>
        <v>127347.47</v>
      </c>
      <c r="E88" s="252">
        <f>SUM('DOE25'!H153:H162)</f>
        <v>912341</v>
      </c>
      <c r="F88" s="252">
        <f>SUM('DOE25'!I153:I162)</f>
        <v>0</v>
      </c>
      <c r="G88" s="23" t="s">
        <v>288</v>
      </c>
      <c r="H88" s="13">
        <f t="shared" si="5"/>
        <v>1041337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1648.53</v>
      </c>
      <c r="D91" s="94">
        <f>SUM(D85:D90)</f>
        <v>127347.47</v>
      </c>
      <c r="E91" s="94">
        <f>SUM(E85:E90)</f>
        <v>912341</v>
      </c>
      <c r="F91" s="94">
        <f>SUM(F85:F90)</f>
        <v>0</v>
      </c>
      <c r="G91" s="23" t="s">
        <v>288</v>
      </c>
      <c r="H91" s="13">
        <f t="shared" si="5"/>
        <v>1041337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225000</v>
      </c>
      <c r="H96" s="13">
        <f t="shared" si="5"/>
        <v>225000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225000</v>
      </c>
      <c r="D98" s="73">
        <f>'DOE25'!G183</f>
        <v>0</v>
      </c>
      <c r="E98" s="73">
        <f>'DOE25'!H183</f>
        <v>0</v>
      </c>
      <c r="F98" s="23" t="s">
        <v>288</v>
      </c>
      <c r="G98" s="73">
        <f>'DOE25'!J183</f>
        <v>0</v>
      </c>
      <c r="H98" s="13">
        <f t="shared" si="5"/>
        <v>225000</v>
      </c>
    </row>
    <row r="99" spans="1:8" x14ac:dyDescent="0.2">
      <c r="A99" t="s">
        <v>753</v>
      </c>
      <c r="B99" s="31">
        <v>5251</v>
      </c>
      <c r="C99" s="73" t="str">
        <f>'DOE25'!F186</f>
        <v xml:space="preserve"> </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225000</v>
      </c>
      <c r="D103" s="68">
        <f>SUM(D93:D102)</f>
        <v>0</v>
      </c>
      <c r="E103" s="68">
        <f>SUM(E93:E102)</f>
        <v>0</v>
      </c>
      <c r="F103" s="68">
        <f>SUM(F93:F102)</f>
        <v>0</v>
      </c>
      <c r="G103" s="68">
        <f>SUM(G93:G102)</f>
        <v>225000</v>
      </c>
      <c r="H103" s="68">
        <f t="shared" si="5"/>
        <v>450000</v>
      </c>
    </row>
    <row r="104" spans="1:8" ht="12.75" thickTop="1" thickBot="1" x14ac:dyDescent="0.25">
      <c r="A104" s="32" t="s">
        <v>758</v>
      </c>
      <c r="C104" s="68">
        <f>C63+C81+C91+C103</f>
        <v>27989149.850000001</v>
      </c>
      <c r="D104" s="68">
        <f>D63+D81+D91+D103</f>
        <v>416646.95999999996</v>
      </c>
      <c r="E104" s="68">
        <f>E63+E81+E91+E103</f>
        <v>912341</v>
      </c>
      <c r="F104" s="68">
        <f>F63+F81+F91+F103</f>
        <v>0</v>
      </c>
      <c r="G104" s="68">
        <f>G63+G81+G103</f>
        <v>288035.45</v>
      </c>
      <c r="H104" s="68">
        <f t="shared" si="5"/>
        <v>29606173.260000002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15057395.650000002</v>
      </c>
      <c r="D109" s="23" t="s">
        <v>288</v>
      </c>
      <c r="E109" s="73">
        <f>('DOE25'!L277)+('DOE25'!L296)+('DOE25'!L315)</f>
        <v>352824</v>
      </c>
      <c r="F109" s="23" t="s">
        <v>288</v>
      </c>
      <c r="G109" s="23" t="s">
        <v>288</v>
      </c>
      <c r="H109" s="13">
        <f t="shared" ref="H109:H115" si="6">SUM(C109:G109)</f>
        <v>15410219.650000002</v>
      </c>
    </row>
    <row r="110" spans="1:8" x14ac:dyDescent="0.2">
      <c r="A110" t="s">
        <v>198</v>
      </c>
      <c r="B110" s="31" t="s">
        <v>199</v>
      </c>
      <c r="C110" s="73">
        <f>('DOE25'!L199)+('DOE25'!L217)+('DOE25'!L235)</f>
        <v>3893456.3600000003</v>
      </c>
      <c r="D110" s="23" t="s">
        <v>288</v>
      </c>
      <c r="E110" s="73">
        <f>('DOE25'!L278)+('DOE25'!L297)+('DOE25'!L316)</f>
        <v>342818</v>
      </c>
      <c r="F110" s="23" t="s">
        <v>288</v>
      </c>
      <c r="G110" s="23" t="s">
        <v>288</v>
      </c>
      <c r="H110" s="13">
        <f t="shared" si="6"/>
        <v>4236274.3600000003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73196.11</v>
      </c>
      <c r="D112" s="23" t="s">
        <v>288</v>
      </c>
      <c r="E112" s="73">
        <f>+('DOE25'!L280)+('DOE25'!L299)+('DOE25'!L318)</f>
        <v>0</v>
      </c>
      <c r="F112" s="23" t="s">
        <v>288</v>
      </c>
      <c r="G112" s="23" t="s">
        <v>288</v>
      </c>
      <c r="H112" s="13">
        <f t="shared" si="6"/>
        <v>73196.11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19024048.120000001</v>
      </c>
      <c r="D115" s="68">
        <f>SUM(D109:D114)</f>
        <v>0</v>
      </c>
      <c r="E115" s="68">
        <f>SUM(E109:E114)</f>
        <v>695642</v>
      </c>
      <c r="F115" s="68">
        <f>SUM(F109:F114)</f>
        <v>0</v>
      </c>
      <c r="G115" s="68">
        <f>SUM(G109:G114)</f>
        <v>0</v>
      </c>
      <c r="H115" s="68">
        <f t="shared" si="6"/>
        <v>19719690.120000001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2082071.9399999997</v>
      </c>
      <c r="D118" s="23" t="s">
        <v>288</v>
      </c>
      <c r="E118" s="73">
        <f>+('DOE25'!L282)+('DOE25'!L301)+('DOE25'!L320)</f>
        <v>0</v>
      </c>
      <c r="F118" s="23" t="s">
        <v>288</v>
      </c>
      <c r="G118" s="23" t="s">
        <v>288</v>
      </c>
      <c r="H118" s="13">
        <f t="shared" ref="H118:H145" si="7">SUM(C118:G118)</f>
        <v>2082071.9399999997</v>
      </c>
    </row>
    <row r="119" spans="1:8" x14ac:dyDescent="0.2">
      <c r="A119" t="s">
        <v>208</v>
      </c>
      <c r="B119" s="31" t="s">
        <v>209</v>
      </c>
      <c r="C119" s="73">
        <f>('DOE25'!L204)+('DOE25'!L222)+('DOE25'!L240)</f>
        <v>1016270.8099999998</v>
      </c>
      <c r="D119" s="23" t="s">
        <v>288</v>
      </c>
      <c r="E119" s="73">
        <f>+('DOE25'!L283)+('DOE25'!L302)+('DOE25'!L321)</f>
        <v>108171</v>
      </c>
      <c r="F119" s="23" t="s">
        <v>288</v>
      </c>
      <c r="G119" s="23" t="s">
        <v>288</v>
      </c>
      <c r="H119" s="13">
        <f t="shared" si="7"/>
        <v>1124441.8099999998</v>
      </c>
    </row>
    <row r="120" spans="1:8" x14ac:dyDescent="0.2">
      <c r="A120" t="s">
        <v>210</v>
      </c>
      <c r="B120" s="31" t="s">
        <v>211</v>
      </c>
      <c r="C120" s="73">
        <f>('DOE25'!L205)+('DOE25'!L223)+('DOE25'!L241)</f>
        <v>800557.65000000014</v>
      </c>
      <c r="D120" s="23" t="s">
        <v>288</v>
      </c>
      <c r="E120" s="73">
        <f>+('DOE25'!L284)+('DOE25'!L303)+('DOE25'!L322)</f>
        <v>0</v>
      </c>
      <c r="F120" s="23" t="s">
        <v>288</v>
      </c>
      <c r="G120" s="23" t="s">
        <v>288</v>
      </c>
      <c r="H120" s="13">
        <f t="shared" si="7"/>
        <v>800557.65000000014</v>
      </c>
    </row>
    <row r="121" spans="1:8" x14ac:dyDescent="0.2">
      <c r="A121" t="s">
        <v>212</v>
      </c>
      <c r="B121" s="31" t="s">
        <v>213</v>
      </c>
      <c r="C121" s="73">
        <f>('DOE25'!L206)+('DOE25'!L224)+('DOE25'!L242)</f>
        <v>1057188.3799999999</v>
      </c>
      <c r="D121" s="23" t="s">
        <v>288</v>
      </c>
      <c r="E121" s="73">
        <f>+('DOE25'!L285)+('DOE25'!L304)+('DOE25'!L323)</f>
        <v>0</v>
      </c>
      <c r="F121" s="23" t="s">
        <v>288</v>
      </c>
      <c r="G121" s="23" t="s">
        <v>288</v>
      </c>
      <c r="H121" s="13">
        <f t="shared" si="7"/>
        <v>1057188.3799999999</v>
      </c>
    </row>
    <row r="122" spans="1:8" x14ac:dyDescent="0.2">
      <c r="A122" t="s">
        <v>214</v>
      </c>
      <c r="B122" s="31" t="s">
        <v>215</v>
      </c>
      <c r="C122" s="73">
        <f>('DOE25'!L207)+('DOE25'!L225)+('DOE25'!L243)</f>
        <v>247183.33</v>
      </c>
      <c r="D122" s="23" t="s">
        <v>288</v>
      </c>
      <c r="E122" s="73">
        <f>+('DOE25'!L286)+('DOE25'!L305)+('DOE25'!L324)</f>
        <v>0</v>
      </c>
      <c r="F122" s="23" t="s">
        <v>288</v>
      </c>
      <c r="G122" s="23" t="s">
        <v>288</v>
      </c>
      <c r="H122" s="13">
        <f t="shared" si="7"/>
        <v>247183.33</v>
      </c>
    </row>
    <row r="123" spans="1:8" x14ac:dyDescent="0.2">
      <c r="A123" t="s">
        <v>216</v>
      </c>
      <c r="B123" s="31" t="s">
        <v>217</v>
      </c>
      <c r="C123" s="73">
        <f>('DOE25'!L208)+('DOE25'!L226)+('DOE25'!L244)</f>
        <v>1921430.98</v>
      </c>
      <c r="D123" s="23" t="s">
        <v>288</v>
      </c>
      <c r="E123" s="73">
        <f>+('DOE25'!L287)+('DOE25'!L306)+('DOE25'!L325)</f>
        <v>101277</v>
      </c>
      <c r="F123" s="23" t="s">
        <v>288</v>
      </c>
      <c r="G123" s="23" t="s">
        <v>288</v>
      </c>
      <c r="H123" s="13">
        <f t="shared" si="7"/>
        <v>2022707.98</v>
      </c>
    </row>
    <row r="124" spans="1:8" x14ac:dyDescent="0.2">
      <c r="A124" t="s">
        <v>218</v>
      </c>
      <c r="B124" s="31" t="s">
        <v>219</v>
      </c>
      <c r="C124" s="73">
        <f>('DOE25'!L209)+('DOE25'!L227)+('DOE25'!L245+'DOE25'!L255)</f>
        <v>1263145</v>
      </c>
      <c r="D124" s="23" t="s">
        <v>288</v>
      </c>
      <c r="E124" s="73">
        <f>+('DOE25'!L288)+('DOE25'!L307)+('DOE25'!L326)</f>
        <v>7251</v>
      </c>
      <c r="F124" s="23" t="s">
        <v>288</v>
      </c>
      <c r="G124" s="23" t="s">
        <v>288</v>
      </c>
      <c r="H124" s="13">
        <f t="shared" si="7"/>
        <v>1270396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497454.25</v>
      </c>
      <c r="E127" s="23" t="s">
        <v>288</v>
      </c>
      <c r="F127" s="23" t="s">
        <v>288</v>
      </c>
      <c r="G127" s="23" t="s">
        <v>288</v>
      </c>
      <c r="H127" s="13">
        <f t="shared" si="7"/>
        <v>497454.25</v>
      </c>
    </row>
    <row r="128" spans="1:8" ht="12.75" thickTop="1" thickBot="1" x14ac:dyDescent="0.25">
      <c r="A128" s="32" t="s">
        <v>226</v>
      </c>
      <c r="C128" s="68">
        <f>SUM(C118:C127)</f>
        <v>8387848.0899999999</v>
      </c>
      <c r="D128" s="68">
        <f>SUM(D118:D127)</f>
        <v>497454.25</v>
      </c>
      <c r="E128" s="68">
        <f>SUM(E118:E127)</f>
        <v>216699</v>
      </c>
      <c r="F128" s="68">
        <f>SUM(F118:F127)</f>
        <v>0</v>
      </c>
      <c r="G128" s="68">
        <f>SUM(G118:G127)</f>
        <v>0</v>
      </c>
      <c r="H128" s="68">
        <f t="shared" si="7"/>
        <v>9102001.3399999999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260453.38999999998</v>
      </c>
      <c r="D130" s="23" t="s">
        <v>288</v>
      </c>
      <c r="E130" s="92">
        <f>'DOE25'!L337</f>
        <v>0</v>
      </c>
      <c r="F130" s="92">
        <f>SUM('DOE25'!L375:'DOE25'!L381)</f>
        <v>0</v>
      </c>
      <c r="G130" s="23" t="s">
        <v>288</v>
      </c>
      <c r="H130" s="13">
        <f t="shared" si="7"/>
        <v>260453.38999999998</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288035.44999999995</v>
      </c>
      <c r="D139" s="23" t="s">
        <v>288</v>
      </c>
      <c r="E139" s="23" t="s">
        <v>288</v>
      </c>
      <c r="F139" s="23" t="s">
        <v>288</v>
      </c>
      <c r="G139" s="23" t="s">
        <v>288</v>
      </c>
      <c r="H139" s="13">
        <f t="shared" si="7"/>
        <v>288035.44999999995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-63035.449999999953</v>
      </c>
      <c r="D141" s="23" t="s">
        <v>288</v>
      </c>
      <c r="E141" s="23" t="s">
        <v>288</v>
      </c>
      <c r="F141" s="23" t="s">
        <v>288</v>
      </c>
      <c r="G141" s="23" t="s">
        <v>288</v>
      </c>
      <c r="H141" s="13">
        <f t="shared" si="7"/>
        <v>-63035.449999999953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485453.39</v>
      </c>
      <c r="D144" s="98">
        <f>SUM(D130:D143)</f>
        <v>0</v>
      </c>
      <c r="E144" s="98">
        <f>SUM(E130:E143)</f>
        <v>0</v>
      </c>
      <c r="F144" s="98">
        <f>SUM(F130:F143)</f>
        <v>0</v>
      </c>
      <c r="G144" s="98">
        <f>SUM(G130:G143)</f>
        <v>0</v>
      </c>
      <c r="H144" s="98">
        <f t="shared" si="7"/>
        <v>485453.39</v>
      </c>
    </row>
    <row r="145" spans="1:9" ht="12.75" thickTop="1" thickBot="1" x14ac:dyDescent="0.25">
      <c r="A145" s="32" t="s">
        <v>244</v>
      </c>
      <c r="C145" s="68">
        <f>(C115+C128+C144)</f>
        <v>27897349.600000001</v>
      </c>
      <c r="D145" s="68">
        <f>(D115+D128+D144)</f>
        <v>497454.25</v>
      </c>
      <c r="E145" s="68">
        <f>(E115+E128+E144)</f>
        <v>912341</v>
      </c>
      <c r="F145" s="68">
        <f>(F115+F128+F144)</f>
        <v>0</v>
      </c>
      <c r="G145" s="68">
        <f>(G115+G128+G144)</f>
        <v>0</v>
      </c>
      <c r="H145" s="68">
        <f t="shared" si="7"/>
        <v>29307144.850000001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150" zoomScaleNormal="150" workbookViewId="0">
      <selection activeCell="D7" sqref="D7"/>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31" t="s">
        <v>736</v>
      </c>
      <c r="B1" s="331"/>
      <c r="C1" s="331"/>
      <c r="D1" s="331"/>
    </row>
    <row r="2" spans="1:4" x14ac:dyDescent="0.2">
      <c r="A2" s="135" t="s">
        <v>713</v>
      </c>
      <c r="B2" s="134" t="str">
        <f>'DOE25'!A2</f>
        <v>Barrington</v>
      </c>
    </row>
    <row r="3" spans="1:4" x14ac:dyDescent="0.2">
      <c r="B3" s="136" t="s">
        <v>1792</v>
      </c>
    </row>
    <row r="4" spans="1:4" x14ac:dyDescent="0.2">
      <c r="B4" t="s">
        <v>61</v>
      </c>
      <c r="C4" s="128">
        <f>IF('DOE25'!F666+'DOE25'!F671=0,0,ROUND('DOE25'!F673,0))</f>
        <v>17647</v>
      </c>
    </row>
    <row r="5" spans="1:4" x14ac:dyDescent="0.2">
      <c r="B5" t="s">
        <v>700</v>
      </c>
      <c r="C5" s="128">
        <f>IF('DOE25'!G666+'DOE25'!G671=0,0,ROUND('DOE25'!G673,0))</f>
        <v>20368</v>
      </c>
    </row>
    <row r="6" spans="1:4" x14ac:dyDescent="0.2">
      <c r="B6" t="s">
        <v>62</v>
      </c>
      <c r="C6" s="128">
        <f>IF('DOE25'!H666+'DOE25'!H671=0,0,ROUND('DOE25'!H673,0))</f>
        <v>0</v>
      </c>
    </row>
    <row r="7" spans="1:4" x14ac:dyDescent="0.2">
      <c r="B7" t="s">
        <v>701</v>
      </c>
      <c r="C7" s="128">
        <f>IF('DOE25'!I666+'DOE25'!I671=0,0,ROUND('DOE25'!I673,0))</f>
        <v>18787</v>
      </c>
    </row>
    <row r="9" spans="1:4" x14ac:dyDescent="0.2">
      <c r="A9" s="135" t="s">
        <v>94</v>
      </c>
      <c r="B9" s="136" t="s">
        <v>1793</v>
      </c>
      <c r="C9" s="130" t="s">
        <v>720</v>
      </c>
      <c r="D9" s="130" t="s">
        <v>721</v>
      </c>
    </row>
    <row r="10" spans="1:4" x14ac:dyDescent="0.2">
      <c r="A10">
        <v>1100</v>
      </c>
      <c r="B10" t="s">
        <v>702</v>
      </c>
      <c r="C10" s="128">
        <f>ROUND('DOE25'!L198+'DOE25'!L216+'DOE25'!L234+'DOE25'!L277+'DOE25'!L296+'DOE25'!L315,0)</f>
        <v>15410220</v>
      </c>
      <c r="D10" s="131">
        <f>ROUND((C10/$C$28)*100,1)</f>
        <v>54</v>
      </c>
    </row>
    <row r="11" spans="1:4" x14ac:dyDescent="0.2">
      <c r="A11">
        <v>1200</v>
      </c>
      <c r="B11" t="s">
        <v>703</v>
      </c>
      <c r="C11" s="128">
        <f>ROUND('DOE25'!L199+'DOE25'!L217+'DOE25'!L235+'DOE25'!L278+'DOE25'!L297+'DOE25'!L316,0)</f>
        <v>4236274</v>
      </c>
      <c r="D11" s="131">
        <f>ROUND((C11/$C$28)*100,1)</f>
        <v>14.8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73196</v>
      </c>
      <c r="D13" s="131">
        <f>ROUND((C13/$C$28)*100,1)</f>
        <v>0.3</v>
      </c>
    </row>
    <row r="14" spans="1:4" x14ac:dyDescent="0.2">
      <c r="D14" s="131"/>
    </row>
    <row r="15" spans="1:4" x14ac:dyDescent="0.2">
      <c r="A15">
        <v>2100</v>
      </c>
      <c r="B15" t="s">
        <v>706</v>
      </c>
      <c r="C15" s="128">
        <f>ROUND('DOE25'!L203+'DOE25'!L221+'DOE25'!L239+'DOE25'!L282+'DOE25'!L301+'DOE25'!L320,0)</f>
        <v>2082072</v>
      </c>
      <c r="D15" s="131">
        <f t="shared" ref="D15:D27" si="0">ROUND((C15/$C$28)*100,1)</f>
        <v>7.3</v>
      </c>
    </row>
    <row r="16" spans="1:4" x14ac:dyDescent="0.2">
      <c r="A16">
        <v>2200</v>
      </c>
      <c r="B16" t="s">
        <v>707</v>
      </c>
      <c r="C16" s="128">
        <f>ROUND('DOE25'!L204+'DOE25'!L222+'DOE25'!L240+'DOE25'!L283+'DOE25'!L302+'DOE25'!L321,0)</f>
        <v>1124442</v>
      </c>
      <c r="D16" s="131">
        <f t="shared" si="0"/>
        <v>3.9</v>
      </c>
    </row>
    <row r="17" spans="1:4" x14ac:dyDescent="0.2">
      <c r="A17" s="132" t="s">
        <v>723</v>
      </c>
      <c r="B17" t="s">
        <v>738</v>
      </c>
      <c r="C17" s="128">
        <f>ROUND('DOE25'!L205+'DOE25'!L210+'DOE25'!L223+'DOE25'!L228+'DOE25'!L241+'DOE25'!L246+'DOE25'!L284+'DOE25'!L289+'DOE25'!L303+'DOE25'!L308+'DOE25'!L322+'DOE25'!L327,0)</f>
        <v>800558</v>
      </c>
      <c r="D17" s="131">
        <f t="shared" si="0"/>
        <v>2.8</v>
      </c>
    </row>
    <row r="18" spans="1:4" x14ac:dyDescent="0.2">
      <c r="A18">
        <v>2400</v>
      </c>
      <c r="B18" t="s">
        <v>711</v>
      </c>
      <c r="C18" s="128">
        <f>ROUND('DOE25'!L206+'DOE25'!L224+'DOE25'!L242+'DOE25'!L285+'DOE25'!L304+'DOE25'!L323,0)</f>
        <v>1057188</v>
      </c>
      <c r="D18" s="131">
        <f t="shared" si="0"/>
        <v>3.7</v>
      </c>
    </row>
    <row r="19" spans="1:4" x14ac:dyDescent="0.2">
      <c r="A19">
        <v>2500</v>
      </c>
      <c r="B19" t="s">
        <v>708</v>
      </c>
      <c r="C19" s="128">
        <f>ROUND('DOE25'!L207+'DOE25'!L225+'DOE25'!L243+'DOE25'!L286+'DOE25'!L305+'DOE25'!L324,0)</f>
        <v>247183</v>
      </c>
      <c r="D19" s="131">
        <f t="shared" si="0"/>
        <v>0.9</v>
      </c>
    </row>
    <row r="20" spans="1:4" x14ac:dyDescent="0.2">
      <c r="A20">
        <v>2600</v>
      </c>
      <c r="B20" t="s">
        <v>709</v>
      </c>
      <c r="C20" s="128">
        <f>ROUND('DOE25'!L208+'DOE25'!L226+'DOE25'!L244+'DOE25'!L287+'DOE25'!L306+'DOE25'!L325,0)</f>
        <v>2022708</v>
      </c>
      <c r="D20" s="131">
        <f t="shared" si="0"/>
        <v>7.1</v>
      </c>
    </row>
    <row r="21" spans="1:4" x14ac:dyDescent="0.2">
      <c r="A21">
        <v>2700</v>
      </c>
      <c r="B21" t="s">
        <v>710</v>
      </c>
      <c r="C21" s="128">
        <f>ROUND('DOE25'!L209+'DOE25'!L227+'DOE25'!L245+'DOE25'!L288+'DOE25'!L307+'DOE25'!L326,0)</f>
        <v>1270396</v>
      </c>
      <c r="D21" s="131">
        <f t="shared" si="0"/>
        <v>4.5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213999.81</v>
      </c>
      <c r="D27" s="131">
        <f t="shared" si="0"/>
        <v>0.7</v>
      </c>
    </row>
    <row r="28" spans="1:4" x14ac:dyDescent="0.2">
      <c r="B28" s="135" t="s">
        <v>719</v>
      </c>
      <c r="C28" s="129">
        <f>SUM(C10:C27)</f>
        <v>28538236.809999999</v>
      </c>
      <c r="D28" s="133">
        <f>ROUND(SUM(D10:D27),0)</f>
        <v>100</v>
      </c>
    </row>
    <row r="29" spans="1:4" x14ac:dyDescent="0.2">
      <c r="A29">
        <v>4000</v>
      </c>
      <c r="B29" t="s">
        <v>724</v>
      </c>
      <c r="C29" s="128">
        <f>ROUND('DOE25'!L256+'DOE25'!L337+'DOE25'!L375+'DOE25'!L376+'DOE25'!L377+'DOE25'!L378+'DOE25'!L379+'DOE25'!L380+'DOE25'!L381,0)</f>
        <v>260453</v>
      </c>
    </row>
    <row r="30" spans="1:4" x14ac:dyDescent="0.2">
      <c r="B30" s="135" t="s">
        <v>725</v>
      </c>
      <c r="C30" s="129">
        <f>SUM(C28:C29)</f>
        <v>28798689.809999999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20463950</v>
      </c>
      <c r="D35" s="131">
        <f t="shared" ref="D35:D40" si="1">ROUND((C35/$C$41)*100,1)</f>
        <v>70.900000000000006</v>
      </c>
    </row>
    <row r="36" spans="1:4" x14ac:dyDescent="0.2">
      <c r="B36" s="71" t="s">
        <v>739</v>
      </c>
      <c r="C36" s="128">
        <f>SUM('DOE25'!F112:J112)-SUM('DOE25'!G97:G110)+('DOE25'!F175+'DOE25'!F176+'DOE25'!I175+'DOE25'!I176)-C35</f>
        <v>231045.89999999851</v>
      </c>
      <c r="D36" s="131">
        <f t="shared" si="1"/>
        <v>0.8</v>
      </c>
    </row>
    <row r="37" spans="1:4" x14ac:dyDescent="0.2">
      <c r="A37" s="132" t="s">
        <v>831</v>
      </c>
      <c r="B37" s="71" t="s">
        <v>728</v>
      </c>
      <c r="C37" s="128">
        <f>ROUND('DOE25'!F117+'DOE25'!F118,0)</f>
        <v>7063786</v>
      </c>
      <c r="D37" s="131">
        <f t="shared" si="1"/>
        <v>24.5</v>
      </c>
    </row>
    <row r="38" spans="1:4" x14ac:dyDescent="0.2">
      <c r="A38" s="132" t="s">
        <v>734</v>
      </c>
      <c r="B38" s="71" t="s">
        <v>729</v>
      </c>
      <c r="C38" s="128">
        <f>ROUND(SUM('DOE25'!F140:J140)-SUM('DOE25'!F117:F119),0)</f>
        <v>72600</v>
      </c>
      <c r="D38" s="131">
        <f t="shared" si="1"/>
        <v>0.3</v>
      </c>
    </row>
    <row r="39" spans="1:4" x14ac:dyDescent="0.2">
      <c r="A39">
        <v>4000</v>
      </c>
      <c r="B39" s="71" t="s">
        <v>730</v>
      </c>
      <c r="C39" s="128">
        <f>ROUND('DOE25'!F170+'DOE25'!G170+'DOE25'!H170+'DOE25'!I170,0)</f>
        <v>1041337</v>
      </c>
      <c r="D39" s="131">
        <f t="shared" si="1"/>
        <v>3.6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28872718.899999999</v>
      </c>
      <c r="D41" s="133">
        <f>SUM(D35:D40)</f>
        <v>100.1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ColWidth="8.6640625" defaultRowHeight="11.25" x14ac:dyDescent="0.2"/>
  <cols>
    <col min="1" max="1" width="10.16406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Barrington</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ColWidth="8.6640625" defaultRowHeight="11.25" x14ac:dyDescent="0.2"/>
  <cols>
    <col min="2" max="2" width="35.1640625" customWidth="1"/>
    <col min="3" max="3" width="46.6640625" customWidth="1"/>
    <col min="4" max="4" width="10.16406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1640625" customWidth="1"/>
    <col min="18" max="21" width="17.5" customWidth="1"/>
    <col min="22" max="22" width="13" customWidth="1"/>
    <col min="24" max="24" width="17.6640625" customWidth="1"/>
    <col min="25" max="25" width="31.6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16</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4</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72</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f>IF('School Level Expenditures'!$B$2='School Tables'!L7,'School Tables'!S7,"")</f>
        <v>4</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f>IF('School Level Expenditures'!$B$2=A19,'School Tables'!H19,"")</f>
        <v>16</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f>IF('School Level Expenditures'!$B$2=A75,'School Tables'!H75,"")</f>
        <v>72</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38.2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63.75"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63.75"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2024-09-06T13:58:35Z</cp:lastPrinted>
  <dcterms:created xsi:type="dcterms:W3CDTF">1997-12-04T19:04:30Z</dcterms:created>
  <dcterms:modified xsi:type="dcterms:W3CDTF">2024-09-12T16:43:37Z</dcterms:modified>
</cp:coreProperties>
</file>