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55E6C8D1-B7A4-4837-91B3-48CCD80DA1D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44" i="1" l="1"/>
  <c r="G543" i="1"/>
  <c r="G542" i="1"/>
  <c r="F544" i="1"/>
  <c r="F543" i="1"/>
  <c r="F542" i="1"/>
  <c r="J592" i="1"/>
  <c r="I592" i="1"/>
  <c r="I593" i="1"/>
  <c r="J593" i="1"/>
  <c r="H593" i="1"/>
  <c r="H592" i="1"/>
  <c r="F110" i="1"/>
  <c r="O9" i="14"/>
  <c r="O8" i="14"/>
  <c r="O7" i="14"/>
  <c r="O6" i="14"/>
  <c r="O27" i="14"/>
  <c r="O40" i="14"/>
  <c r="P9" i="14"/>
  <c r="P8" i="14"/>
  <c r="P7" i="14"/>
  <c r="P6" i="14"/>
  <c r="P40" i="14"/>
  <c r="P27" i="14"/>
  <c r="C20" i="12"/>
  <c r="B20" i="12"/>
  <c r="D9" i="14"/>
  <c r="D7" i="14"/>
  <c r="D8" i="14"/>
  <c r="D6" i="14"/>
  <c r="K9" i="14"/>
  <c r="K8" i="14"/>
  <c r="K7" i="14"/>
  <c r="K6" i="14"/>
  <c r="L6" i="14"/>
  <c r="L9" i="14"/>
  <c r="L8" i="14"/>
  <c r="L7" i="14"/>
  <c r="M6" i="14"/>
  <c r="M9" i="14"/>
  <c r="M8" i="14"/>
  <c r="M7" i="14"/>
  <c r="N9" i="14"/>
  <c r="N8" i="14"/>
  <c r="N7" i="14"/>
  <c r="N6" i="14"/>
  <c r="C37" i="12"/>
  <c r="B37" i="12"/>
  <c r="N40" i="14"/>
  <c r="M40" i="14"/>
  <c r="L40" i="14"/>
  <c r="K40" i="14"/>
  <c r="K27" i="14"/>
  <c r="L27" i="14"/>
  <c r="M27" i="14"/>
  <c r="N27" i="14"/>
  <c r="D5" i="14"/>
  <c r="D40" i="14"/>
  <c r="D39" i="14"/>
  <c r="D27" i="14"/>
  <c r="D26" i="14"/>
  <c r="C10" i="12"/>
  <c r="B10" i="12"/>
  <c r="C12" i="12"/>
  <c r="B12" i="12"/>
  <c r="C11" i="12"/>
  <c r="B11" i="12"/>
  <c r="C19" i="12"/>
  <c r="B19" i="12"/>
  <c r="G527" i="1"/>
  <c r="F527" i="1"/>
  <c r="G522" i="1"/>
  <c r="F522" i="1"/>
  <c r="G528" i="1"/>
  <c r="F528" i="1"/>
  <c r="G523" i="1"/>
  <c r="F523" i="1"/>
  <c r="G534" i="1"/>
  <c r="F534" i="1"/>
  <c r="G529" i="1"/>
  <c r="F529" i="1"/>
  <c r="G524" i="1"/>
  <c r="F524" i="1"/>
  <c r="G533" i="1"/>
  <c r="F533" i="1"/>
  <c r="G532" i="1"/>
  <c r="F532" i="1"/>
  <c r="H583" i="1"/>
  <c r="F583" i="1"/>
  <c r="G244" i="1"/>
  <c r="F244" i="1"/>
  <c r="G242" i="1"/>
  <c r="F242" i="1"/>
  <c r="G239" i="1"/>
  <c r="F239" i="1"/>
  <c r="G235" i="1"/>
  <c r="F235" i="1"/>
  <c r="G234" i="1"/>
  <c r="F234" i="1"/>
  <c r="G216" i="1"/>
  <c r="F216" i="1"/>
  <c r="G217" i="1"/>
  <c r="F217" i="1"/>
  <c r="G221" i="1"/>
  <c r="F221" i="1"/>
  <c r="G224" i="1"/>
  <c r="F224" i="1"/>
  <c r="G226" i="1"/>
  <c r="F226" i="1"/>
  <c r="G208" i="1"/>
  <c r="F208" i="1"/>
  <c r="G206" i="1"/>
  <c r="F206" i="1"/>
  <c r="G203" i="1"/>
  <c r="F203" i="1"/>
  <c r="G199" i="1"/>
  <c r="F199" i="1"/>
  <c r="G198" i="1"/>
  <c r="F198" i="1"/>
  <c r="G252" i="1"/>
  <c r="F252" i="1"/>
  <c r="F473" i="1"/>
  <c r="E6" i="14"/>
  <c r="E9" i="14"/>
  <c r="E8" i="14"/>
  <c r="E7" i="14"/>
  <c r="K269" i="1"/>
  <c r="H585" i="1"/>
  <c r="K534" i="1"/>
  <c r="K533" i="1"/>
  <c r="K532" i="1"/>
  <c r="J534" i="1"/>
  <c r="J533" i="1"/>
  <c r="J532" i="1"/>
  <c r="I524" i="1"/>
  <c r="I523" i="1"/>
  <c r="I522" i="1"/>
  <c r="H544" i="1"/>
  <c r="H543" i="1"/>
  <c r="H542" i="1"/>
  <c r="H534" i="1"/>
  <c r="H533" i="1"/>
  <c r="H532" i="1"/>
  <c r="H524" i="1"/>
  <c r="H235" i="1"/>
  <c r="H529" i="1"/>
  <c r="H217" i="1"/>
  <c r="H528" i="1"/>
  <c r="H199" i="1"/>
  <c r="H527" i="1"/>
  <c r="H522" i="1"/>
  <c r="I199" i="1"/>
  <c r="I235" i="1"/>
  <c r="I217" i="1"/>
  <c r="I563" i="1"/>
  <c r="I564" i="1"/>
  <c r="K199" i="1"/>
  <c r="K217" i="1"/>
  <c r="K569" i="1"/>
  <c r="K568" i="1"/>
  <c r="H227" i="1"/>
  <c r="H219" i="1"/>
  <c r="H245" i="1"/>
  <c r="H237" i="1"/>
  <c r="J605" i="1"/>
  <c r="I605" i="1"/>
  <c r="H605" i="1"/>
  <c r="H244" i="1"/>
  <c r="J241" i="1"/>
  <c r="J242" i="1"/>
  <c r="I244" i="1"/>
  <c r="I240" i="1"/>
  <c r="H241" i="1"/>
  <c r="H240" i="1"/>
  <c r="H246" i="1"/>
  <c r="J223" i="1"/>
  <c r="J224" i="1"/>
  <c r="I226" i="1"/>
  <c r="I222" i="1"/>
  <c r="H226" i="1"/>
  <c r="H223" i="1"/>
  <c r="H222" i="1"/>
  <c r="H228" i="1"/>
  <c r="J205" i="1"/>
  <c r="J206" i="1"/>
  <c r="I208" i="1"/>
  <c r="I204" i="1"/>
  <c r="H209" i="1"/>
  <c r="H208" i="1"/>
  <c r="H205" i="1"/>
  <c r="H204" i="1"/>
  <c r="H210" i="1"/>
  <c r="H239" i="1"/>
  <c r="I237" i="1"/>
  <c r="H234" i="1"/>
  <c r="H221" i="1"/>
  <c r="I219" i="1"/>
  <c r="H216" i="1"/>
  <c r="H203" i="1"/>
  <c r="H198" i="1"/>
  <c r="H321" i="1"/>
  <c r="H302" i="1"/>
  <c r="H283" i="1"/>
  <c r="H320" i="1"/>
  <c r="H301" i="1"/>
  <c r="H282" i="1"/>
  <c r="F320" i="1"/>
  <c r="F301" i="1"/>
  <c r="F282" i="1"/>
  <c r="F316" i="1"/>
  <c r="F297" i="1"/>
  <c r="F278" i="1"/>
  <c r="J204" i="1"/>
  <c r="K244" i="1"/>
  <c r="K243" i="1"/>
  <c r="K241" i="1"/>
  <c r="K240" i="1"/>
  <c r="J244" i="1"/>
  <c r="J240" i="1"/>
  <c r="I242" i="1"/>
  <c r="I241" i="1"/>
  <c r="I239" i="1"/>
  <c r="I234" i="1"/>
  <c r="H243" i="1"/>
  <c r="K226" i="1"/>
  <c r="K225" i="1"/>
  <c r="K223" i="1"/>
  <c r="J226" i="1"/>
  <c r="J222" i="1"/>
  <c r="I224" i="1"/>
  <c r="I221" i="1"/>
  <c r="I216" i="1"/>
  <c r="H225" i="1"/>
  <c r="K208" i="1"/>
  <c r="K207" i="1"/>
  <c r="K205" i="1"/>
  <c r="K204" i="1"/>
  <c r="J208" i="1"/>
  <c r="I206" i="1"/>
  <c r="I205" i="1"/>
  <c r="I203" i="1"/>
  <c r="I198" i="1"/>
  <c r="H207" i="1"/>
  <c r="K242" i="1"/>
  <c r="K237" i="1"/>
  <c r="K234" i="1"/>
  <c r="J237" i="1"/>
  <c r="J234" i="1"/>
  <c r="H242" i="1"/>
  <c r="H236" i="1"/>
  <c r="K224" i="1"/>
  <c r="K219" i="1"/>
  <c r="J216" i="1"/>
  <c r="H224" i="1"/>
  <c r="K206" i="1"/>
  <c r="J198" i="1"/>
  <c r="H206" i="1"/>
  <c r="J203" i="1"/>
  <c r="H278" i="1"/>
  <c r="F18" i="1"/>
  <c r="F29" i="1"/>
  <c r="F28" i="1"/>
  <c r="F14" i="1"/>
  <c r="F9" i="1"/>
  <c r="F10" i="1"/>
  <c r="F469" i="1"/>
  <c r="F96" i="1"/>
  <c r="F69" i="1"/>
  <c r="F63" i="1"/>
  <c r="I503" i="1"/>
  <c r="I500" i="1"/>
  <c r="H503" i="1"/>
  <c r="G503" i="1"/>
  <c r="F503" i="1"/>
  <c r="I176" i="1" l="1"/>
  <c r="H162" i="1"/>
  <c r="H155" i="1"/>
  <c r="G97" i="1"/>
  <c r="G110" i="1"/>
  <c r="G40" i="1"/>
  <c r="F361" i="1"/>
  <c r="F360" i="1"/>
  <c r="H369" i="1"/>
  <c r="G369" i="1"/>
  <c r="F369" i="1"/>
  <c r="H368" i="1"/>
  <c r="G368" i="1"/>
  <c r="F36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F147" i="1"/>
  <c r="F170" i="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D79" i="2"/>
  <c r="E79" i="2"/>
  <c r="C80" i="2"/>
  <c r="E80" i="2"/>
  <c r="C85" i="2"/>
  <c r="C87" i="2"/>
  <c r="E87" i="2"/>
  <c r="F87" i="2"/>
  <c r="C89" i="2"/>
  <c r="D89" i="2"/>
  <c r="E89" i="2"/>
  <c r="F89" i="2"/>
  <c r="C90" i="2"/>
  <c r="H90" i="2" s="1"/>
  <c r="C93" i="2"/>
  <c r="F93" i="2"/>
  <c r="H93" i="2" s="1"/>
  <c r="C94" i="2"/>
  <c r="H94" i="2" s="1"/>
  <c r="F94" i="2"/>
  <c r="D96" i="2"/>
  <c r="E96" i="2"/>
  <c r="F96" i="2"/>
  <c r="G96" i="2"/>
  <c r="C97" i="2"/>
  <c r="D97" i="2"/>
  <c r="E97" i="2"/>
  <c r="F97" i="2"/>
  <c r="G97" i="2"/>
  <c r="C98" i="2"/>
  <c r="D98" i="2"/>
  <c r="E98" i="2"/>
  <c r="G98" i="2"/>
  <c r="C99" i="2"/>
  <c r="D99" i="2"/>
  <c r="E99" i="2"/>
  <c r="F99" i="2"/>
  <c r="C100" i="2"/>
  <c r="D100" i="2"/>
  <c r="E100" i="2"/>
  <c r="F100" i="2"/>
  <c r="C101" i="2"/>
  <c r="H101" i="2" s="1"/>
  <c r="D101" i="2"/>
  <c r="E101" i="2"/>
  <c r="F101" i="2"/>
  <c r="C102" i="2"/>
  <c r="D102" i="2"/>
  <c r="E102" i="2"/>
  <c r="F102" i="2"/>
  <c r="D115" i="2"/>
  <c r="F115" i="2"/>
  <c r="G115" i="2"/>
  <c r="E124"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2" i="1"/>
  <c r="H653" i="1"/>
  <c r="G654" i="1"/>
  <c r="H654" i="1"/>
  <c r="H655" i="1"/>
  <c r="H656" i="1"/>
  <c r="I170" i="1"/>
  <c r="C112" i="2" l="1"/>
  <c r="J652" i="1"/>
  <c r="I409" i="1"/>
  <c r="H9" i="2"/>
  <c r="I112" i="1"/>
  <c r="E120" i="2"/>
  <c r="J140" i="1"/>
  <c r="H143" i="2"/>
  <c r="H26" i="2"/>
  <c r="G409" i="1"/>
  <c r="H646" i="1" s="1"/>
  <c r="H98" i="2"/>
  <c r="H22" i="2"/>
  <c r="H47" i="2"/>
  <c r="H34" i="2"/>
  <c r="H13" i="2"/>
  <c r="H28" i="2"/>
  <c r="H80" i="2"/>
  <c r="H100" i="2"/>
  <c r="H79" i="2"/>
  <c r="H73" i="2"/>
  <c r="H97" i="2"/>
  <c r="H36" i="2"/>
  <c r="H43" i="2"/>
  <c r="H48" i="2"/>
  <c r="H24" i="2"/>
  <c r="H96" i="2"/>
  <c r="H89" i="2"/>
  <c r="H72" i="2"/>
  <c r="H102" i="2"/>
  <c r="H99" i="2"/>
  <c r="H15" i="2"/>
  <c r="G62" i="2"/>
  <c r="H38" i="2"/>
  <c r="H44" i="2"/>
  <c r="H87" i="2"/>
  <c r="H35" i="2"/>
  <c r="H29" i="2"/>
  <c r="H113" i="2"/>
  <c r="H69" i="2"/>
  <c r="H17" i="2"/>
  <c r="H11" i="2"/>
  <c r="C125" i="2"/>
  <c r="H125" i="2" s="1"/>
  <c r="G663" i="1"/>
  <c r="C120" i="2"/>
  <c r="H120" i="2" s="1"/>
  <c r="E13" i="13"/>
  <c r="C13" i="13" s="1"/>
  <c r="H132" i="2"/>
  <c r="C32" i="10"/>
  <c r="H112" i="2"/>
  <c r="C13" i="10"/>
  <c r="D15" i="13"/>
  <c r="C15" i="13" s="1"/>
  <c r="C119" i="2"/>
  <c r="K2" i="14"/>
  <c r="K3" i="14" s="1"/>
  <c r="C12" i="10"/>
  <c r="K36" i="14"/>
  <c r="K37" i="14" s="1"/>
  <c r="H27" i="2"/>
  <c r="H12" i="2"/>
  <c r="H8" i="2"/>
  <c r="H61" i="2"/>
  <c r="H59" i="2"/>
  <c r="G646" i="1"/>
  <c r="H23" i="2"/>
  <c r="H477" i="1"/>
  <c r="H625" i="1" s="1"/>
  <c r="J625" i="1" s="1"/>
  <c r="G662" i="1"/>
  <c r="D29" i="13"/>
  <c r="C29" i="13" s="1"/>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57" i="2"/>
  <c r="H78" i="2"/>
  <c r="H16" i="2"/>
  <c r="H85" i="2"/>
  <c r="H21" i="2"/>
  <c r="H42" i="2"/>
  <c r="H114" i="2"/>
  <c r="I663" i="1"/>
  <c r="H123" i="2"/>
  <c r="H119" i="2"/>
  <c r="H50" i="2"/>
  <c r="H18" i="2"/>
  <c r="C81" i="2"/>
  <c r="H81" i="2" s="1"/>
  <c r="G144" i="2"/>
  <c r="G145" i="2" s="1"/>
  <c r="H134" i="2"/>
  <c r="F194" i="1"/>
  <c r="G628" i="1" s="1"/>
  <c r="J628" i="1" s="1"/>
  <c r="H103" i="2"/>
  <c r="H91" i="2"/>
  <c r="D51" i="2"/>
  <c r="H31" i="2"/>
  <c r="D128" i="2"/>
  <c r="D145" i="2" s="1"/>
  <c r="H127" i="2"/>
  <c r="I662" i="1"/>
  <c r="D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C104" i="2"/>
  <c r="D104" i="2"/>
  <c r="H104" i="2"/>
  <c r="C144" i="2"/>
  <c r="H144"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rgb="FF000000"/>
            <rFont val="Tahoma"/>
            <family val="2"/>
          </rPr>
          <t>Total Current Assets equal Total Liabilities &amp; Equity for Capital Projects Fund 30</t>
        </r>
        <r>
          <rPr>
            <sz val="9"/>
            <color rgb="FF000000"/>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rgb="FF000000"/>
            <rFont val="Tahoma"/>
            <family val="2"/>
          </rPr>
          <t>Total Fund Equity on Balance Sheet equals ending fund balance on page 19 for All Other Special Revenue Fund 22</t>
        </r>
        <r>
          <rPr>
            <sz val="9"/>
            <color rgb="FF000000"/>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rgb="FF000000"/>
            <rFont val="Tahoma"/>
            <family val="2"/>
          </rPr>
          <t>Total Expenditures for Page 15 line 17 equals page 19 Expenditures for Capital Fund 30</t>
        </r>
        <r>
          <rPr>
            <sz val="9"/>
            <color rgb="FF000000"/>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rgb="FF000000"/>
            <rFont val="Tahoma"/>
            <family val="2"/>
          </rPr>
          <t>Total Trust Fund Expenditures on page 17, line 20 equals Expenditures reported on Page 19 for Trust Agency Fund 70</t>
        </r>
        <r>
          <rPr>
            <sz val="9"/>
            <color rgb="FF000000"/>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rgb="FF000000"/>
            <rFont val="Tahoma"/>
            <family val="2"/>
          </rPr>
          <t>Total Current Trust Assets equal Total Liabilities and Equity on Page 18, column 2 for Other Expendable</t>
        </r>
        <r>
          <rPr>
            <sz val="9"/>
            <color rgb="FF000000"/>
            <rFont val="Tahoma"/>
            <family val="2"/>
          </rPr>
          <t xml:space="preserve">
</t>
        </r>
      </text>
    </comment>
    <comment ref="J642" authorId="1" shapeId="0" xr:uid="{00000000-0006-0000-0000-000024000000}">
      <text>
        <r>
          <rPr>
            <b/>
            <sz val="9"/>
            <color rgb="FF000000"/>
            <rFont val="Tahoma"/>
            <family val="2"/>
          </rPr>
          <t>Total Current Trust Assets equal Total Liabilities and Equity on Page 18, column 3 for Non-Expendable</t>
        </r>
        <r>
          <rPr>
            <sz val="9"/>
            <color rgb="FF000000"/>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rgb="FF000000"/>
            <rFont val="Tahoma"/>
            <family val="2"/>
          </rPr>
          <t xml:space="preserve">Total Appropriation for Trust Fund Page 2, Column 5 equals Page 16, column 1 line 20 Total Appropriations </t>
        </r>
        <r>
          <rPr>
            <sz val="9"/>
            <color rgb="FF000000"/>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rgb="FF000000"/>
            <rFont val="Tahoma"/>
            <family val="2"/>
          </rPr>
          <t>Welch, Matthew:</t>
        </r>
        <r>
          <rPr>
            <sz val="9"/>
            <color rgb="FF000000"/>
            <rFont val="Tahoma"/>
            <family val="2"/>
          </rPr>
          <t xml:space="preserve">
</t>
        </r>
        <r>
          <rPr>
            <sz val="9"/>
            <color rgb="FF000000"/>
            <rFont val="Tahoma"/>
            <family val="2"/>
          </rPr>
          <t>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rgb="FF000000"/>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<sst xmlns="http://schemas.openxmlformats.org/spreadsheetml/2006/main" count="6658" uniqueCount="1855">
  <si>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</si>
  <si>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</si>
  <si>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</si>
  <si>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</si>
  <si>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</si>
  <si>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</si>
  <si>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</si>
  <si>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</si>
  <si>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</si>
  <si>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</si>
  <si>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</si>
  <si>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</si>
  <si>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</si>
  <si>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</si>
  <si>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</si>
  <si>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</si>
  <si>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</si>
  <si>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</si>
  <si>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</si>
  <si>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</si>
  <si>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</si>
  <si>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</si>
  <si>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</si>
  <si>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</si>
  <si>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</si>
  <si>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</si>
  <si>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</si>
  <si>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</si>
  <si>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</si>
  <si>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</si>
  <si>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</si>
  <si>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</si>
  <si>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</si>
  <si>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</si>
  <si>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</si>
  <si>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</si>
  <si>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</si>
  <si>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</si>
  <si>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</si>
  <si>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</si>
  <si>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</si>
  <si>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</si>
  <si>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</si>
  <si>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</si>
  <si>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</si>
  <si>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</si>
  <si>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</si>
  <si>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</si>
  <si>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</si>
  <si>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</si>
  <si>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</si>
  <si>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</si>
  <si>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</si>
  <si>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</si>
  <si>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</si>
  <si>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</si>
  <si>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</si>
  <si>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</si>
  <si>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</si>
  <si>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</si>
  <si>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</si>
  <si>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</si>
  <si>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</si>
  <si>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</si>
  <si>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</si>
  <si>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</si>
  <si>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</si>
  <si>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</si>
  <si>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</si>
  <si>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</si>
  <si>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</si>
  <si>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</si>
  <si>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</si>
  <si>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</si>
  <si>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</si>
  <si>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</si>
  <si>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</si>
  <si>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</si>
  <si>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</si>
  <si>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</si>
  <si>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</si>
  <si>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</si>
  <si>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</si>
  <si>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</si>
  <si>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</si>
  <si>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</si>
  <si>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</si>
  <si>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</si>
  <si>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</si>
  <si>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</si>
  <si>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</si>
  <si>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</si>
  <si>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</si>
  <si>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</si>
  <si>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</si>
  <si>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</si>
  <si>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</si>
  <si>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</si>
  <si>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</si>
  <si>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</si>
  <si>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</si>
  <si>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</si>
  <si>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</si>
  <si>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</si>
  <si>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</si>
  <si>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</si>
  <si>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</si>
  <si>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</si>
  <si>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</si>
  <si>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</si>
  <si>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</si>
  <si>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</si>
  <si>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</si>
  <si>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</si>
  <si>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</si>
  <si>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</si>
  <si>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</si>
  <si>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</si>
  <si>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</si>
  <si>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</si>
  <si>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</si>
  <si>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</si>
  <si>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</si>
  <si>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</si>
  <si>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</si>
  <si>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</si>
  <si>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</si>
  <si>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</si>
  <si>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</si>
  <si>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</si>
  <si>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</si>
  <si>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</si>
  <si>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</si>
  <si>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</si>
  <si>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</si>
  <si>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</si>
  <si>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</si>
  <si>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</si>
  <si>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</si>
  <si>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</si>
  <si>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</si>
  <si>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</si>
  <si>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</si>
  <si>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</si>
  <si>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</si>
  <si>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</si>
  <si>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</si>
  <si>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</si>
  <si>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</si>
  <si>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</si>
  <si>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</si>
  <si>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</si>
  <si>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</si>
  <si>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</si>
  <si>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</si>
  <si>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</si>
  <si>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</si>
  <si>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</si>
  <si>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</si>
  <si>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</si>
  <si>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</si>
  <si>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</si>
  <si>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</si>
  <si>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</si>
  <si>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</si>
  <si>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</si>
  <si>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</si>
  <si>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</si>
  <si>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</si>
  <si>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</si>
  <si>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</si>
  <si>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</si>
  <si>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</si>
  <si>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</si>
  <si>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</si>
  <si>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</si>
  <si>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</si>
  <si>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</si>
  <si>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</si>
  <si>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</si>
  <si>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</si>
  <si>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</si>
  <si>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</si>
  <si>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</si>
  <si>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</si>
  <si>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</si>
  <si>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</si>
  <si>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</si>
  <si>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</si>
  <si>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</si>
  <si>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</si>
  <si>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</si>
  <si>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</si>
  <si>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</si>
  <si>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</si>
  <si>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</si>
  <si>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</si>
  <si>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</si>
  <si>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</si>
  <si>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</si>
  <si>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</si>
  <si>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</si>
  <si>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</si>
  <si>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</si>
  <si>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</si>
  <si>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</si>
  <si>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</si>
  <si>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</si>
  <si>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</si>
  <si>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</si>
  <si>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</si>
  <si>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</si>
  <si>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</si>
  <si>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</si>
  <si>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</si>
  <si>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</si>
  <si>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</si>
  <si>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</si>
  <si>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</si>
  <si>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</si>
  <si>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</si>
  <si>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</si>
  <si>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</si>
  <si>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</si>
  <si>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</si>
  <si>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</si>
  <si>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</si>
  <si>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</si>
  <si>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</si>
  <si>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</si>
  <si>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</si>
  <si>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</si>
  <si>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</si>
  <si>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</si>
  <si>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</si>
  <si>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</si>
  <si>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</si>
  <si>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</si>
  <si>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</si>
  <si>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</si>
  <si>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</si>
  <si>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</si>
  <si>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</si>
  <si>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</si>
  <si>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</si>
  <si>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</si>
  <si>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</si>
  <si>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</si>
  <si>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</si>
  <si>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</si>
  <si>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</si>
  <si>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</si>
  <si>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</si>
  <si>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</si>
  <si>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</si>
  <si>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</si>
  <si>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</si>
  <si>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</si>
  <si>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</si>
  <si>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</si>
  <si>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</si>
  <si>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</si>
  <si>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</si>
  <si>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</si>
  <si>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</si>
  <si>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</si>
  <si>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</si>
  <si>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</si>
  <si>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</si>
  <si>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</si>
  <si>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</si>
  <si>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</si>
  <si>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</si>
  <si>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</si>
  <si>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</si>
  <si>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</si>
  <si>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</si>
  <si>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</si>
  <si>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</si>
  <si>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</si>
  <si>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</si>
  <si>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</si>
  <si>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</si>
  <si>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</si>
  <si>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</si>
  <si>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</si>
  <si>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</si>
  <si>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</si>
  <si>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</si>
  <si>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</si>
  <si>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</si>
  <si>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</si>
  <si>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</si>
  <si>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</si>
  <si>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</si>
  <si>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</si>
  <si>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</si>
  <si>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</si>
  <si>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</si>
  <si>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</si>
  <si>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</si>
  <si>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</si>
  <si>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</si>
  <si>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</si>
  <si>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</si>
  <si>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</si>
  <si>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</si>
  <si>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</si>
  <si>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</si>
  <si>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</si>
  <si>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</si>
  <si>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</si>
  <si>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</si>
  <si>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</si>
  <si>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</si>
  <si>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</si>
  <si>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</si>
  <si>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</si>
  <si>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</si>
  <si>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</si>
  <si>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</si>
  <si>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</si>
  <si>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</si>
  <si>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</si>
  <si>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</si>
  <si>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</si>
  <si>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</si>
  <si>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</si>
  <si>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</si>
  <si>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</si>
  <si>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</si>
  <si>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</si>
  <si>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</si>
  <si>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</si>
  <si>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</si>
  <si>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</si>
  <si>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</si>
  <si>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</si>
  <si>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</si>
  <si>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</si>
  <si>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</si>
  <si>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</si>
  <si>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</si>
  <si>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</si>
  <si>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</si>
  <si>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</si>
  <si>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</si>
  <si>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</si>
  <si>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</si>
  <si>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</si>
  <si>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</si>
  <si>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</si>
  <si>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</si>
  <si>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</si>
  <si>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</si>
  <si>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</si>
  <si>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</si>
  <si>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</si>
  <si>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</si>
  <si>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</si>
  <si>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</si>
  <si>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</si>
  <si>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</si>
  <si>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</si>
  <si>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</si>
  <si>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</si>
  <si>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</si>
  <si>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</si>
  <si>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</si>
  <si>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</si>
  <si>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</si>
  <si>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</si>
  <si>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</si>
  <si>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</si>
  <si>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</si>
  <si>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</si>
  <si>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</si>
  <si>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</si>
  <si>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</si>
  <si>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</si>
  <si>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</si>
  <si>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</si>
  <si>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</si>
  <si>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</si>
  <si>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</si>
  <si>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</si>
  <si>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</si>
  <si>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</si>
  <si>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</si>
  <si>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</si>
  <si>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</si>
  <si>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</si>
  <si>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</si>
  <si>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</si>
  <si>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</si>
  <si>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</si>
  <si>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</si>
  <si>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</si>
  <si>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</si>
  <si>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</si>
  <si>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</si>
  <si>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</si>
  <si>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</si>
  <si>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</si>
  <si>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</si>
  <si>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</si>
  <si>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</si>
  <si>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</si>
  <si>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</si>
  <si>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</si>
  <si>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</si>
  <si>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</si>
  <si>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</si>
  <si>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</si>
  <si>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</si>
  <si>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</si>
  <si>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</si>
  <si>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</si>
  <si>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</si>
  <si>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</si>
  <si>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</si>
  <si>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</si>
  <si>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</si>
  <si>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</si>
  <si>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</si>
  <si>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</si>
  <si>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</si>
  <si>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</si>
  <si>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</si>
  <si>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</si>
  <si>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</si>
  <si>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</si>
  <si>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</si>
  <si>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</si>
  <si>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</si>
  <si>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</si>
  <si>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</si>
  <si>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</si>
  <si>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</si>
  <si>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</si>
  <si>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</si>
  <si>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</si>
  <si>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</si>
  <si>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</si>
  <si>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</si>
  <si>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</si>
  <si>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</si>
  <si>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</si>
  <si>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</si>
  <si>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</si>
  <si>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</si>
  <si>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</si>
  <si>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</si>
  <si>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</si>
  <si>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</si>
  <si>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</si>
  <si>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</si>
  <si>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</si>
  <si>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</si>
  <si>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</si>
  <si>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</si>
  <si>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</si>
  <si>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</si>
  <si>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</si>
  <si>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</si>
  <si>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</si>
  <si>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</si>
  <si>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</si>
  <si>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</si>
  <si>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</si>
  <si>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</si>
  <si>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</si>
  <si>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</si>
  <si>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</si>
  <si>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</si>
  <si>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</si>
  <si>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</si>
  <si>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</si>
  <si>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</si>
  <si>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</si>
  <si>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</si>
  <si>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</si>
  <si>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</si>
  <si>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</si>
  <si>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</si>
  <si>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</si>
  <si>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</si>
  <si>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</si>
  <si>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</si>
  <si>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</si>
  <si>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</si>
  <si>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</si>
  <si>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</si>
  <si>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</si>
  <si>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</si>
  <si>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</si>
  <si>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</si>
  <si>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</si>
  <si>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</si>
  <si>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</si>
  <si>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</si>
  <si>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</si>
  <si>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</si>
  <si>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</si>
  <si>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</si>
  <si>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</si>
  <si>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</si>
  <si>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</si>
  <si>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</si>
  <si>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</si>
  <si>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</si>
  <si>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</si>
  <si>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</si>
  <si>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</si>
  <si>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</si>
  <si>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</si>
  <si>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</si>
  <si>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</si>
  <si>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</si>
  <si>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</si>
  <si>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</si>
  <si>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</si>
  <si>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</si>
  <si>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</si>
  <si>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</si>
  <si>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</si>
  <si>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</si>
  <si>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</si>
  <si>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</si>
  <si>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</si>
  <si>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</si>
  <si>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</si>
  <si>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</si>
  <si>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</si>
  <si>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</si>
  <si>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</si>
  <si>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</si>
  <si>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</si>
  <si>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</si>
  <si>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</si>
  <si>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</si>
  <si>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</si>
  <si>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</si>
  <si>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</si>
  <si>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</si>
  <si>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</si>
  <si>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</si>
  <si>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</si>
  <si>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</si>
  <si>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</si>
  <si>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</si>
  <si>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</si>
  <si>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</si>
  <si>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</si>
  <si>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</si>
  <si>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</si>
  <si>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</si>
  <si>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</si>
  <si>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</si>
  <si>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</si>
  <si>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</si>
  <si>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</si>
  <si>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</si>
  <si>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</si>
  <si>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</si>
  <si>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</si>
  <si>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</si>
  <si>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</si>
  <si>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</si>
  <si>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</si>
  <si>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</si>
  <si>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</si>
  <si>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</si>
  <si>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</si>
  <si>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</si>
  <si>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</si>
  <si>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</si>
  <si>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</si>
  <si>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</si>
  <si>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</si>
  <si>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</si>
  <si>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</si>
  <si>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</si>
  <si>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</si>
  <si>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</si>
  <si>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</si>
  <si>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</si>
  <si>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</si>
  <si>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</si>
  <si>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</si>
  <si>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</si>
  <si>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</si>
  <si>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</si>
  <si>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</si>
  <si>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</si>
  <si>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</si>
  <si>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</si>
  <si>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</si>
  <si>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</si>
  <si>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</si>
  <si>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</si>
  <si>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</si>
  <si>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</si>
  <si>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</si>
  <si>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</si>
  <si>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</si>
  <si>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</si>
  <si>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</si>
  <si>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</si>
  <si>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</si>
  <si>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</si>
  <si>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</si>
  <si>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</si>
  <si>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</si>
  <si>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</si>
  <si>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</si>
  <si>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</si>
  <si>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</si>
  <si>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</si>
  <si>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</si>
  <si>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</si>
  <si>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</si>
  <si>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</si>
  <si>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</si>
  <si>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</si>
  <si>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</si>
  <si>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</si>
  <si>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</si>
  <si>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</si>
  <si>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</si>
  <si>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</si>
  <si>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</si>
  <si>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</si>
  <si>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</si>
  <si>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</si>
  <si>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</si>
  <si>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</si>
  <si>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</si>
  <si>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</si>
  <si>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</si>
  <si>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</si>
  <si>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</si>
  <si>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</si>
  <si>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</si>
  <si>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</si>
  <si>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</si>
  <si>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</si>
  <si>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</si>
  <si>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</si>
  <si>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</si>
  <si>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</si>
  <si>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</si>
  <si>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</si>
  <si>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</si>
  <si>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</si>
  <si>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</si>
  <si>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</si>
  <si>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</si>
  <si>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</si>
  <si>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</si>
  <si>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</si>
  <si>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</si>
  <si>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</si>
  <si>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</si>
  <si>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</si>
  <si>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</si>
  <si>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</si>
  <si>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</si>
  <si>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</si>
  <si>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</si>
  <si>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</si>
  <si>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</si>
  <si>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</si>
  <si>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</si>
  <si>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</si>
  <si>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</si>
  <si>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</si>
  <si>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</si>
  <si>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</si>
  <si>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</si>
  <si>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</si>
  <si>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</si>
  <si>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</si>
  <si>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</si>
  <si>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</si>
  <si>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</si>
  <si>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</si>
  <si>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</si>
  <si>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</si>
  <si>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</si>
  <si>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</si>
  <si>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</si>
  <si>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</si>
  <si>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</si>
  <si>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</si>
  <si>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</si>
  <si>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</si>
  <si>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</si>
  <si>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</si>
  <si>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</si>
  <si>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</si>
  <si>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</si>
  <si>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</si>
  <si>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</si>
  <si>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</si>
  <si>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</si>
  <si>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</si>
  <si>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</si>
  <si>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</si>
  <si>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</si>
  <si>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</si>
  <si>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</si>
  <si>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</si>
  <si>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</si>
  <si>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</si>
  <si>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</si>
  <si>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</si>
  <si>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</si>
  <si>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</si>
  <si>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</si>
  <si>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</si>
  <si>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</si>
  <si>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</si>
  <si>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</si>
  <si>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</si>
  <si>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</si>
  <si>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</si>
  <si>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</si>
  <si>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</si>
  <si>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</si>
  <si>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</si>
  <si>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</si>
  <si>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</si>
  <si>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</si>
  <si>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</si>
  <si>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</si>
  <si>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</si>
  <si>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</si>
  <si>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</si>
  <si>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</si>
  <si>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</si>
  <si>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</si>
  <si>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</si>
  <si>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</si>
  <si>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</si>
  <si>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</si>
  <si>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</si>
  <si>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</si>
  <si>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</si>
  <si>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</si>
  <si>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</si>
  <si>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</si>
  <si>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</si>
  <si>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</si>
  <si>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</si>
  <si>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</si>
  <si>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</si>
  <si>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</si>
  <si>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</si>
  <si>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</si>
  <si>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</si>
  <si>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</si>
  <si>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</si>
  <si>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</si>
  <si>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</si>
  <si>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</si>
  <si>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</si>
  <si>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</si>
  <si>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</si>
  <si>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</si>
  <si>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</si>
  <si>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</si>
  <si>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</si>
  <si>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</si>
  <si>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</si>
  <si>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</si>
  <si>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</si>
  <si>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</si>
  <si>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</si>
  <si>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</si>
  <si>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</si>
  <si>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</si>
  <si>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</si>
  <si>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</si>
  <si>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</si>
  <si>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</si>
  <si>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</si>
  <si>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</si>
  <si>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</si>
  <si>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</si>
  <si>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</si>
  <si>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</si>
  <si>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</si>
  <si>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</si>
  <si>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</si>
  <si>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</si>
  <si>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</si>
  <si>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</si>
  <si>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</si>
  <si>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</si>
  <si>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</si>
  <si>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</si>
  <si>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</si>
  <si>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</si>
  <si>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</si>
  <si>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</si>
  <si>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</si>
  <si>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</si>
  <si>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</si>
  <si>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</si>
  <si>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</si>
  <si>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</si>
  <si>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</si>
  <si>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</si>
  <si>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</si>
  <si>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</si>
  <si>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</si>
  <si>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</si>
  <si>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</si>
  <si>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</si>
  <si>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</si>
  <si>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</si>
  <si>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</si>
  <si>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</si>
  <si>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</si>
  <si>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</si>
  <si>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</si>
  <si>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</si>
  <si>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</si>
  <si>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</si>
  <si>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</si>
  <si>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</si>
  <si>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</si>
  <si>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</si>
  <si>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</si>
  <si>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</si>
  <si>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</si>
  <si>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</si>
  <si>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</si>
  <si>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</si>
  <si>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</si>
  <si>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</si>
  <si>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</si>
  <si>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</si>
  <si>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</si>
  <si>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</si>
  <si>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</si>
  <si>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</si>
  <si>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</si>
  <si>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</si>
  <si>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</si>
  <si>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</si>
  <si>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</si>
  <si>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</si>
  <si>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</si>
  <si>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</si>
  <si>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</si>
  <si>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</si>
  <si>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</si>
  <si>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</si>
  <si>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</si>
  <si>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</si>
  <si>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</si>
  <si>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</si>
  <si>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</si>
  <si>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</si>
  <si>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</si>
  <si>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</si>
  <si>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</si>
  <si>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</si>
  <si>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</si>
  <si>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</si>
  <si>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</si>
  <si>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</si>
  <si>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</si>
  <si>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</si>
  <si>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</si>
  <si>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</si>
  <si>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</si>
  <si>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</si>
  <si>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</si>
  <si>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</si>
  <si>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</si>
  <si>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</si>
  <si>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</si>
  <si>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</si>
  <si>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</si>
  <si>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</si>
  <si>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</si>
  <si>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</si>
  <si>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</si>
  <si>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</si>
  <si>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</si>
  <si>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</si>
  <si>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</si>
  <si>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</si>
  <si>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</si>
  <si>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</si>
  <si>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</si>
  <si>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</si>
  <si>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</si>
  <si>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</si>
  <si>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</si>
  <si>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</si>
  <si>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</si>
  <si>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</si>
  <si>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</si>
  <si>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</si>
  <si>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</si>
  <si>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</si>
  <si>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</si>
  <si>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</si>
  <si>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</si>
  <si>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</si>
  <si>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</si>
  <si>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</si>
  <si>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</si>
  <si>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</si>
  <si>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</si>
  <si>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</si>
  <si>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</si>
  <si>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</si>
  <si>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</si>
  <si>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</si>
  <si>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</si>
  <si>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</si>
  <si>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</si>
  <si>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</si>
  <si>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</si>
  <si>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</si>
  <si>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</si>
  <si>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</si>
  <si>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</si>
  <si>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</si>
  <si>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</si>
  <si>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</si>
  <si>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</si>
  <si>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</si>
  <si>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</si>
  <si>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</si>
  <si>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</si>
  <si>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</si>
  <si>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</si>
  <si>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</si>
  <si>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</si>
  <si>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</si>
  <si>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</si>
  <si>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</si>
  <si>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</si>
  <si>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</si>
  <si>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</si>
  <si>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</si>
  <si>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</si>
  <si>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</si>
  <si>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</si>
  <si>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</si>
  <si>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</si>
  <si>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</si>
  <si>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</si>
  <si>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</si>
  <si>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</si>
  <si>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</si>
  <si>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</si>
  <si>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</si>
  <si>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</si>
  <si>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</si>
  <si>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</si>
  <si>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</si>
  <si>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</si>
  <si>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</si>
  <si>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</si>
  <si>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</si>
  <si>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</si>
  <si>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</si>
  <si>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</si>
  <si>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</si>
  <si>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</si>
  <si>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</si>
  <si>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</si>
  <si>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</si>
  <si>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</si>
  <si>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</si>
  <si>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</si>
  <si>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</si>
  <si>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</si>
  <si>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</si>
  <si>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</si>
  <si>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</si>
  <si>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</si>
  <si>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</si>
  <si>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</si>
  <si>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</si>
  <si>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</si>
  <si>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</si>
  <si>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</si>
  <si>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</si>
  <si>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</si>
  <si>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</si>
  <si>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</si>
  <si>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</si>
  <si>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</si>
  <si>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</si>
  <si>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</si>
  <si>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</si>
  <si>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</si>
  <si>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</si>
  <si>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</si>
  <si>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</si>
  <si>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</si>
  <si>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</si>
  <si>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</si>
  <si>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</si>
  <si>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</si>
  <si>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</si>
  <si>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</si>
  <si>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</si>
  <si>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</si>
  <si>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</si>
  <si>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</si>
  <si>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</si>
  <si>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</si>
  <si>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</si>
  <si>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</si>
  <si>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</si>
  <si>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</si>
  <si>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</si>
  <si>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</si>
  <si>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</si>
  <si>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</si>
  <si>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</si>
  <si>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</si>
  <si>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</si>
  <si>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</si>
  <si>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</si>
  <si>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</si>
  <si>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</si>
  <si>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</si>
  <si>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</si>
  <si>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</si>
  <si>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</si>
  <si>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</si>
  <si>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</si>
  <si>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</si>
  <si>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</si>
  <si>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</si>
  <si>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</si>
  <si>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</si>
  <si>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</si>
  <si>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</si>
  <si>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</si>
  <si>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</si>
  <si>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</si>
  <si>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</si>
  <si>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</si>
  <si>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</si>
  <si>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</si>
  <si>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</si>
  <si>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</si>
  <si>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</si>
  <si>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</si>
  <si>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</si>
  <si>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</si>
  <si>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</si>
  <si>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</si>
  <si>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</si>
  <si>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</si>
  <si>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</si>
  <si>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</si>
  <si>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</si>
  <si>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</si>
  <si>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</si>
  <si>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</si>
  <si>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</si>
  <si>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</si>
  <si>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</si>
  <si>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</si>
  <si>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</si>
  <si>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</si>
  <si>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</si>
  <si>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</si>
  <si>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</si>
  <si>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</si>
  <si>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</si>
  <si>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</si>
  <si>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</si>
  <si>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</si>
  <si>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</si>
  <si>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</si>
  <si>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</si>
  <si>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</si>
  <si>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</si>
  <si>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</si>
  <si>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</si>
  <si>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</si>
  <si>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</si>
  <si>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</si>
  <si>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</si>
  <si>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</si>
  <si>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</si>
  <si>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</si>
  <si>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</si>
  <si>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</si>
  <si>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</si>
  <si>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</si>
  <si>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</si>
  <si>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</si>
  <si>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</si>
  <si>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</si>
  <si>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</si>
  <si>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</si>
  <si>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</si>
  <si>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</si>
  <si>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</si>
  <si>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</si>
  <si>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</si>
  <si>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</si>
  <si>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</si>
  <si>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</si>
  <si>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</si>
  <si>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</si>
  <si>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</si>
  <si>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</si>
  <si>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</si>
  <si>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</si>
  <si>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</si>
  <si>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</si>
  <si>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</si>
  <si>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</si>
  <si>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</si>
  <si>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</si>
  <si>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</si>
  <si>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</si>
  <si>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</si>
  <si>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</si>
  <si>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</si>
  <si>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</si>
  <si>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</si>
  <si>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</si>
  <si>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</si>
  <si>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</si>
  <si>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</si>
  <si>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</si>
  <si>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</si>
  <si>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</si>
  <si>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</si>
  <si>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</si>
  <si>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</si>
  <si>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</si>
  <si>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</si>
  <si>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</si>
  <si>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</si>
  <si>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</si>
  <si>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</si>
  <si>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</si>
  <si>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</si>
  <si>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</si>
  <si>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</si>
  <si>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</si>
  <si>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</si>
  <si>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</si>
  <si>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</si>
  <si>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</si>
  <si>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</si>
  <si>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</si>
  <si>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</si>
  <si>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</si>
  <si>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</si>
  <si>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</si>
  <si>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</si>
  <si>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</si>
  <si>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</si>
  <si>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</si>
  <si>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</si>
  <si>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</si>
  <si>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</si>
  <si>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</si>
  <si>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</si>
  <si>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</si>
  <si>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</si>
  <si>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</si>
  <si>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</si>
  <si>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</si>
  <si>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</si>
  <si>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</si>
  <si>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</si>
  <si>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</si>
  <si>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</si>
  <si>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</si>
  <si>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</si>
  <si>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</si>
  <si>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</si>
  <si>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</si>
  <si>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</si>
  <si>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</si>
  <si>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</si>
  <si>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</si>
  <si>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</si>
  <si>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</si>
  <si>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</si>
  <si>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</si>
  <si>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</si>
  <si>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</si>
  <si>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</si>
  <si>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</si>
  <si>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</si>
  <si>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</si>
  <si>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</si>
  <si>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</si>
  <si>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</si>
  <si>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</si>
  <si>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</si>
  <si>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</si>
  <si>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</si>
  <si>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</si>
  <si>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</si>
  <si>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</si>
  <si>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</si>
  <si>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</si>
  <si>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</si>
  <si>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</si>
  <si>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</si>
  <si>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</si>
  <si>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</si>
  <si>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</si>
  <si>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</si>
  <si>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</si>
  <si>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</si>
  <si>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</si>
  <si>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</si>
  <si>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</si>
  <si>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</si>
  <si>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</si>
  <si>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</si>
  <si>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</si>
  <si>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</si>
  <si>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</si>
  <si>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</si>
  <si>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</si>
  <si>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</si>
  <si>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</si>
  <si>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</si>
  <si>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</si>
  <si>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</si>
  <si>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</si>
  <si>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</si>
  <si>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</si>
  <si>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</si>
  <si>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</si>
  <si>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</si>
  <si>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</si>
  <si>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</si>
  <si>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</si>
  <si>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</si>
  <si>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</si>
  <si>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</si>
  <si>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</si>
  <si>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</si>
  <si>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</si>
  <si>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</si>
  <si>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</si>
  <si>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</si>
  <si>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</si>
  <si>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</si>
  <si>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</si>
  <si>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</si>
  <si>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</si>
  <si>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</si>
  <si>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</si>
  <si>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</si>
  <si>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</si>
  <si>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</si>
  <si>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</si>
  <si>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</si>
  <si>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</si>
  <si>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</si>
  <si>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</si>
  <si>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</si>
  <si>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</si>
  <si>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</si>
  <si>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</si>
  <si>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</si>
  <si>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</si>
  <si>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</si>
  <si>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</si>
  <si>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</si>
  <si>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</si>
  <si>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</si>
  <si>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</si>
  <si>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</si>
  <si>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</si>
  <si>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</si>
  <si>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</si>
  <si>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</si>
  <si>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</si>
  <si>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</si>
  <si>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</si>
  <si>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</si>
  <si>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</si>
  <si>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</si>
  <si>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</si>
  <si>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</si>
  <si>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</si>
  <si>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</si>
  <si>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</si>
  <si>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</si>
  <si>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</si>
  <si>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</si>
  <si>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</si>
  <si>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</si>
  <si>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</si>
  <si>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</si>
  <si>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</si>
  <si>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</si>
  <si>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</si>
  <si>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</si>
  <si>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</si>
  <si>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</si>
  <si>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</si>
  <si>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</si>
  <si>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</si>
  <si>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</si>
  <si>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</si>
  <si>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</si>
  <si>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</si>
  <si>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</si>
  <si>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</si>
  <si>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</si>
  <si>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</si>
  <si>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</si>
  <si>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</si>
  <si>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</si>
  <si>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</si>
  <si>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</si>
  <si>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</si>
  <si>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</si>
  <si>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</si>
  <si>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</si>
  <si>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</si>
  <si>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</si>
  <si>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</si>
  <si>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</si>
  <si>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</si>
  <si>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</si>
  <si>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</si>
  <si>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</si>
  <si>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</si>
  <si>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</si>
  <si>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</si>
  <si>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</si>
  <si>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</si>
  <si>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</si>
  <si>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</si>
  <si>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</si>
  <si>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</si>
  <si>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</si>
  <si>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</si>
  <si>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</si>
  <si>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</si>
  <si>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</si>
  <si>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</si>
  <si>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</si>
  <si>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</si>
  <si>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</si>
  <si>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</si>
  <si>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</si>
  <si>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</si>
  <si>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</si>
  <si>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</si>
  <si>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</si>
  <si>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</si>
  <si>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</si>
  <si>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</si>
  <si>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</si>
  <si>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</si>
  <si>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</si>
  <si>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</si>
  <si>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</si>
  <si>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</si>
  <si>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</si>
  <si>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</si>
  <si>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</si>
  <si>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</si>
  <si>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</si>
  <si>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</si>
  <si>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</si>
  <si>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</si>
  <si>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</si>
  <si>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</si>
  <si>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</si>
  <si>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</si>
  <si>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</si>
  <si>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</si>
  <si>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</si>
  <si>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</si>
  <si>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</si>
  <si>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</si>
  <si>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</si>
  <si>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</si>
  <si>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</si>
  <si>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</si>
  <si>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</si>
  <si>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</si>
  <si>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</si>
  <si>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</si>
  <si>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</si>
  <si>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</si>
  <si>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</si>
  <si>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</si>
  <si>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</si>
  <si>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</si>
  <si>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</si>
  <si>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</si>
  <si>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</si>
  <si>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</si>
  <si>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</si>
  <si>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</si>
  <si>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</si>
  <si>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</si>
  <si>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</si>
  <si>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</si>
  <si>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</si>
  <si>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</si>
  <si>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</si>
  <si>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</si>
  <si>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</si>
  <si>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</si>
  <si>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</si>
  <si>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</si>
  <si>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</si>
  <si>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</si>
  <si>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</si>
  <si>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</si>
  <si>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</si>
  <si>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</si>
  <si>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</si>
  <si>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</si>
  <si>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</si>
  <si>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</si>
  <si>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</si>
  <si>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</si>
  <si>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</si>
  <si>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</si>
  <si>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</si>
  <si>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</si>
  <si>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</si>
  <si>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</si>
  <si>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</si>
  <si>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</si>
  <si>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</si>
  <si>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</si>
  <si>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</si>
  <si>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</si>
  <si>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</si>
  <si>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</si>
  <si>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</si>
  <si>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</si>
  <si>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</si>
  <si>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</si>
  <si>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</si>
  <si>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</si>
  <si>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</si>
  <si>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</si>
  <si>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</si>
  <si>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</si>
  <si>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</si>
  <si>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</si>
  <si>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</si>
  <si>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</si>
  <si>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</si>
  <si>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</si>
  <si>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</si>
  <si>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</si>
  <si>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</si>
  <si>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</si>
  <si>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</si>
  <si>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</si>
  <si>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</si>
  <si>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</si>
  <si>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</si>
  <si>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</si>
  <si>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</si>
  <si>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</si>
  <si>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</si>
  <si>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</si>
  <si>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</si>
  <si>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</si>
  <si>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</si>
  <si>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</si>
  <si>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</si>
  <si>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</si>
  <si>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</si>
  <si>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</si>
  <si>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</si>
  <si>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</si>
  <si>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</si>
  <si>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</si>
  <si>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</si>
  <si>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</si>
  <si>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</si>
  <si>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</si>
  <si>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</si>
  <si>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</si>
  <si>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</si>
  <si>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</si>
  <si>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</si>
  <si>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</si>
  <si>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</si>
  <si>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</si>
  <si>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</si>
  <si>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</si>
  <si>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</si>
  <si>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</si>
  <si>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</si>
  <si>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</si>
  <si>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</si>
  <si>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</si>
  <si>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</si>
  <si>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</si>
  <si>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</si>
  <si>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</si>
  <si>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</si>
  <si>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</si>
  <si>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</si>
  <si>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</si>
  <si>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</si>
  <si>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</si>
  <si>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</si>
  <si>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</si>
  <si>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</si>
  <si>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</si>
  <si>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</si>
  <si>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</si>
  <si>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</si>
  <si>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</si>
  <si>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</si>
  <si>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</si>
  <si>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</si>
  <si>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</si>
  <si>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</si>
  <si>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</si>
  <si>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</si>
  <si>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</si>
  <si>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</si>
  <si>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</si>
  <si>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</si>
  <si>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</si>
  <si>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</si>
  <si>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</si>
  <si>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</si>
  <si>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</si>
  <si>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</si>
  <si>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</si>
  <si>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</si>
  <si>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</si>
  <si>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</si>
  <si>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</si>
  <si>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</si>
  <si>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</si>
  <si>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</si>
  <si>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</si>
  <si>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</si>
  <si>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</si>
  <si>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</si>
  <si>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</si>
  <si>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</si>
  <si>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</si>
  <si>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</si>
  <si>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</si>
  <si>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</si>
  <si>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</si>
  <si>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</si>
  <si>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</si>
  <si>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</si>
  <si>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</si>
  <si>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</si>
  <si>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</si>
  <si>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</si>
  <si>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</si>
  <si>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</si>
  <si>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</si>
  <si>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</si>
  <si>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</si>
  <si>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</si>
  <si>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</si>
  <si>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</si>
  <si>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</si>
  <si>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</si>
  <si>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</si>
  <si>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</si>
  <si>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</si>
  <si>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</si>
  <si>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</si>
  <si>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</si>
  <si>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</si>
  <si>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</si>
  <si>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</si>
  <si>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</si>
  <si>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</si>
  <si>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</si>
  <si>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</si>
  <si>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</si>
  <si>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</si>
  <si>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</si>
  <si>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</si>
  <si>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</si>
  <si>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</si>
  <si>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</si>
  <si>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</si>
  <si>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</si>
  <si>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</si>
  <si>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</si>
  <si>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</si>
  <si>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</si>
  <si>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</si>
  <si>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</si>
  <si>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</si>
  <si>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</si>
  <si>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</si>
  <si>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</si>
  <si>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</si>
  <si>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</si>
  <si>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</si>
  <si>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</si>
  <si>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</si>
  <si>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</si>
  <si>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</si>
  <si>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</si>
  <si>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</si>
  <si>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</si>
  <si>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</si>
  <si>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</si>
  <si>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</si>
  <si>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</si>
  <si>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</si>
  <si>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</si>
  <si>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</si>
  <si>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</si>
  <si>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</si>
  <si>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</si>
  <si>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</si>
  <si>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</si>
  <si>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</si>
  <si>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</si>
  <si>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</si>
  <si>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</si>
  <si>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</si>
  <si>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</si>
  <si>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</si>
  <si>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</si>
  <si>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</si>
  <si>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</si>
  <si>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</si>
  <si>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</si>
  <si>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</si>
  <si>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</si>
  <si>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</si>
  <si>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</si>
  <si>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</si>
  <si>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</si>
  <si>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</si>
  <si>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</si>
  <si>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</si>
  <si>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</si>
  <si>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</si>
  <si>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</si>
  <si>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</si>
  <si>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</si>
  <si>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</si>
  <si>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</si>
  <si>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</si>
  <si>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</si>
  <si>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</si>
  <si>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</si>
  <si>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</si>
  <si>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</si>
  <si>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</si>
  <si>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</si>
  <si>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</si>
  <si>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</si>
  <si>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</si>
  <si>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</si>
  <si>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</si>
  <si>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</si>
  <si>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</si>
  <si>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</si>
  <si>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</si>
  <si>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</si>
  <si>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</si>
  <si>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</si>
  <si>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</si>
  <si>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</si>
  <si>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</si>
  <si>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</si>
  <si>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</si>
  <si>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</si>
  <si>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</si>
  <si>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</si>
  <si>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</si>
  <si>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</si>
  <si>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</si>
  <si>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</si>
  <si>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</si>
  <si>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</si>
  <si>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</si>
  <si>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</si>
  <si>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</si>
  <si>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</si>
  <si>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</si>
  <si>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</si>
  <si>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</si>
  <si>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</si>
  <si>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</si>
  <si>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</si>
  <si>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</si>
  <si>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</si>
  <si>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</si>
  <si>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</si>
  <si>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</si>
  <si>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</si>
  <si>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</si>
  <si>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</si>
  <si>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</si>
  <si>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</si>
  <si>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</si>
  <si>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</si>
  <si>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</si>
  <si>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</si>
  <si>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</si>
  <si>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</si>
  <si>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</si>
  <si>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</si>
  <si>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</si>
  <si>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</si>
  <si>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</si>
  <si>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</si>
  <si>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</si>
  <si>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</si>
  <si>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</si>
  <si>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</si>
  <si>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</si>
  <si>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</si>
  <si>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</si>
  <si>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</si>
  <si>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</si>
  <si>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</si>
  <si>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</si>
  <si>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</si>
  <si>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</si>
  <si>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</si>
  <si>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</si>
  <si>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</si>
  <si>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</si>
  <si>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</si>
  <si>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</si>
  <si>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</si>
  <si>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</si>
  <si>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</si>
  <si>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</si>
  <si>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</si>
  <si>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</si>
  <si>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</si>
  <si>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</si>
  <si>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</si>
  <si>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</si>
  <si>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</si>
  <si>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</si>
  <si>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</si>
  <si>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</si>
  <si>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</si>
  <si>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</si>
  <si>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</si>
  <si>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</si>
  <si>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</si>
  <si>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</si>
  <si>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</si>
  <si>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</si>
  <si>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</si>
  <si>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</si>
  <si>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</si>
  <si>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</si>
  <si>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</si>
  <si>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</si>
  <si>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</si>
  <si>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</si>
  <si>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</si>
  <si>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</si>
  <si>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</si>
  <si>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</si>
  <si>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</si>
  <si>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</si>
  <si>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</si>
  <si>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</si>
  <si>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</si>
  <si>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</si>
  <si>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</si>
  <si>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</si>
  <si>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</si>
  <si>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</si>
  <si>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</si>
  <si>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</si>
  <si>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</si>
  <si>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</si>
  <si>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</si>
  <si>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</si>
  <si>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</si>
  <si>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</si>
  <si>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</si>
  <si>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</si>
  <si>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</si>
  <si>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</si>
  <si>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</si>
  <si>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</si>
  <si>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</si>
  <si>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</si>
  <si>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</si>
  <si>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</si>
  <si>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</si>
  <si>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</si>
  <si>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</si>
  <si>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</si>
  <si>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</si>
  <si>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</si>
  <si>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</si>
  <si>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</si>
  <si>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</si>
  <si>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</si>
  <si>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</si>
  <si>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</si>
  <si>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</si>
  <si>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</si>
  <si>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</si>
  <si>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</si>
  <si>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</si>
  <si>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</si>
  <si>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</si>
  <si>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</si>
  <si>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</si>
  <si>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</si>
  <si>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</si>
  <si>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</si>
  <si>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audit adjustment food service</t>
  </si>
  <si>
    <t>Catering Rev.</t>
  </si>
  <si>
    <t>ESSER II $113,719 &amp; ESSER III $647,013.38</t>
  </si>
  <si>
    <t>06/06</t>
  </si>
  <si>
    <t>11/14</t>
  </si>
  <si>
    <t>07/22</t>
  </si>
  <si>
    <t>07/23</t>
  </si>
  <si>
    <t>07/26</t>
  </si>
  <si>
    <t>07/29</t>
  </si>
  <si>
    <t>08/42</t>
  </si>
  <si>
    <t>08/43</t>
  </si>
  <si>
    <t>Includes Charter School Sped Diff. Aid $15,497.72</t>
  </si>
  <si>
    <t>Drinking Water Grant $11,387.50 and EFA Phase Out $3,457.42</t>
  </si>
  <si>
    <t>Includes Impact Fees of $403,912, Parking Fees $36,736.93</t>
  </si>
  <si>
    <t xml:space="preserve">Before School Supervision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</si>
</sst>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8"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637" zoomScaleNormal="100" workbookViewId="0">
      <selection activeCell="H672" sqref="H672"/>
    </sheetView>
  </sheetViews>
  <sheetFormatPr defaultColWidth="8.6640625" defaultRowHeight="12.2" customHeight="1" x14ac:dyDescent="0.2"/>
  <cols>
    <col min="1" max="1" width="48.6640625" customWidth="1"/>
    <col min="2" max="2" width="5.1640625" customWidth="1"/>
    <col min="3" max="3" width="5" customWidth="1"/>
    <col min="4" max="4" width="3.6640625" hidden="1" customWidth="1"/>
    <col min="5" max="5" width="7.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923</v>
      </c>
      <c r="B2">
        <f>INDEX('School Tables'!$AH$3:$AH$213,MATCH('DOE25'!A2,'School Tables'!$AJ$3:$AJ$213,0))</f>
        <v>41</v>
      </c>
      <c r="C2">
        <f>INDEX('School Tables'!$AI$3:$AI$213,MATCH('DOE25'!A2,'School Tables'!$AJ$3:$AJ$213,0))</f>
        <v>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3202606.16+141150.09+16172.84+1913.68</f>
        <v>3361842.77</v>
      </c>
      <c r="G9" s="18">
        <v>110</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f>1000237.83+3111678.55</f>
        <v>4111916.38</v>
      </c>
      <c r="G10" s="18"/>
      <c r="H10" s="18"/>
      <c r="I10" s="18">
        <v>3902594.68</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t="s">
        <v>286</v>
      </c>
      <c r="G12" s="18">
        <v>647264.87</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41124.36</v>
      </c>
      <c r="G13" s="18">
        <v>50559.48</v>
      </c>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40.59+270458.33</f>
        <v>270498.92000000004</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15260</v>
      </c>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7051</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f>13151614.11</f>
        <v>13151614.109999999</v>
      </c>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20959307.539999999</v>
      </c>
      <c r="G19" s="38">
        <f>SUM(G9:G18)</f>
        <v>697934.35</v>
      </c>
      <c r="H19" s="38">
        <f>SUM(H9:H18)</f>
        <v>0</v>
      </c>
      <c r="I19" s="38">
        <f>SUM(I9:I18)</f>
        <v>3902594.68</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-127573.44</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t="s">
        <v>286</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837842.44</v>
      </c>
      <c r="G24" s="18">
        <v>3575.94</v>
      </c>
      <c r="H24" s="18"/>
      <c r="I24" s="18">
        <v>12780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5149.95</v>
      </c>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v>13075250</v>
      </c>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4242916.84+90892.4+806495.24+913.02+10.31+50</f>
        <v>5141277.8099999996</v>
      </c>
      <c r="G28" s="18">
        <v>6209.13</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211578.54-45727.24</f>
        <v>165851.30000000002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113242.5</v>
      </c>
      <c r="G30" s="18">
        <v>100716.33</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19211040.559999999</v>
      </c>
      <c r="G32" s="38">
        <f>SUM(G22:G31)</f>
        <v>110501.4</v>
      </c>
      <c r="H32" s="38">
        <f>SUM(H22:H31)</f>
        <v>0</v>
      </c>
      <c r="I32" s="38">
        <f>SUM(I22:I31)</f>
        <v>12780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15260</v>
      </c>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7051</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610570.57-23137.62</f>
        <v>587432.94999999995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3889814.68</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t="s">
        <v>286</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130437.77</v>
      </c>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v>541646.03</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1053872.18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1748266.98</v>
      </c>
      <c r="G51" s="38">
        <f>SUM(G35:G50)</f>
        <v>587432.94999999995</v>
      </c>
      <c r="H51" s="38">
        <f>SUM(H35:H50)</f>
        <v>0</v>
      </c>
      <c r="I51" s="38">
        <f>SUM(I35:I50)</f>
        <v>3889814.68</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20959307.539999999</v>
      </c>
      <c r="G52" s="38">
        <f>G51+G32</f>
        <v>697934.35</v>
      </c>
      <c r="H52" s="38">
        <f>H51+H32</f>
        <v>0</v>
      </c>
      <c r="I52" s="38">
        <f>I51+I32</f>
        <v>3902594.68</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57454959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57454959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73732.5+662050+33000</f>
        <v>768782.5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48770</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4650</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f>727196.07+39602.08+23025.42</f>
        <v>789823.57</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25950</v>
      </c>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1637976.0699999998</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156915.43+76364.11</f>
        <v>233279.53999999998</v>
      </c>
      <c r="G96" s="18"/>
      <c r="H96" s="18"/>
      <c r="I96" s="18"/>
      <c r="J96" s="18">
        <v>45.39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1619579.01-15004.01</f>
        <v>1604575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79703.95</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224188.54</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-28286.32</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10348.51+403912+36736.93</f>
        <v>450997.44</v>
      </c>
      <c r="G110" s="18">
        <f>1389.01+13369.25+245.75</f>
        <v>15004.01</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959883.15</v>
      </c>
      <c r="G111" s="38">
        <f>SUM(G96:G110)</f>
        <v>1619579.01</v>
      </c>
      <c r="H111" s="38">
        <f>SUM(H96:H110)</f>
        <v>0</v>
      </c>
      <c r="I111" s="38">
        <f>SUM(I96:I110)</f>
        <v>0</v>
      </c>
      <c r="J111" s="38">
        <f>SUM(J96:J110)</f>
        <v>45.39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60052818.219999999</v>
      </c>
      <c r="G112" s="38">
        <f>G60+G111</f>
        <v>1619579.01</v>
      </c>
      <c r="H112" s="38">
        <f>H60+H79+H94+H111</f>
        <v>0</v>
      </c>
      <c r="I112" s="38">
        <f>I60+I111</f>
        <v>0</v>
      </c>
      <c r="J112" s="38">
        <f>J60+J111</f>
        <v>45.39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10684772.140000001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7614828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30342.639999999999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18329942.780000001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430408.37</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1674025.41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8572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25684.13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2113005.7799999998</v>
      </c>
      <c r="G136" s="38">
        <f>SUM(G123:G135)</f>
        <v>25684.13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20442948.560000002</v>
      </c>
      <c r="G140" s="38">
        <f>G121+SUM(G136:G137)</f>
        <v>25684.13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135525.35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129630.77+8828.5+60372.34</f>
        <v>198831.61000000002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18032.52</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379933.58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1079302.23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206326.6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113719+647013.38</f>
        <v>760732.38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206326.6</v>
      </c>
      <c r="G163" s="38">
        <f>SUM(G150:G162)</f>
        <v>379933.58</v>
      </c>
      <c r="H163" s="38">
        <f>SUM(H150:H162)</f>
        <v>2192424.09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206326.6</v>
      </c>
      <c r="G170" s="38">
        <f>G147+G163+SUM(G164:G169)</f>
        <v>379933.58</v>
      </c>
      <c r="H170" s="38">
        <f>H147+H163+SUM(H164:H169)</f>
        <v>2192424.09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v>757671</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v>70329</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f>208559.27+21252.12</f>
        <v>229811.38999999998</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1057811.3899999999</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t="s">
        <v>286</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8754.98</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8754.98</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8754.98</v>
      </c>
      <c r="G193" s="38">
        <f>G184+SUM(G189:G192)</f>
        <v>0</v>
      </c>
      <c r="H193" s="38">
        <f>+H184+SUM(H189:H192)</f>
        <v>0</v>
      </c>
      <c r="I193" s="38">
        <f>I178+I184+SUM(I189:I192)</f>
        <v>1057811.3899999999</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80710848.359999999</v>
      </c>
      <c r="G194" s="38">
        <f>G112+G140+G170+G193</f>
        <v>2025196.72</v>
      </c>
      <c r="H194" s="38">
        <f>H112+H140+H170+H193</f>
        <v>2192424.09</v>
      </c>
      <c r="I194" s="38">
        <f>I112+I140+I170+I193</f>
        <v>1057811.3899999999</v>
      </c>
      <c r="J194" s="38">
        <f>J112+J140+J193</f>
        <v>45.39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9548052.78+585801.37</f>
        <v>10133854.149999999</v>
      </c>
      <c r="G198" s="18">
        <f>5403903.75+240057.88</f>
        <v>5643961.6299999999</v>
      </c>
      <c r="H198" s="18">
        <f>10228.05+2340+41815.26+4410</f>
        <v>58793.31</v>
      </c>
      <c r="I198" s="18">
        <f>1729.51+315005.55+2860.2</f>
        <v>319595.26</v>
      </c>
      <c r="J198" s="18">
        <f>34501.7</f>
        <v>34501.699999999997</v>
      </c>
      <c r="K198" s="18"/>
      <c r="L198" s="13">
        <f>SUM(F198:K198)</f>
        <v>16190706.049999997</v>
      </c>
      <c r="M198" s="8"/>
      <c r="N198" s="164"/>
    </row>
    <row r="199" spans="1:14" s="3" customFormat="1" ht="12.2" customHeight="1" x14ac:dyDescent="0.15">
      <c r="A199" s="1" t="s">
        <v>439</v>
      </c>
      <c r="B199" s="2" t="s">
        <v>341</v>
      </c>
      <c r="C199" s="2" t="s">
        <v>291</v>
      </c>
      <c r="D199" s="2" t="s">
        <v>431</v>
      </c>
      <c r="E199" s="6">
        <v>1200</v>
      </c>
      <c r="F199" s="18">
        <f>3979368.81+192186.44</f>
        <v>4171555.25</v>
      </c>
      <c r="G199" s="18">
        <f>1999236.58+109237.88</f>
        <v>2108474.46</v>
      </c>
      <c r="H199" s="18">
        <f>93502.1+1011607.13-3393.98</f>
        <v>1101715.25</v>
      </c>
      <c r="I199" s="18">
        <f>267.1+27986.03+5268.93+99.64+76.1+34.57+69.14</f>
        <v>33801.509999999995</v>
      </c>
      <c r="J199" s="18"/>
      <c r="K199" s="18">
        <f>3285.94+1710.03</f>
        <v>4995.97</v>
      </c>
      <c r="L199" s="13">
        <f>SUM(F199:K199)</f>
        <v>7420542.4399999995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54244.5</v>
      </c>
      <c r="G201" s="18">
        <v>14977.18</v>
      </c>
      <c r="H201" s="18"/>
      <c r="I201" s="18">
        <v>1290.17</v>
      </c>
      <c r="J201" s="18"/>
      <c r="K201" s="18"/>
      <c r="L201" s="13">
        <f>SUM(F201:K201)</f>
        <v>70511.849999999991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1362974.26+48732.69</f>
        <v>1411706.95</v>
      </c>
      <c r="G203" s="18">
        <f>775752.52+29163.43</f>
        <v>804915.95000000007</v>
      </c>
      <c r="H203" s="18">
        <f>888339.91+65937.21+11172</f>
        <v>965449.12</v>
      </c>
      <c r="I203" s="18">
        <f>14168.42+8663.31</f>
        <v>22831.73</v>
      </c>
      <c r="J203" s="18">
        <f>1794+1493.62</f>
        <v>3287.62</v>
      </c>
      <c r="K203" s="18"/>
      <c r="L203" s="13">
        <f t="shared" ref="L203:L209" si="0">SUM(F203:K203)</f>
        <v>3208191.37</v>
      </c>
      <c r="M203" s="8"/>
      <c r="N203" s="164"/>
    </row>
    <row r="204" spans="1:14" s="3" customFormat="1" ht="12.2" customHeight="1" x14ac:dyDescent="0.15">
      <c r="A204" s="1" t="s">
        <v>443</v>
      </c>
      <c r="B204" s="2" t="s">
        <v>341</v>
      </c>
      <c r="C204" s="2" t="s">
        <v>295</v>
      </c>
      <c r="D204" s="2" t="s">
        <v>431</v>
      </c>
      <c r="E204" s="6">
        <v>2200</v>
      </c>
      <c r="F204" s="18">
        <v>363708.46</v>
      </c>
      <c r="G204" s="18">
        <v>181036.34</v>
      </c>
      <c r="H204" s="18">
        <f>604.72+7259.45+18828.28+99.89+1749.77+2628.5</f>
        <v>31170.609999999997</v>
      </c>
      <c r="I204" s="18">
        <f>44418.07+10877.19+297.41</f>
        <v>55592.670000000006</v>
      </c>
      <c r="J204" s="18">
        <f>4175.5+127126.25</f>
        <v>131301.75</v>
      </c>
      <c r="K204" s="18">
        <f>22511.58</f>
        <v>22511.58</v>
      </c>
      <c r="L204" s="13">
        <f t="shared" si="0"/>
        <v>785321.41</v>
      </c>
      <c r="M204" s="8"/>
      <c r="N204" s="164"/>
    </row>
    <row r="205" spans="1:14" s="3" customFormat="1" ht="12.2" customHeight="1" x14ac:dyDescent="0.15">
      <c r="A205" s="1" t="s">
        <v>444</v>
      </c>
      <c r="B205" s="2" t="s">
        <v>341</v>
      </c>
      <c r="C205" s="2" t="s">
        <v>296</v>
      </c>
      <c r="D205" s="2" t="s">
        <v>431</v>
      </c>
      <c r="E205" s="6">
        <v>2300</v>
      </c>
      <c r="F205" s="18">
        <v>506088.98</v>
      </c>
      <c r="G205" s="18">
        <v>275814.89</v>
      </c>
      <c r="H205" s="18">
        <f>151668.61+2885.54+12225.62+3849.77+371.55</f>
        <v>171001.08999999997</v>
      </c>
      <c r="I205" s="18">
        <f>10898.02</f>
        <v>10898.02</v>
      </c>
      <c r="J205" s="18">
        <f>4151.32+13.23</f>
        <v>4164.5499999999993</v>
      </c>
      <c r="K205" s="18">
        <f>9780.1</f>
        <v>9780.1</v>
      </c>
      <c r="L205" s="13">
        <f t="shared" si="0"/>
        <v>977747.63</v>
      </c>
      <c r="M205" s="8"/>
      <c r="N205" s="164"/>
    </row>
    <row r="206" spans="1:14" s="3" customFormat="1" ht="12.2" customHeight="1" x14ac:dyDescent="0.15">
      <c r="A206" s="1" t="s">
        <v>445</v>
      </c>
      <c r="B206" s="2" t="s">
        <v>341</v>
      </c>
      <c r="C206" s="2" t="s">
        <v>297</v>
      </c>
      <c r="D206" s="2" t="s">
        <v>431</v>
      </c>
      <c r="E206" s="6">
        <v>2400</v>
      </c>
      <c r="F206" s="18">
        <f>1335589.25+251114.45</f>
        <v>1586703.7</v>
      </c>
      <c r="G206" s="18">
        <f>774155.05+133517.25</f>
        <v>907672.3</v>
      </c>
      <c r="H206" s="18">
        <f>24.15+298.66+11817.35</f>
        <v>12140.16</v>
      </c>
      <c r="I206" s="18">
        <f>10821.73+10222.21</f>
        <v>21043.94</v>
      </c>
      <c r="J206" s="18">
        <f>210.41+168.56</f>
        <v>378.97</v>
      </c>
      <c r="K206" s="18">
        <f>13283.9</f>
        <v>13283.9</v>
      </c>
      <c r="L206" s="13">
        <f t="shared" si="0"/>
        <v>2541222.9700000002</v>
      </c>
      <c r="M206" s="8"/>
      <c r="N206" s="164"/>
    </row>
    <row r="207" spans="1:14" s="3" customFormat="1" ht="12.2" customHeight="1" x14ac:dyDescent="0.15">
      <c r="A207" s="1" t="s">
        <v>446</v>
      </c>
      <c r="B207" s="2" t="s">
        <v>341</v>
      </c>
      <c r="C207" s="2" t="s">
        <v>298</v>
      </c>
      <c r="D207" s="2" t="s">
        <v>431</v>
      </c>
      <c r="E207" s="6">
        <v>2500</v>
      </c>
      <c r="F207" s="18">
        <v>153812.87</v>
      </c>
      <c r="G207" s="18">
        <v>85700.49</v>
      </c>
      <c r="H207" s="18">
        <f>247481.7</f>
        <v>247481.7</v>
      </c>
      <c r="I207" s="18"/>
      <c r="J207" s="18"/>
      <c r="K207" s="18">
        <f>2952.58</f>
        <v>2952.58</v>
      </c>
      <c r="L207" s="13">
        <f t="shared" si="0"/>
        <v>489947.64</v>
      </c>
      <c r="M207" s="8"/>
      <c r="N207" s="164"/>
    </row>
    <row r="208" spans="1:14" s="3" customFormat="1" ht="12.2" customHeight="1" x14ac:dyDescent="0.15">
      <c r="A208" s="1" t="s">
        <v>447</v>
      </c>
      <c r="B208" s="2" t="s">
        <v>341</v>
      </c>
      <c r="C208" s="2" t="s">
        <v>299</v>
      </c>
      <c r="D208" s="2" t="s">
        <v>431</v>
      </c>
      <c r="E208" s="6">
        <v>2600</v>
      </c>
      <c r="F208" s="18">
        <f>525299.58+366223.61</f>
        <v>891523.19</v>
      </c>
      <c r="G208" s="18">
        <f>279301.16+166308.42</f>
        <v>445609.57999999996</v>
      </c>
      <c r="H208" s="18">
        <f>305763.38+403382.09+121675.33+512.05+95672.59</f>
        <v>927005.44</v>
      </c>
      <c r="I208" s="18">
        <f>934+517655.01+208636.91+87.01</f>
        <v>727312.93</v>
      </c>
      <c r="J208" s="18">
        <f>4353+20638.54</f>
        <v>24991.54</v>
      </c>
      <c r="K208" s="18">
        <f>509.85</f>
        <v>509.85</v>
      </c>
      <c r="L208" s="13">
        <f t="shared" si="0"/>
        <v>3016952.5300000003</v>
      </c>
      <c r="M208" s="8"/>
      <c r="N208" s="164"/>
    </row>
    <row r="209" spans="1:14" s="3" customFormat="1" ht="12.2" customHeight="1" x14ac:dyDescent="0.15">
      <c r="A209" s="1" t="s">
        <v>448</v>
      </c>
      <c r="B209" s="2" t="s">
        <v>341</v>
      </c>
      <c r="C209" s="2" t="s">
        <v>300</v>
      </c>
      <c r="D209" s="2" t="s">
        <v>431</v>
      </c>
      <c r="E209" s="6">
        <v>2700</v>
      </c>
      <c r="F209" s="18">
        <v>45585.49</v>
      </c>
      <c r="G209" s="18">
        <v>20775.810000000001</v>
      </c>
      <c r="H209" s="18">
        <f>1858962.45+10438.11</f>
        <v>1869400.56</v>
      </c>
      <c r="I209" s="18"/>
      <c r="J209" s="18"/>
      <c r="K209" s="18"/>
      <c r="L209" s="13">
        <f t="shared" si="0"/>
        <v>1935761.86</v>
      </c>
      <c r="M209" s="8"/>
      <c r="N209" s="164"/>
    </row>
    <row r="210" spans="1:14" s="3" customFormat="1" ht="12.2" customHeight="1" x14ac:dyDescent="0.15">
      <c r="A210" s="1" t="s">
        <v>449</v>
      </c>
      <c r="B210" s="2" t="s">
        <v>341</v>
      </c>
      <c r="C210" s="2" t="s">
        <v>343</v>
      </c>
      <c r="D210" s="2" t="s">
        <v>431</v>
      </c>
      <c r="E210" s="6">
        <v>2800</v>
      </c>
      <c r="F210" s="18"/>
      <c r="G210" s="18"/>
      <c r="H210" s="18">
        <f>50012.56+9371.5+70.03</f>
        <v>59454.09</v>
      </c>
      <c r="I210" s="18">
        <v>632.62</v>
      </c>
      <c r="J210" s="18">
        <v>5672.24</v>
      </c>
      <c r="K210" s="18"/>
      <c r="L210" s="13">
        <f>SUM(F210:K210)</f>
        <v>65758.95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19318783.539999999</v>
      </c>
      <c r="G212" s="38">
        <f t="shared" si="1"/>
        <v>10488938.630000001</v>
      </c>
      <c r="H212" s="38">
        <f t="shared" si="1"/>
        <v>5443611.3300000001</v>
      </c>
      <c r="I212" s="38">
        <f t="shared" si="1"/>
        <v>1192998.8500000001</v>
      </c>
      <c r="J212" s="38">
        <f t="shared" si="1"/>
        <v>204298.37</v>
      </c>
      <c r="K212" s="38">
        <f t="shared" si="1"/>
        <v>54033.98</v>
      </c>
      <c r="L212" s="38">
        <f t="shared" si="1"/>
        <v>36702664.699999996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3654173.33+203237.21</f>
        <v>3857410.54</v>
      </c>
      <c r="G216" s="18">
        <f>2112204.11+83285.39</f>
        <v>2195489.5</v>
      </c>
      <c r="H216" s="18">
        <f>2163.36+3180+21523.62+1530</f>
        <v>28396.98</v>
      </c>
      <c r="I216" s="18">
        <f>117319.76+992.32</f>
        <v>118312.08</v>
      </c>
      <c r="J216" s="18">
        <f>9550.6</f>
        <v>9550.6</v>
      </c>
      <c r="K216" s="18"/>
      <c r="L216" s="13">
        <f>SUM(F216:K216)</f>
        <v>6209159.7000000002</v>
      </c>
      <c r="M216" s="8"/>
      <c r="N216" s="164"/>
    </row>
    <row r="217" spans="1:14" s="3" customFormat="1" ht="12.2" customHeight="1" x14ac:dyDescent="0.15">
      <c r="A217" s="1" t="s">
        <v>439</v>
      </c>
      <c r="B217" s="2" t="s">
        <v>346</v>
      </c>
      <c r="C217" s="2" t="s">
        <v>291</v>
      </c>
      <c r="D217" s="2" t="s">
        <v>431</v>
      </c>
      <c r="E217" s="6">
        <v>1200</v>
      </c>
      <c r="F217" s="18">
        <f>1277845.84+66676.93</f>
        <v>1344522.77</v>
      </c>
      <c r="G217" s="18">
        <f>660522.11+37898.86</f>
        <v>698420.97</v>
      </c>
      <c r="H217" s="18">
        <f>314011.15+380973.78-38084.17</f>
        <v>656900.76</v>
      </c>
      <c r="I217" s="18">
        <f>8641.51+1827.99+25.36</f>
        <v>10494.86</v>
      </c>
      <c r="J217" s="18"/>
      <c r="K217" s="18">
        <f>1140.02+570.01</f>
        <v>1710.03</v>
      </c>
      <c r="L217" s="13">
        <f>SUM(F217:K217)</f>
        <v>2712049.3899999997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135014.96</v>
      </c>
      <c r="G219" s="18">
        <v>37278.31</v>
      </c>
      <c r="H219" s="18">
        <f>26485.32</f>
        <v>26485.32</v>
      </c>
      <c r="I219" s="18">
        <f>15639.49+447.61</f>
        <v>16087.1</v>
      </c>
      <c r="J219" s="18"/>
      <c r="K219" s="18">
        <f>3154</f>
        <v>3154</v>
      </c>
      <c r="L219" s="13">
        <f>SUM(F219:K219)</f>
        <v>218019.69</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414520.2+16907.26</f>
        <v>431427.46</v>
      </c>
      <c r="G221" s="18">
        <f>241600.29+10117.92</f>
        <v>251718.21000000002</v>
      </c>
      <c r="H221" s="18">
        <f>342567.36+22876.17+3876</f>
        <v>369319.52999999997</v>
      </c>
      <c r="I221" s="18">
        <f>3858.25+3005.64</f>
        <v>6863.8899999999994</v>
      </c>
      <c r="J221" s="18"/>
      <c r="K221" s="18"/>
      <c r="L221" s="13">
        <f t="shared" ref="L221:L227" si="2">SUM(F221:K221)</f>
        <v>1059329.0899999999</v>
      </c>
      <c r="M221" s="8"/>
      <c r="N221" s="164"/>
    </row>
    <row r="222" spans="1:14" s="3" customFormat="1" ht="12.2" customHeight="1" x14ac:dyDescent="0.15">
      <c r="A222" s="1" t="s">
        <v>443</v>
      </c>
      <c r="B222" s="2" t="s">
        <v>346</v>
      </c>
      <c r="C222" s="2" t="s">
        <v>295</v>
      </c>
      <c r="D222" s="2" t="s">
        <v>431</v>
      </c>
      <c r="E222" s="6">
        <v>2200</v>
      </c>
      <c r="F222" s="18">
        <v>126184.57</v>
      </c>
      <c r="G222" s="18">
        <v>62808.53</v>
      </c>
      <c r="H222" s="18">
        <f>2518.58+6532.26+34.65+607.06+911.93</f>
        <v>10604.48</v>
      </c>
      <c r="I222" s="18">
        <f>14709.4+3773.72+103.18</f>
        <v>18586.3</v>
      </c>
      <c r="J222" s="18">
        <f>44105.02</f>
        <v>44105.02</v>
      </c>
      <c r="K222" s="18">
        <v>7810.14</v>
      </c>
      <c r="L222" s="13">
        <f t="shared" si="2"/>
        <v>270099.04000000004</v>
      </c>
      <c r="M222" s="8"/>
      <c r="N222" s="164"/>
    </row>
    <row r="223" spans="1:14" s="3" customFormat="1" ht="12.2" customHeight="1" x14ac:dyDescent="0.15">
      <c r="A223" s="1" t="s">
        <v>444</v>
      </c>
      <c r="B223" s="2" t="s">
        <v>346</v>
      </c>
      <c r="C223" s="2" t="s">
        <v>296</v>
      </c>
      <c r="D223" s="2" t="s">
        <v>431</v>
      </c>
      <c r="E223" s="6">
        <v>2300</v>
      </c>
      <c r="F223" s="18">
        <v>175581.89</v>
      </c>
      <c r="G223" s="18">
        <v>95690.880000000005</v>
      </c>
      <c r="H223" s="18">
        <f>52619.72+1001.11+4241.54+1335.64+128.91</f>
        <v>59326.920000000006</v>
      </c>
      <c r="I223" s="18">
        <v>3780.95</v>
      </c>
      <c r="J223" s="18">
        <f>1440.26+4.59</f>
        <v>1444.85</v>
      </c>
      <c r="K223" s="18">
        <f>3393.09</f>
        <v>3393.09</v>
      </c>
      <c r="L223" s="13">
        <f t="shared" si="2"/>
        <v>339218.58</v>
      </c>
      <c r="M223" s="8"/>
      <c r="N223" s="164"/>
    </row>
    <row r="224" spans="1:14" s="3" customFormat="1" ht="12.2" customHeight="1" x14ac:dyDescent="0.15">
      <c r="A224" s="1" t="s">
        <v>445</v>
      </c>
      <c r="B224" s="2" t="s">
        <v>346</v>
      </c>
      <c r="C224" s="2" t="s">
        <v>297</v>
      </c>
      <c r="D224" s="2" t="s">
        <v>431</v>
      </c>
      <c r="E224" s="6">
        <v>2400</v>
      </c>
      <c r="F224" s="18">
        <f>438315.9+87121.34</f>
        <v>525437.24</v>
      </c>
      <c r="G224" s="18">
        <f>254378.83+46322.31</f>
        <v>300701.14</v>
      </c>
      <c r="H224" s="18">
        <f>1310.83</f>
        <v>1310.83</v>
      </c>
      <c r="I224" s="18">
        <f>968.09+3546.48</f>
        <v>4514.57</v>
      </c>
      <c r="J224" s="18">
        <f>73+58.48</f>
        <v>131.47999999999999</v>
      </c>
      <c r="K224" s="18">
        <f>3379.99</f>
        <v>3379.99</v>
      </c>
      <c r="L224" s="13">
        <f t="shared" si="2"/>
        <v>835475.24999999988</v>
      </c>
      <c r="M224" s="8"/>
      <c r="N224" s="164"/>
    </row>
    <row r="225" spans="1:14" s="3" customFormat="1" ht="12.2" customHeight="1" x14ac:dyDescent="0.15">
      <c r="A225" s="1" t="s">
        <v>446</v>
      </c>
      <c r="B225" s="2" t="s">
        <v>346</v>
      </c>
      <c r="C225" s="2" t="s">
        <v>298</v>
      </c>
      <c r="D225" s="2" t="s">
        <v>431</v>
      </c>
      <c r="E225" s="6">
        <v>2500</v>
      </c>
      <c r="F225" s="18">
        <v>53363.65</v>
      </c>
      <c r="G225" s="18">
        <v>29732.82</v>
      </c>
      <c r="H225" s="18">
        <f>85861</f>
        <v>85861</v>
      </c>
      <c r="I225" s="18"/>
      <c r="J225" s="18"/>
      <c r="K225" s="18">
        <f>1024.37</f>
        <v>1024.3699999999999</v>
      </c>
      <c r="L225" s="13">
        <f t="shared" si="2"/>
        <v>169981.84</v>
      </c>
      <c r="M225" s="8"/>
      <c r="N225" s="164"/>
    </row>
    <row r="226" spans="1:14" s="3" customFormat="1" ht="12.2" customHeight="1" x14ac:dyDescent="0.15">
      <c r="A226" s="1" t="s">
        <v>447</v>
      </c>
      <c r="B226" s="2" t="s">
        <v>346</v>
      </c>
      <c r="C226" s="2" t="s">
        <v>299</v>
      </c>
      <c r="D226" s="2" t="s">
        <v>431</v>
      </c>
      <c r="E226" s="6">
        <v>2600</v>
      </c>
      <c r="F226" s="18">
        <f>163681.95+127057.17</f>
        <v>290739.12</v>
      </c>
      <c r="G226" s="18">
        <f>87029.5+57698.84</f>
        <v>144728.34</v>
      </c>
      <c r="H226" s="18">
        <f>106081.35+139948.89+42213.89+177.65+33192.53</f>
        <v>321614.31000000006</v>
      </c>
      <c r="I226" s="18">
        <f>72384.24+30.19</f>
        <v>72414.430000000008</v>
      </c>
      <c r="J226" s="18">
        <f>7160.31</f>
        <v>7160.31</v>
      </c>
      <c r="K226" s="18">
        <f>176.89</f>
        <v>176.89</v>
      </c>
      <c r="L226" s="13">
        <f t="shared" si="2"/>
        <v>836833.40000000014</v>
      </c>
      <c r="M226" s="8"/>
      <c r="N226" s="164"/>
    </row>
    <row r="227" spans="1:14" s="3" customFormat="1" ht="12.2" customHeight="1" x14ac:dyDescent="0.15">
      <c r="A227" s="1" t="s">
        <v>448</v>
      </c>
      <c r="B227" s="2" t="s">
        <v>346</v>
      </c>
      <c r="C227" s="2" t="s">
        <v>300</v>
      </c>
      <c r="D227" s="2" t="s">
        <v>431</v>
      </c>
      <c r="E227" s="6">
        <v>2700</v>
      </c>
      <c r="F227" s="18">
        <v>15815.37</v>
      </c>
      <c r="G227" s="18">
        <v>7207.93</v>
      </c>
      <c r="H227" s="18">
        <f>4607.04+644946.16+3621.39+16331.02</f>
        <v>669505.6100000001</v>
      </c>
      <c r="I227" s="18"/>
      <c r="J227" s="18"/>
      <c r="K227" s="18"/>
      <c r="L227" s="13">
        <f t="shared" si="2"/>
        <v>692528.91000000015</v>
      </c>
      <c r="M227" s="8"/>
      <c r="N227" s="164"/>
    </row>
    <row r="228" spans="1:14" s="3" customFormat="1" ht="12.2" customHeight="1" x14ac:dyDescent="0.15">
      <c r="A228" s="1" t="s">
        <v>449</v>
      </c>
      <c r="B228" s="2" t="s">
        <v>346</v>
      </c>
      <c r="C228" s="2" t="s">
        <v>343</v>
      </c>
      <c r="D228" s="2" t="s">
        <v>431</v>
      </c>
      <c r="E228" s="6">
        <v>2800</v>
      </c>
      <c r="F228" s="18"/>
      <c r="G228" s="18"/>
      <c r="H228" s="18">
        <f>17351.3+3251.34+24.29</f>
        <v>20626.93</v>
      </c>
      <c r="I228" s="18">
        <v>219.48</v>
      </c>
      <c r="J228" s="18">
        <v>1967.92</v>
      </c>
      <c r="K228" s="18"/>
      <c r="L228" s="13">
        <f>SUM(F228:K228)</f>
        <v>22814.33</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6955497.5700000012</v>
      </c>
      <c r="G230" s="38">
        <f>SUM(G216:G229)</f>
        <v>3823776.6299999994</v>
      </c>
      <c r="H230" s="38">
        <f>SUM(H216:H229)</f>
        <v>2249952.6700000004</v>
      </c>
      <c r="I230" s="38">
        <f>SUM(I216:I229)</f>
        <v>251273.66</v>
      </c>
      <c r="J230" s="38">
        <f>SUM(J216:J229)</f>
        <v>64360.179999999993</v>
      </c>
      <c r="K230" s="38">
        <f t="shared" si="3"/>
        <v>20648.509999999998</v>
      </c>
      <c r="L230" s="38">
        <f t="shared" si="3"/>
        <v>13365509.220000001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6996438.11+406474.42</f>
        <v>7402912.5300000003</v>
      </c>
      <c r="G234" s="18">
        <f>4087788.66+166570.77</f>
        <v>4254359.43</v>
      </c>
      <c r="H234" s="18">
        <f>6990+2648.06+15114.42+35694.93+10537.5+3060</f>
        <v>74044.91</v>
      </c>
      <c r="I234" s="18">
        <f>197444.75+1984.63</f>
        <v>199429.38</v>
      </c>
      <c r="J234" s="18">
        <f>23890.05</f>
        <v>23890.05</v>
      </c>
      <c r="K234" s="18">
        <f>86.45+52350.06</f>
        <v>52436.509999999995</v>
      </c>
      <c r="L234" s="13">
        <f>SUM(F234:K234)</f>
        <v>12007072.810000002</v>
      </c>
      <c r="M234" s="8"/>
      <c r="N234" s="164"/>
    </row>
    <row r="235" spans="1:14" s="3" customFormat="1" ht="12.2" customHeight="1" x14ac:dyDescent="0.15">
      <c r="A235" s="1" t="s">
        <v>439</v>
      </c>
      <c r="B235" s="2" t="s">
        <v>350</v>
      </c>
      <c r="C235" s="2" t="s">
        <v>291</v>
      </c>
      <c r="D235" s="2" t="s">
        <v>431</v>
      </c>
      <c r="E235" s="6">
        <v>1200</v>
      </c>
      <c r="F235" s="18">
        <f>1920882.77+133353.85</f>
        <v>2054236.62</v>
      </c>
      <c r="G235" s="18">
        <f>989108.87+75797.71</f>
        <v>1064906.58</v>
      </c>
      <c r="H235" s="18">
        <f>2289.75+60548.35+367699.46+1954938.93-6428.1</f>
        <v>2379048.3899999997</v>
      </c>
      <c r="I235" s="18">
        <f>12934.25+3655.99-101.46</f>
        <v>16488.78</v>
      </c>
      <c r="J235" s="18"/>
      <c r="K235" s="18">
        <v>0</v>
      </c>
      <c r="L235" s="13">
        <f>SUM(F235:K235)</f>
        <v>5514680.3700000001</v>
      </c>
      <c r="M235" s="8"/>
      <c r="N235" s="164"/>
    </row>
    <row r="236" spans="1:14" s="3" customFormat="1" ht="12.2" customHeight="1" x14ac:dyDescent="0.15">
      <c r="A236" s="1" t="s">
        <v>440</v>
      </c>
      <c r="B236" s="2" t="s">
        <v>350</v>
      </c>
      <c r="C236" s="2" t="s">
        <v>292</v>
      </c>
      <c r="D236" s="2" t="s">
        <v>431</v>
      </c>
      <c r="E236" s="6">
        <v>1300</v>
      </c>
      <c r="F236" s="18"/>
      <c r="G236" s="18"/>
      <c r="H236" s="18">
        <f>62426.67+78179.83</f>
        <v>140606.5</v>
      </c>
      <c r="I236" s="18"/>
      <c r="J236" s="18"/>
      <c r="K236" s="18"/>
      <c r="L236" s="13">
        <f>SUM(F236:K236)</f>
        <v>140606.5</v>
      </c>
      <c r="M236" s="8"/>
      <c r="N236" s="164"/>
    </row>
    <row r="237" spans="1:14" s="3" customFormat="1" ht="12.2" customHeight="1" x14ac:dyDescent="0.15">
      <c r="A237" s="1" t="s">
        <v>441</v>
      </c>
      <c r="B237" s="2" t="s">
        <v>350</v>
      </c>
      <c r="C237" s="2" t="s">
        <v>293</v>
      </c>
      <c r="D237" s="2" t="s">
        <v>431</v>
      </c>
      <c r="E237" s="6">
        <v>1400</v>
      </c>
      <c r="F237" s="18">
        <v>604781.57999999996</v>
      </c>
      <c r="G237" s="18">
        <v>217777.35</v>
      </c>
      <c r="H237" s="18">
        <f>102511.19+79464.18</f>
        <v>181975.37</v>
      </c>
      <c r="I237" s="18">
        <f>1421.53+46655.62+895.22</f>
        <v>48972.37</v>
      </c>
      <c r="J237" s="18">
        <f>5954.42</f>
        <v>5954.42</v>
      </c>
      <c r="K237" s="18">
        <f>53893.52</f>
        <v>53893.52</v>
      </c>
      <c r="L237" s="13">
        <f>SUM(F237:K237)</f>
        <v>1113354.6099999999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752672.85+33814.52</f>
        <v>786487.37</v>
      </c>
      <c r="G239" s="18">
        <f>432276.71+20235.85</f>
        <v>452512.56</v>
      </c>
      <c r="H239" s="18">
        <f>37332.05+1038731.6+45752.35+7752</f>
        <v>1129568</v>
      </c>
      <c r="I239" s="18">
        <f>15382.81+6011.28</f>
        <v>21394.09</v>
      </c>
      <c r="J239" s="18"/>
      <c r="K239" s="18"/>
      <c r="L239" s="13">
        <f t="shared" ref="L239:L245" si="4">SUM(F239:K239)</f>
        <v>2389962.0199999996</v>
      </c>
      <c r="M239" s="8"/>
      <c r="N239" s="164"/>
    </row>
    <row r="240" spans="1:14" s="3" customFormat="1" ht="12.2" customHeight="1" x14ac:dyDescent="0.15">
      <c r="A240" s="1" t="s">
        <v>443</v>
      </c>
      <c r="B240" s="2" t="s">
        <v>350</v>
      </c>
      <c r="C240" s="2" t="s">
        <v>295</v>
      </c>
      <c r="D240" s="2" t="s">
        <v>431</v>
      </c>
      <c r="E240" s="6">
        <v>2200</v>
      </c>
      <c r="F240" s="18">
        <v>252369.13</v>
      </c>
      <c r="G240" s="18">
        <v>125617.05</v>
      </c>
      <c r="H240" s="18">
        <f>1088+5037.17+13064.52+69.31+1214.13+1823.86</f>
        <v>22296.990000000005</v>
      </c>
      <c r="I240" s="18">
        <f>25805.31+7547.44+206.37</f>
        <v>33559.120000000003</v>
      </c>
      <c r="J240" s="18">
        <f>656.06+88210.05</f>
        <v>88866.11</v>
      </c>
      <c r="K240" s="18">
        <f>15620.28</f>
        <v>15620.28</v>
      </c>
      <c r="L240" s="13">
        <f t="shared" si="4"/>
        <v>538328.67999999993</v>
      </c>
      <c r="M240" s="8"/>
      <c r="N240" s="164"/>
    </row>
    <row r="241" spans="1:14" s="3" customFormat="1" ht="12.2" customHeight="1" x14ac:dyDescent="0.15">
      <c r="A241" s="1" t="s">
        <v>444</v>
      </c>
      <c r="B241" s="2" t="s">
        <v>350</v>
      </c>
      <c r="C241" s="2" t="s">
        <v>296</v>
      </c>
      <c r="D241" s="2" t="s">
        <v>431</v>
      </c>
      <c r="E241" s="6">
        <v>2300</v>
      </c>
      <c r="F241" s="18">
        <v>351163.78</v>
      </c>
      <c r="G241" s="18">
        <v>191381.76000000001</v>
      </c>
      <c r="H241" s="18">
        <f>105239.44+2002.21+8483.09+2671.27+257.81</f>
        <v>118653.82</v>
      </c>
      <c r="I241" s="18">
        <f>7561.89</f>
        <v>7561.89</v>
      </c>
      <c r="J241" s="18">
        <f>2880.51+9.18</f>
        <v>2889.69</v>
      </c>
      <c r="K241" s="18">
        <f>6786.19</f>
        <v>6786.19</v>
      </c>
      <c r="L241" s="13">
        <f t="shared" si="4"/>
        <v>678437.13</v>
      </c>
      <c r="M241" s="8"/>
      <c r="N241" s="164"/>
    </row>
    <row r="242" spans="1:14" s="3" customFormat="1" ht="12.2" customHeight="1" x14ac:dyDescent="0.15">
      <c r="A242" s="1" t="s">
        <v>445</v>
      </c>
      <c r="B242" s="2" t="s">
        <v>350</v>
      </c>
      <c r="C242" s="2" t="s">
        <v>297</v>
      </c>
      <c r="D242" s="2" t="s">
        <v>431</v>
      </c>
      <c r="E242" s="6">
        <v>2400</v>
      </c>
      <c r="F242" s="18">
        <f>1221560.79+174242.68</f>
        <v>1395803.47</v>
      </c>
      <c r="G242" s="18">
        <f>703840.38+92644.62</f>
        <v>796485</v>
      </c>
      <c r="H242" s="18">
        <f>2031+11307.37</f>
        <v>13338.37</v>
      </c>
      <c r="I242" s="18">
        <f>1750.14+7092.96</f>
        <v>8843.1</v>
      </c>
      <c r="J242" s="18">
        <f>146+116.96</f>
        <v>262.95999999999998</v>
      </c>
      <c r="K242" s="18">
        <f>33656.29</f>
        <v>33656.29</v>
      </c>
      <c r="L242" s="13">
        <f t="shared" si="4"/>
        <v>2248389.19</v>
      </c>
      <c r="M242" s="8"/>
      <c r="N242" s="164"/>
    </row>
    <row r="243" spans="1:14" s="3" customFormat="1" ht="12.2" customHeight="1" x14ac:dyDescent="0.15">
      <c r="A243" s="1" t="s">
        <v>446</v>
      </c>
      <c r="B243" s="2" t="s">
        <v>350</v>
      </c>
      <c r="C243" s="2" t="s">
        <v>298</v>
      </c>
      <c r="D243" s="2" t="s">
        <v>431</v>
      </c>
      <c r="E243" s="6">
        <v>2500</v>
      </c>
      <c r="F243" s="18">
        <v>106727.3</v>
      </c>
      <c r="G243" s="18">
        <v>59465.65</v>
      </c>
      <c r="H243" s="18">
        <f>171721.99</f>
        <v>171721.99</v>
      </c>
      <c r="I243" s="18"/>
      <c r="J243" s="18"/>
      <c r="K243" s="18">
        <f>2048.73</f>
        <v>2048.73</v>
      </c>
      <c r="L243" s="13">
        <f t="shared" si="4"/>
        <v>339963.67</v>
      </c>
      <c r="M243" s="8"/>
      <c r="N243" s="164"/>
    </row>
    <row r="244" spans="1:14" s="3" customFormat="1" ht="12.2" customHeight="1" x14ac:dyDescent="0.15">
      <c r="A244" s="1" t="s">
        <v>447</v>
      </c>
      <c r="B244" s="2" t="s">
        <v>350</v>
      </c>
      <c r="C244" s="2" t="s">
        <v>299</v>
      </c>
      <c r="D244" s="2" t="s">
        <v>431</v>
      </c>
      <c r="E244" s="6">
        <v>2600</v>
      </c>
      <c r="F244" s="18">
        <f>178484.28+254114.34</f>
        <v>432598.62</v>
      </c>
      <c r="G244" s="18">
        <f>94899.88+115397.68</f>
        <v>210297.56</v>
      </c>
      <c r="H244" s="18">
        <f>212162.69+279897.78+84427.78+0.49+355.3+66385.06-0.02</f>
        <v>643229.08000000007</v>
      </c>
      <c r="I244" s="18">
        <f>128.01+546805.32+144768.47+60.37</f>
        <v>691762.16999999993</v>
      </c>
      <c r="J244" s="18">
        <f>14320.62</f>
        <v>14320.62</v>
      </c>
      <c r="K244" s="18">
        <f>353.77</f>
        <v>353.77</v>
      </c>
      <c r="L244" s="13">
        <f t="shared" si="4"/>
        <v>1992561.82</v>
      </c>
      <c r="M244" s="8"/>
      <c r="N244" s="164"/>
    </row>
    <row r="245" spans="1:14" s="3" customFormat="1" ht="12.2" customHeight="1" x14ac:dyDescent="0.15">
      <c r="A245" s="1" t="s">
        <v>448</v>
      </c>
      <c r="B245" s="2" t="s">
        <v>350</v>
      </c>
      <c r="C245" s="2" t="s">
        <v>300</v>
      </c>
      <c r="D245" s="2" t="s">
        <v>431</v>
      </c>
      <c r="E245" s="6">
        <v>2700</v>
      </c>
      <c r="F245" s="18">
        <v>31630.75</v>
      </c>
      <c r="G245" s="18">
        <v>14415.87</v>
      </c>
      <c r="H245" s="18">
        <f>1289892.31+7242.77+142326.81</f>
        <v>1439461.8900000001</v>
      </c>
      <c r="I245" s="18"/>
      <c r="J245" s="18"/>
      <c r="K245" s="18"/>
      <c r="L245" s="13">
        <f t="shared" si="4"/>
        <v>1485508.5100000002</v>
      </c>
      <c r="M245" s="8"/>
      <c r="N245" s="164"/>
    </row>
    <row r="246" spans="1:14" s="3" customFormat="1" ht="12.2" customHeight="1" x14ac:dyDescent="0.15">
      <c r="A246" s="1" t="s">
        <v>449</v>
      </c>
      <c r="B246" s="2" t="s">
        <v>350</v>
      </c>
      <c r="C246" s="2" t="s">
        <v>343</v>
      </c>
      <c r="D246" s="2" t="s">
        <v>431</v>
      </c>
      <c r="E246" s="6">
        <v>2800</v>
      </c>
      <c r="F246" s="18"/>
      <c r="G246" s="18"/>
      <c r="H246" s="18">
        <f>34702.59+6502.68+48.59</f>
        <v>41253.859999999993</v>
      </c>
      <c r="I246" s="18">
        <v>438.96</v>
      </c>
      <c r="J246" s="18">
        <v>3935.84</v>
      </c>
      <c r="K246" s="18"/>
      <c r="L246" s="13">
        <f>SUM(F246:K246)</f>
        <v>45628.659999999989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13418711.15</v>
      </c>
      <c r="G248" s="38">
        <f t="shared" si="5"/>
        <v>7387218.8099999987</v>
      </c>
      <c r="H248" s="38">
        <f t="shared" si="5"/>
        <v>6355199.1700000009</v>
      </c>
      <c r="I248" s="38">
        <f t="shared" si="5"/>
        <v>1028449.8599999999</v>
      </c>
      <c r="J248" s="38">
        <f t="shared" si="5"/>
        <v>140119.69</v>
      </c>
      <c r="K248" s="38">
        <f t="shared" si="5"/>
        <v>164795.29</v>
      </c>
      <c r="L248" s="38">
        <f t="shared" si="5"/>
        <v>28494493.970000006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f>5332.59+10241.19</f>
        <v>15573.78</v>
      </c>
      <c r="G252" s="18">
        <f>1472.35+2827.64</f>
        <v>4299.99</v>
      </c>
      <c r="H252" s="18"/>
      <c r="I252" s="18"/>
      <c r="J252" s="18"/>
      <c r="K252" s="18"/>
      <c r="L252" s="13">
        <f t="shared" si="6"/>
        <v>19873.77</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v>263.27999999999997</v>
      </c>
      <c r="J254" s="18"/>
      <c r="K254" s="18"/>
      <c r="L254" s="13">
        <f t="shared" si="6"/>
        <v>263.27999999999997</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193405</v>
      </c>
      <c r="I256" s="18"/>
      <c r="J256" s="18"/>
      <c r="K256" s="18"/>
      <c r="L256" s="13">
        <f t="shared" si="6"/>
        <v>193405</v>
      </c>
      <c r="M256" s="8"/>
      <c r="N256" s="164"/>
    </row>
    <row r="257" spans="1:14" s="3" customFormat="1" ht="12.2" customHeight="1" thickTop="1" thickBot="1" x14ac:dyDescent="0.2">
      <c r="A257" s="35" t="s">
        <v>461</v>
      </c>
      <c r="B257" s="37">
        <v>10</v>
      </c>
      <c r="C257" s="37">
        <v>7</v>
      </c>
      <c r="D257" s="36" t="s">
        <v>431</v>
      </c>
      <c r="E257" s="37"/>
      <c r="F257" s="38">
        <f t="shared" ref="F257:K257" si="7">SUM(F251:F256)</f>
        <v>15573.78</v>
      </c>
      <c r="G257" s="38">
        <f t="shared" si="7"/>
        <v>4299.99</v>
      </c>
      <c r="H257" s="38">
        <f t="shared" si="7"/>
        <v>193405</v>
      </c>
      <c r="I257" s="38">
        <f t="shared" si="7"/>
        <v>263.27999999999997</v>
      </c>
      <c r="J257" s="38">
        <f t="shared" si="7"/>
        <v>0</v>
      </c>
      <c r="K257" s="38">
        <f t="shared" si="7"/>
        <v>0</v>
      </c>
      <c r="L257" s="38">
        <f>SUM(F257:K257)</f>
        <v>213542.05</v>
      </c>
      <c r="M257" s="8"/>
      <c r="N257" s="164"/>
    </row>
    <row r="258" spans="1:14" s="3" customFormat="1" ht="12.2" customHeight="1" thickTop="1" x14ac:dyDescent="0.15">
      <c r="A258" s="35" t="s">
        <v>462</v>
      </c>
      <c r="B258" s="37">
        <v>10</v>
      </c>
      <c r="C258" s="37">
        <v>8</v>
      </c>
      <c r="D258" s="36" t="s">
        <v>431</v>
      </c>
      <c r="E258" s="37"/>
      <c r="F258" s="38">
        <f t="shared" ref="F258:L258" si="8">F212+F230+F248+F257</f>
        <v>39708566.039999999</v>
      </c>
      <c r="G258" s="38">
        <f t="shared" si="8"/>
        <v>21704234.059999999</v>
      </c>
      <c r="H258" s="38">
        <f t="shared" si="8"/>
        <v>14242168.170000002</v>
      </c>
      <c r="I258" s="38">
        <f t="shared" si="8"/>
        <v>2472985.65</v>
      </c>
      <c r="J258" s="38">
        <f t="shared" si="8"/>
        <v>408778.23999999999</v>
      </c>
      <c r="K258" s="38">
        <f t="shared" si="8"/>
        <v>239477.78000000003</v>
      </c>
      <c r="L258" s="38">
        <f t="shared" si="8"/>
        <v>78776209.939999998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2351500</v>
      </c>
      <c r="L261" s="13">
        <f>SUM(F261:K261)</f>
        <v>2351500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1011926.27</v>
      </c>
      <c r="L262" s="13">
        <f>SUM(F262:K262)</f>
        <v>1011926.27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3393.98+38084.17+6428.1</f>
        <v>47906.25</v>
      </c>
      <c r="L269" s="13">
        <f t="shared" si="9"/>
        <v>47906.25</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3411332.52</v>
      </c>
      <c r="L271" s="38">
        <f t="shared" si="9"/>
        <v>3411332.52</v>
      </c>
      <c r="M271" s="8"/>
      <c r="N271" s="164"/>
    </row>
    <row r="272" spans="1:14" s="33" customFormat="1" ht="12.2" customHeight="1" thickTop="1" x14ac:dyDescent="0.2">
      <c r="A272" s="40" t="s">
        <v>464</v>
      </c>
      <c r="B272" s="37">
        <v>10</v>
      </c>
      <c r="C272" s="37">
        <v>18</v>
      </c>
      <c r="D272" s="36" t="s">
        <v>431</v>
      </c>
      <c r="E272" s="37"/>
      <c r="F272" s="39">
        <f t="shared" ref="F272:L272" si="11">F258+F271</f>
        <v>39708566.039999999</v>
      </c>
      <c r="G272" s="39">
        <f t="shared" si="11"/>
        <v>21704234.059999999</v>
      </c>
      <c r="H272" s="39">
        <f t="shared" si="11"/>
        <v>14242168.170000002</v>
      </c>
      <c r="I272" s="39">
        <f t="shared" si="11"/>
        <v>2472985.65</v>
      </c>
      <c r="J272" s="39">
        <f t="shared" si="11"/>
        <v>408778.23999999999</v>
      </c>
      <c r="K272" s="39">
        <f t="shared" si="11"/>
        <v>3650810.3</v>
      </c>
      <c r="L272" s="39">
        <f t="shared" si="11"/>
        <v>82187542.459999993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135238.57</v>
      </c>
      <c r="G277" s="18">
        <v>5486.9</v>
      </c>
      <c r="H277" s="18">
        <v>697</v>
      </c>
      <c r="I277" s="18">
        <v>3997.31</v>
      </c>
      <c r="J277" s="18">
        <v>375.14</v>
      </c>
      <c r="K277" s="18"/>
      <c r="L277" s="13">
        <f>SUM(F277:K277)</f>
        <v>145794.92000000001</v>
      </c>
      <c r="M277" s="8"/>
      <c r="N277" s="164"/>
    </row>
    <row r="278" spans="1:14" s="3" customFormat="1" ht="12.2" customHeight="1" x14ac:dyDescent="0.15">
      <c r="A278" s="1" t="s">
        <v>439</v>
      </c>
      <c r="B278" s="2" t="s">
        <v>357</v>
      </c>
      <c r="C278" s="2" t="s">
        <v>291</v>
      </c>
      <c r="D278" s="2" t="s">
        <v>431</v>
      </c>
      <c r="E278" s="6">
        <v>1200</v>
      </c>
      <c r="F278" s="18">
        <f>115997.93+299435.08</f>
        <v>415433.01</v>
      </c>
      <c r="G278" s="18">
        <v>-614.13</v>
      </c>
      <c r="H278" s="18">
        <f>7425.18+1380</f>
        <v>8805.18</v>
      </c>
      <c r="I278" s="18">
        <v>6925.96</v>
      </c>
      <c r="J278" s="18">
        <v>4982</v>
      </c>
      <c r="K278" s="18"/>
      <c r="L278" s="13">
        <f>SUM(F278:K278)</f>
        <v>435532.02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31901.92+109610.92-1960</f>
        <v>139552.84</v>
      </c>
      <c r="G282" s="18"/>
      <c r="H282" s="18">
        <f>1960+9812.25</f>
        <v>11772.25</v>
      </c>
      <c r="I282" s="18"/>
      <c r="J282" s="18"/>
      <c r="K282" s="18"/>
      <c r="L282" s="13">
        <f t="shared" ref="L282:L288" si="12">SUM(F282:K282)</f>
        <v>151325.09</v>
      </c>
      <c r="M282" s="8"/>
      <c r="N282" s="164"/>
    </row>
    <row r="283" spans="1:14" s="3" customFormat="1" ht="12.2" customHeight="1" x14ac:dyDescent="0.15">
      <c r="A283" s="1" t="s">
        <v>443</v>
      </c>
      <c r="B283" s="2" t="s">
        <v>357</v>
      </c>
      <c r="C283" s="2" t="s">
        <v>295</v>
      </c>
      <c r="D283" s="2" t="s">
        <v>431</v>
      </c>
      <c r="E283" s="6">
        <v>2200</v>
      </c>
      <c r="F283" s="18">
        <v>27422.28</v>
      </c>
      <c r="G283" s="18">
        <v>6095.83</v>
      </c>
      <c r="H283" s="18">
        <f>28645+16176.37+0.09</f>
        <v>44821.46</v>
      </c>
      <c r="I283" s="18">
        <v>30514</v>
      </c>
      <c r="J283" s="18"/>
      <c r="K283" s="18"/>
      <c r="L283" s="13">
        <f t="shared" si="12"/>
        <v>108853.57</v>
      </c>
      <c r="M283" s="8"/>
      <c r="N283" s="164"/>
    </row>
    <row r="284" spans="1:14" s="3" customFormat="1" ht="12.2" customHeight="1" x14ac:dyDescent="0.15">
      <c r="A284" s="1" t="s">
        <v>444</v>
      </c>
      <c r="B284" s="2" t="s">
        <v>357</v>
      </c>
      <c r="C284" s="2" t="s">
        <v>296</v>
      </c>
      <c r="D284" s="2" t="s">
        <v>431</v>
      </c>
      <c r="E284" s="6">
        <v>2300</v>
      </c>
      <c r="F284" s="18">
        <v>9000</v>
      </c>
      <c r="G284" s="18">
        <v>2448.77</v>
      </c>
      <c r="H284" s="18"/>
      <c r="I284" s="18"/>
      <c r="J284" s="18"/>
      <c r="K284" s="18"/>
      <c r="L284" s="13">
        <f t="shared" si="12"/>
        <v>11448.77</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726646.70000000007</v>
      </c>
      <c r="G291" s="39">
        <f t="shared" si="13"/>
        <v>13417.369999999999</v>
      </c>
      <c r="H291" s="39">
        <f t="shared" si="13"/>
        <v>66095.89</v>
      </c>
      <c r="I291" s="39">
        <f t="shared" si="13"/>
        <v>41437.270000000004</v>
      </c>
      <c r="J291" s="39">
        <f t="shared" si="13"/>
        <v>5357.14</v>
      </c>
      <c r="K291" s="39">
        <f t="shared" si="13"/>
        <v>0</v>
      </c>
      <c r="L291" s="38">
        <f t="shared" si="13"/>
        <v>852954.37000000011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9672.4</v>
      </c>
      <c r="G296" s="18">
        <v>-1705.24</v>
      </c>
      <c r="H296" s="18"/>
      <c r="I296" s="18"/>
      <c r="J296" s="18"/>
      <c r="K296" s="18"/>
      <c r="L296" s="13">
        <f>SUM(F296:K296)</f>
        <v>7967.16</v>
      </c>
      <c r="M296" s="8"/>
      <c r="N296" s="164"/>
    </row>
    <row r="297" spans="1:14" s="3" customFormat="1" ht="12.2" customHeight="1" x14ac:dyDescent="0.15">
      <c r="A297" s="1" t="s">
        <v>439</v>
      </c>
      <c r="B297" s="2" t="s">
        <v>358</v>
      </c>
      <c r="C297" s="2" t="s">
        <v>291</v>
      </c>
      <c r="D297" s="2" t="s">
        <v>431</v>
      </c>
      <c r="E297" s="6">
        <v>1200</v>
      </c>
      <c r="F297" s="18">
        <f>103885.64</f>
        <v>103885.64</v>
      </c>
      <c r="G297" s="18"/>
      <c r="H297" s="18"/>
      <c r="I297" s="18"/>
      <c r="J297" s="18"/>
      <c r="K297" s="18"/>
      <c r="L297" s="13">
        <f>SUM(F297:K297)</f>
        <v>103885.64</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38028.28-680</f>
        <v>37348.28</v>
      </c>
      <c r="G301" s="18"/>
      <c r="H301" s="18">
        <f>680+3404.25</f>
        <v>4084.25</v>
      </c>
      <c r="I301" s="18"/>
      <c r="J301" s="18"/>
      <c r="K301" s="18"/>
      <c r="L301" s="13">
        <f t="shared" ref="L301:L307" si="14">SUM(F301:K301)</f>
        <v>41432.53</v>
      </c>
      <c r="M301" s="8"/>
      <c r="N301" s="164"/>
    </row>
    <row r="302" spans="1:14" s="3" customFormat="1" ht="12.2" customHeight="1" x14ac:dyDescent="0.15">
      <c r="A302" s="1" t="s">
        <v>443</v>
      </c>
      <c r="B302" s="2" t="s">
        <v>358</v>
      </c>
      <c r="C302" s="2" t="s">
        <v>295</v>
      </c>
      <c r="D302" s="2" t="s">
        <v>431</v>
      </c>
      <c r="E302" s="6">
        <v>2200</v>
      </c>
      <c r="F302" s="18">
        <v>8556.85</v>
      </c>
      <c r="G302" s="18">
        <v>2183.2800000000002</v>
      </c>
      <c r="H302" s="18">
        <f>5612.21+0.03</f>
        <v>5612.24</v>
      </c>
      <c r="I302" s="18">
        <v>124.04</v>
      </c>
      <c r="J302" s="18"/>
      <c r="K302" s="18"/>
      <c r="L302" s="13">
        <f t="shared" si="14"/>
        <v>16476.41</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159463.17000000001</v>
      </c>
      <c r="G310" s="39">
        <f t="shared" si="15"/>
        <v>478.04000000000019</v>
      </c>
      <c r="H310" s="39">
        <f t="shared" si="15"/>
        <v>9696.49</v>
      </c>
      <c r="I310" s="39">
        <f t="shared" si="15"/>
        <v>124.04</v>
      </c>
      <c r="J310" s="39">
        <f t="shared" si="15"/>
        <v>0</v>
      </c>
      <c r="K310" s="39">
        <f t="shared" si="15"/>
        <v>0</v>
      </c>
      <c r="L310" s="38">
        <f t="shared" si="15"/>
        <v>169761.74000000002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v>-1460.7</v>
      </c>
      <c r="H315" s="18"/>
      <c r="I315" s="18"/>
      <c r="J315" s="18">
        <v>4410.4799999999996</v>
      </c>
      <c r="K315" s="18"/>
      <c r="L315" s="13">
        <f>SUM(F315:K315)</f>
        <v>2949.7799999999997</v>
      </c>
      <c r="M315" s="8"/>
      <c r="N315" s="164"/>
    </row>
    <row r="316" spans="1:14" s="3" customFormat="1" ht="12.2" customHeight="1" x14ac:dyDescent="0.15">
      <c r="A316" s="1" t="s">
        <v>439</v>
      </c>
      <c r="B316" s="2" t="s">
        <v>359</v>
      </c>
      <c r="C316" s="2" t="s">
        <v>291</v>
      </c>
      <c r="D316" s="2" t="s">
        <v>431</v>
      </c>
      <c r="E316" s="6">
        <v>1200</v>
      </c>
      <c r="F316" s="18">
        <f>207771.28</f>
        <v>207771.28</v>
      </c>
      <c r="G316" s="18"/>
      <c r="H316" s="18">
        <v>94834.5</v>
      </c>
      <c r="I316" s="18"/>
      <c r="J316" s="18"/>
      <c r="K316" s="18"/>
      <c r="L316" s="13">
        <f>SUM(F316:K316)</f>
        <v>302605.78000000003</v>
      </c>
      <c r="M316" s="8"/>
      <c r="N316" s="164"/>
    </row>
    <row r="317" spans="1:14" s="3" customFormat="1" ht="12.2" customHeight="1" x14ac:dyDescent="0.15">
      <c r="A317" s="1" t="s">
        <v>440</v>
      </c>
      <c r="B317" s="2" t="s">
        <v>359</v>
      </c>
      <c r="C317" s="2" t="s">
        <v>292</v>
      </c>
      <c r="D317" s="2" t="s">
        <v>431</v>
      </c>
      <c r="E317" s="6">
        <v>1300</v>
      </c>
      <c r="F317" s="18"/>
      <c r="G317" s="18"/>
      <c r="H317" s="18">
        <v>5670</v>
      </c>
      <c r="I317" s="18"/>
      <c r="J317" s="18"/>
      <c r="K317" s="18"/>
      <c r="L317" s="13">
        <f>SUM(F317:K317)</f>
        <v>5670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76056.56-1360</f>
        <v>74696.56</v>
      </c>
      <c r="G320" s="18"/>
      <c r="H320" s="18">
        <f>1360+6808.5</f>
        <v>8168.5</v>
      </c>
      <c r="I320" s="18"/>
      <c r="J320" s="18"/>
      <c r="K320" s="18"/>
      <c r="L320" s="13">
        <f t="shared" ref="L320:L326" si="16">SUM(F320:K320)</f>
        <v>82865.06</v>
      </c>
      <c r="M320" s="8"/>
      <c r="N320" s="164"/>
    </row>
    <row r="321" spans="1:14" s="3" customFormat="1" ht="12.2" customHeight="1" x14ac:dyDescent="0.15">
      <c r="A321" s="1" t="s">
        <v>443</v>
      </c>
      <c r="B321" s="2" t="s">
        <v>359</v>
      </c>
      <c r="C321" s="2" t="s">
        <v>295</v>
      </c>
      <c r="D321" s="2" t="s">
        <v>431</v>
      </c>
      <c r="E321" s="6">
        <v>2200</v>
      </c>
      <c r="F321" s="18">
        <v>14400</v>
      </c>
      <c r="G321" s="18">
        <v>2292.36</v>
      </c>
      <c r="H321" s="18">
        <f>24090+269+11224.42+0.06</f>
        <v>35583.479999999996</v>
      </c>
      <c r="I321" s="18"/>
      <c r="J321" s="18"/>
      <c r="K321" s="18"/>
      <c r="L321" s="13">
        <f t="shared" si="16"/>
        <v>52275.839999999997</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296867.83999999997</v>
      </c>
      <c r="G329" s="39">
        <f t="shared" si="17"/>
        <v>831.66000000000008</v>
      </c>
      <c r="H329" s="39">
        <f t="shared" si="17"/>
        <v>144256.47999999998</v>
      </c>
      <c r="I329" s="39">
        <f t="shared" si="17"/>
        <v>0</v>
      </c>
      <c r="J329" s="39">
        <f t="shared" si="17"/>
        <v>4410.4799999999996</v>
      </c>
      <c r="K329" s="39">
        <f t="shared" si="17"/>
        <v>0</v>
      </c>
      <c r="L329" s="38">
        <f t="shared" si="17"/>
        <v>446366.46000000008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v>18032.52</v>
      </c>
      <c r="G334" s="18"/>
      <c r="H334" s="18"/>
      <c r="I334" s="18"/>
      <c r="J334" s="18"/>
      <c r="K334" s="18"/>
      <c r="L334" s="13">
        <f t="shared" si="18"/>
        <v>18032.52</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113719</v>
      </c>
      <c r="I337" s="18"/>
      <c r="J337" s="18">
        <v>591590</v>
      </c>
      <c r="K337" s="18"/>
      <c r="L337" s="13">
        <f t="shared" si="18"/>
        <v>705309</v>
      </c>
      <c r="M337" s="8"/>
      <c r="N337" s="164"/>
    </row>
    <row r="338" spans="1:43" s="3" customFormat="1" ht="12.2" customHeight="1" thickTop="1" thickBot="1" x14ac:dyDescent="0.2">
      <c r="A338" s="46" t="s">
        <v>467</v>
      </c>
      <c r="B338" s="37">
        <v>14</v>
      </c>
      <c r="C338" s="47">
        <v>6</v>
      </c>
      <c r="D338" s="44" t="s">
        <v>431</v>
      </c>
      <c r="E338" s="47"/>
      <c r="F338" s="38">
        <f t="shared" ref="F338:K338" si="19">SUM(F333:F337)</f>
        <v>18032.52</v>
      </c>
      <c r="G338" s="38">
        <f t="shared" si="19"/>
        <v>0</v>
      </c>
      <c r="H338" s="38">
        <f t="shared" si="19"/>
        <v>113719</v>
      </c>
      <c r="I338" s="38">
        <f t="shared" si="19"/>
        <v>0</v>
      </c>
      <c r="J338" s="38">
        <f t="shared" si="19"/>
        <v>591590</v>
      </c>
      <c r="K338" s="38">
        <f t="shared" si="19"/>
        <v>0</v>
      </c>
      <c r="L338" s="38">
        <f t="shared" si="18"/>
        <v>723341.52</v>
      </c>
      <c r="M338" s="8"/>
      <c r="N338" s="164"/>
    </row>
    <row r="339" spans="1:43" s="3" customFormat="1" ht="12.2" customHeight="1" thickTop="1" x14ac:dyDescent="0.15">
      <c r="A339" s="35" t="s">
        <v>468</v>
      </c>
      <c r="B339" s="37">
        <v>14</v>
      </c>
      <c r="C339" s="37">
        <v>7</v>
      </c>
      <c r="D339" s="36" t="s">
        <v>431</v>
      </c>
      <c r="E339" s="37"/>
      <c r="F339" s="38">
        <f t="shared" ref="F339:L339" si="20">F291+F310+F329+F338</f>
        <v>1201010.23</v>
      </c>
      <c r="G339" s="38">
        <f t="shared" si="20"/>
        <v>14727.07</v>
      </c>
      <c r="H339" s="38">
        <f t="shared" si="20"/>
        <v>333767.86</v>
      </c>
      <c r="I339" s="38">
        <f t="shared" si="20"/>
        <v>41561.310000000005</v>
      </c>
      <c r="J339" s="38">
        <f t="shared" si="20"/>
        <v>601357.62</v>
      </c>
      <c r="K339" s="38">
        <f t="shared" si="20"/>
        <v>0</v>
      </c>
      <c r="L339" s="38">
        <f t="shared" si="20"/>
        <v>2192424.0900000003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1201010.23</v>
      </c>
      <c r="G353" s="38">
        <f>G339</f>
        <v>14727.07</v>
      </c>
      <c r="H353" s="38">
        <f>H339</f>
        <v>333767.86</v>
      </c>
      <c r="I353" s="38">
        <f>I339</f>
        <v>41561.310000000005</v>
      </c>
      <c r="J353" s="38">
        <f>J339</f>
        <v>601357.62</v>
      </c>
      <c r="K353" s="38">
        <f>K339+K352</f>
        <v>0</v>
      </c>
      <c r="L353" s="38">
        <f>L339+L352</f>
        <v>2192424.0900000003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401362.07</v>
      </c>
      <c r="G359" s="18">
        <v>95723.25</v>
      </c>
      <c r="H359" s="18">
        <v>33221.24</v>
      </c>
      <c r="I359" s="18">
        <v>485767.75</v>
      </c>
      <c r="J359" s="18"/>
      <c r="K359" s="18">
        <v>4414.12</v>
      </c>
      <c r="L359" s="13">
        <f>SUM(F359:K359)</f>
        <v>1020488.43</v>
      </c>
      <c r="M359" s="8"/>
      <c r="N359" s="164"/>
    </row>
    <row r="360" spans="1:22" s="3" customFormat="1" ht="12.2" customHeight="1" x14ac:dyDescent="0.15">
      <c r="A360" s="1" t="s">
        <v>542</v>
      </c>
      <c r="B360" s="2" t="s">
        <v>366</v>
      </c>
      <c r="C360" s="6">
        <v>2</v>
      </c>
      <c r="D360" s="2" t="s">
        <v>431</v>
      </c>
      <c r="E360" s="6"/>
      <c r="F360" s="18">
        <f>125718.59-0.01</f>
        <v>125718.58</v>
      </c>
      <c r="G360" s="18">
        <v>31918.44</v>
      </c>
      <c r="H360" s="18">
        <v>8445.48</v>
      </c>
      <c r="I360" s="18">
        <v>242129.49</v>
      </c>
      <c r="J360" s="18"/>
      <c r="K360" s="18">
        <v>1531.43</v>
      </c>
      <c r="L360" s="13">
        <f>SUM(F360:K360)</f>
        <v>409743.42</v>
      </c>
      <c r="M360" s="8"/>
      <c r="N360" s="164"/>
    </row>
    <row r="361" spans="1:22" s="3" customFormat="1" ht="12.2" customHeight="1" x14ac:dyDescent="0.15">
      <c r="A361" s="3" t="s">
        <v>543</v>
      </c>
      <c r="B361" s="2" t="s">
        <v>366</v>
      </c>
      <c r="C361" s="6">
        <v>3</v>
      </c>
      <c r="D361" s="2" t="s">
        <v>431</v>
      </c>
      <c r="E361" s="6"/>
      <c r="F361" s="18">
        <f>227606.61-0.01</f>
        <v>227606.59999999998</v>
      </c>
      <c r="G361" s="18">
        <v>62406.86</v>
      </c>
      <c r="H361" s="18">
        <v>15580.41</v>
      </c>
      <c r="I361" s="18">
        <v>309445.76000000001</v>
      </c>
      <c r="J361" s="18"/>
      <c r="K361" s="18">
        <v>3062.86</v>
      </c>
      <c r="L361" s="13">
        <f>SUM(F361:K361)</f>
        <v>618102.48999999987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754687.25</v>
      </c>
      <c r="G363" s="38">
        <f t="shared" si="22"/>
        <v>190048.55</v>
      </c>
      <c r="H363" s="38">
        <f t="shared" si="22"/>
        <v>57247.130000000005</v>
      </c>
      <c r="I363" s="38">
        <f t="shared" si="22"/>
        <v>1037343</v>
      </c>
      <c r="J363" s="38">
        <f t="shared" si="22"/>
        <v>0</v>
      </c>
      <c r="K363" s="38">
        <f t="shared" si="22"/>
        <v>9008.41</v>
      </c>
      <c r="L363" s="38">
        <f t="shared" si="22"/>
        <v>2048334.3399999999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68+419409.65</f>
        <v>419477.65</v>
      </c>
      <c r="G368" s="18">
        <f>68+219067.22</f>
        <v>219135.22</v>
      </c>
      <c r="H368" s="18">
        <f>68+280230.86</f>
        <v>280298.86</v>
      </c>
      <c r="I368" s="13">
        <f>SUM(F368:H368)</f>
        <v>918911.73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732.55+64439.34+1118.21</f>
        <v>66290.100000000006</v>
      </c>
      <c r="G369" s="53">
        <f>732.55+21143.51+1118.21</f>
        <v>22994.269999999997</v>
      </c>
      <c r="H369" s="53">
        <f>732.55+27296.14+1118.21</f>
        <v>29146.899999999998</v>
      </c>
      <c r="I369" s="13">
        <f>SUM(F369:H369)</f>
        <v>118431.26999999999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485767.75</v>
      </c>
      <c r="G370" s="38">
        <f>SUM(G368:G369)</f>
        <v>242129.49</v>
      </c>
      <c r="H370" s="38">
        <f>SUM(H368:H369)</f>
        <v>309445.76000000001</v>
      </c>
      <c r="I370" s="38">
        <f>SUM(I368:I369)</f>
        <v>1037343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599426.84</v>
      </c>
      <c r="I380" s="18"/>
      <c r="J380" s="18">
        <v>695476.83</v>
      </c>
      <c r="K380" s="18"/>
      <c r="L380" s="13">
        <f t="shared" si="23"/>
        <v>1294903.67</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599426.84</v>
      </c>
      <c r="I383" s="38">
        <f t="shared" si="24"/>
        <v>0</v>
      </c>
      <c r="J383" s="38">
        <f t="shared" si="24"/>
        <v>695476.83</v>
      </c>
      <c r="K383" s="38">
        <f t="shared" si="24"/>
        <v>0</v>
      </c>
      <c r="L383" s="38">
        <f t="shared" si="24"/>
        <v>1294903.67</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45.39</v>
      </c>
      <c r="I393" s="18"/>
      <c r="J393" s="23" t="s">
        <v>288</v>
      </c>
      <c r="K393" s="23" t="s">
        <v>288</v>
      </c>
      <c r="L393" s="13">
        <f t="shared" si="25"/>
        <v>45.39</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45.39</v>
      </c>
      <c r="I394" s="54">
        <f>SUM(I388:I393)</f>
        <v>0</v>
      </c>
      <c r="J394" s="42" t="s">
        <v>288</v>
      </c>
      <c r="K394" s="42" t="s">
        <v>288</v>
      </c>
      <c r="L394" s="38">
        <f>SUM(L388:L393)</f>
        <v>45.39</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45.39</v>
      </c>
      <c r="I409" s="38">
        <f>I394+I402+I408</f>
        <v>0</v>
      </c>
      <c r="J409" s="23" t="s">
        <v>288</v>
      </c>
      <c r="K409" s="23" t="s">
        <v>288</v>
      </c>
      <c r="L409" s="38">
        <f>L394+L402+L408</f>
        <v>45.39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v>8754.98</v>
      </c>
      <c r="L419" s="13">
        <f t="shared" si="27"/>
        <v>8754.98</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8754.98</v>
      </c>
      <c r="L420" s="38">
        <f t="shared" si="28"/>
        <v>8754.98</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8754.98</v>
      </c>
      <c r="L435" s="38">
        <f t="shared" si="32"/>
        <v>8754.98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3224961.08</v>
      </c>
      <c r="G466" s="18">
        <v>611881.62</v>
      </c>
      <c r="H466" s="18"/>
      <c r="I466" s="18">
        <v>4126906.96</v>
      </c>
      <c r="J466" s="18">
        <v>8709.59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224188.54+80486659.82</f>
        <v>80710848.359999999</v>
      </c>
      <c r="G469" s="18">
        <v>2025196.72</v>
      </c>
      <c r="H469" s="18">
        <v>2192424.09</v>
      </c>
      <c r="I469" s="18">
        <v>1057811.3899999999</v>
      </c>
      <c r="J469" s="18">
        <v>45.39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80710848.359999999</v>
      </c>
      <c r="G471" s="19">
        <f>SUM(G469:G470)</f>
        <v>2025196.72</v>
      </c>
      <c r="H471" s="19">
        <f>SUM(H469:H470)</f>
        <v>2192424.09</v>
      </c>
      <c r="I471" s="19">
        <f>SUM(I469:I470)</f>
        <v>1057811.3899999999</v>
      </c>
      <c r="J471" s="19">
        <f>SUM(J469:J470)</f>
        <v>45.39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257020.49+417454.93-236649.42-47563.34+3032341.04+1288211.21+4856803.82+10922910.87+47563.34+236649.42+61412800.1</f>
        <v>82187542.460000008</v>
      </c>
      <c r="G473" s="18">
        <v>2048334.34</v>
      </c>
      <c r="H473" s="18">
        <v>2192424.09</v>
      </c>
      <c r="I473" s="18">
        <v>1294903.67</v>
      </c>
      <c r="J473" s="18">
        <v>8754.98</v>
      </c>
      <c r="K473" s="23" t="s">
        <v>288</v>
      </c>
      <c r="L473" s="23" t="s">
        <v>288</v>
      </c>
      <c r="N473" s="130"/>
    </row>
    <row r="474" spans="1:14" ht="12.2" customHeight="1" x14ac:dyDescent="0.2">
      <c r="A474" s="71" t="s">
        <v>613</v>
      </c>
      <c r="B474" s="22">
        <v>19</v>
      </c>
      <c r="C474" s="31">
        <v>6</v>
      </c>
      <c r="D474" s="2" t="s">
        <v>432</v>
      </c>
      <c r="E474" s="31"/>
      <c r="F474" s="18"/>
      <c r="G474" s="18">
        <v>1311.05</v>
      </c>
      <c r="H474" s="18"/>
      <c r="I474" s="18"/>
      <c r="J474" s="18"/>
      <c r="K474" s="23" t="s">
        <v>288</v>
      </c>
      <c r="L474" s="23" t="s">
        <v>288</v>
      </c>
      <c r="N474" s="130"/>
    </row>
    <row r="475" spans="1:14" ht="12.2" customHeight="1" x14ac:dyDescent="0.2">
      <c r="A475" s="32" t="s">
        <v>426</v>
      </c>
      <c r="B475" s="22">
        <v>19</v>
      </c>
      <c r="C475" s="31">
        <v>7</v>
      </c>
      <c r="D475" s="2" t="s">
        <v>432</v>
      </c>
      <c r="E475" s="31"/>
      <c r="F475" s="19">
        <f>SUM(F473:F474)</f>
        <v>82187542.460000008</v>
      </c>
      <c r="G475" s="19">
        <f>SUM(G473:G474)</f>
        <v>2049645.3900000001</v>
      </c>
      <c r="H475" s="19">
        <f>SUM(H473:H474)</f>
        <v>2192424.09</v>
      </c>
      <c r="I475" s="19">
        <f>SUM(I473:I474)</f>
        <v>1294903.67</v>
      </c>
      <c r="J475" s="19">
        <f>SUM(J473:J474)</f>
        <v>8754.98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1748266.9799999893</v>
      </c>
      <c r="G477" s="19">
        <f>(G466+G471)- G475</f>
        <v>587432.94999999972</v>
      </c>
      <c r="H477" s="19">
        <f>(H466+H471)- H475</f>
        <v>0</v>
      </c>
      <c r="I477" s="19">
        <f>(I466+I471)- I475</f>
        <v>3889814.6799999997</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1840</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15</v>
      </c>
      <c r="H491" s="111">
        <v>20</v>
      </c>
      <c r="I491" s="111">
        <v>20</v>
      </c>
      <c r="J491" s="111"/>
      <c r="K491" s="23" t="s">
        <v>288</v>
      </c>
      <c r="L491" s="23" t="s">
        <v>288</v>
      </c>
      <c r="N491" s="130"/>
    </row>
    <row r="492" spans="1:14" ht="12.2" customHeight="1" x14ac:dyDescent="0.2">
      <c r="A492" s="21" t="s">
        <v>615</v>
      </c>
      <c r="B492" s="22">
        <v>20</v>
      </c>
      <c r="C492" s="22">
        <v>2</v>
      </c>
      <c r="D492" s="2" t="s">
        <v>432</v>
      </c>
      <c r="E492" s="22"/>
      <c r="F492" s="112" t="s">
        <v>1843</v>
      </c>
      <c r="G492" s="112" t="s">
        <v>1844</v>
      </c>
      <c r="H492" s="111" t="s">
        <v>1845</v>
      </c>
      <c r="I492" s="111" t="s">
        <v>1846</v>
      </c>
      <c r="J492" s="111"/>
      <c r="K492" s="23" t="s">
        <v>288</v>
      </c>
      <c r="L492" s="23" t="s">
        <v>288</v>
      </c>
      <c r="N492" s="130"/>
    </row>
    <row r="493" spans="1:14" ht="12.2" customHeight="1" x14ac:dyDescent="0.2">
      <c r="A493" s="21" t="s">
        <v>616</v>
      </c>
      <c r="B493" s="22">
        <v>20</v>
      </c>
      <c r="C493" s="22">
        <v>3</v>
      </c>
      <c r="D493" s="2" t="s">
        <v>432</v>
      </c>
      <c r="E493" s="22"/>
      <c r="F493" s="112" t="s">
        <v>1847</v>
      </c>
      <c r="G493" s="112" t="s">
        <v>1848</v>
      </c>
      <c r="H493" s="111" t="s">
        <v>1849</v>
      </c>
      <c r="I493" s="111" t="s">
        <v>1850</v>
      </c>
      <c r="J493" s="111"/>
      <c r="K493" s="23" t="s">
        <v>288</v>
      </c>
      <c r="L493" s="23" t="s">
        <v>288</v>
      </c>
      <c r="N493" s="130"/>
    </row>
    <row r="494" spans="1:14" ht="12.2" customHeight="1" x14ac:dyDescent="0.2">
      <c r="A494" s="21" t="s">
        <v>617</v>
      </c>
      <c r="B494" s="22">
        <v>20</v>
      </c>
      <c r="C494" s="22">
        <v>4</v>
      </c>
      <c r="D494" s="2" t="s">
        <v>432</v>
      </c>
      <c r="E494" s="22"/>
      <c r="F494" s="18">
        <v>800000</v>
      </c>
      <c r="G494" s="18">
        <v>32715000</v>
      </c>
      <c r="H494" s="18">
        <v>4529300</v>
      </c>
      <c r="I494" s="18">
        <v>757671</v>
      </c>
      <c r="J494" s="18"/>
      <c r="K494" s="23" t="s">
        <v>288</v>
      </c>
      <c r="L494" s="23" t="s">
        <v>288</v>
      </c>
      <c r="N494" s="130"/>
    </row>
    <row r="495" spans="1:14" ht="12.2" customHeight="1" x14ac:dyDescent="0.2">
      <c r="A495" s="21" t="s">
        <v>618</v>
      </c>
      <c r="B495" s="22">
        <v>20</v>
      </c>
      <c r="C495" s="22">
        <v>5</v>
      </c>
      <c r="D495" s="2" t="s">
        <v>432</v>
      </c>
      <c r="E495" s="22"/>
      <c r="F495" s="18">
        <v>4.5</v>
      </c>
      <c r="G495" s="18">
        <v>2.63</v>
      </c>
      <c r="H495" s="18">
        <v>3.38</v>
      </c>
      <c r="I495" s="18">
        <v>3.65</v>
      </c>
      <c r="J495" s="18"/>
      <c r="K495" s="23" t="s">
        <v>288</v>
      </c>
      <c r="L495" s="23" t="s">
        <v>288</v>
      </c>
      <c r="N495" s="130"/>
    </row>
    <row r="496" spans="1:14" ht="12.2" customHeight="1" x14ac:dyDescent="0.2">
      <c r="A496" s="21" t="s">
        <v>619</v>
      </c>
      <c r="B496" s="22">
        <v>20</v>
      </c>
      <c r="C496" s="22">
        <v>6</v>
      </c>
      <c r="D496" s="2" t="s">
        <v>432</v>
      </c>
      <c r="E496" s="22"/>
      <c r="F496" s="18">
        <v>160000</v>
      </c>
      <c r="G496" s="18">
        <v>17050000</v>
      </c>
      <c r="H496" s="18">
        <v>4529300</v>
      </c>
      <c r="I496" s="18">
        <v>0</v>
      </c>
      <c r="J496" s="18"/>
      <c r="K496" s="19">
        <f>SUM(F496:J496)</f>
        <v>21739300</v>
      </c>
      <c r="L496" s="23" t="s">
        <v>288</v>
      </c>
      <c r="N496" s="130"/>
    </row>
    <row r="497" spans="1:14" ht="12.2" customHeight="1" x14ac:dyDescent="0.2">
      <c r="A497" s="21" t="s">
        <v>620</v>
      </c>
      <c r="B497" s="22">
        <v>20</v>
      </c>
      <c r="C497" s="22">
        <v>7</v>
      </c>
      <c r="D497" s="2" t="s">
        <v>432</v>
      </c>
      <c r="E497" s="22"/>
      <c r="F497" s="18"/>
      <c r="G497" s="18"/>
      <c r="H497" s="18"/>
      <c r="I497" s="18">
        <v>757671</v>
      </c>
      <c r="J497" s="18"/>
      <c r="K497" s="19">
        <f t="shared" ref="K497:K504" si="35">SUM(F497:J497)</f>
        <v>757671</v>
      </c>
      <c r="L497" s="23" t="s">
        <v>288</v>
      </c>
      <c r="N497" s="130"/>
    </row>
    <row r="498" spans="1:14" ht="12.2" customHeight="1" x14ac:dyDescent="0.2">
      <c r="A498" s="21" t="s">
        <v>621</v>
      </c>
      <c r="B498" s="22">
        <v>20</v>
      </c>
      <c r="C498" s="22">
        <v>8</v>
      </c>
      <c r="D498" s="2" t="s">
        <v>432</v>
      </c>
      <c r="E498" s="22"/>
      <c r="F498" s="18">
        <v>40000</v>
      </c>
      <c r="G498" s="18">
        <v>2085000</v>
      </c>
      <c r="H498" s="18">
        <v>226500</v>
      </c>
      <c r="I498" s="18">
        <v>0</v>
      </c>
      <c r="J498" s="18"/>
      <c r="K498" s="19">
        <f t="shared" si="35"/>
        <v>2351500</v>
      </c>
      <c r="L498" s="23" t="s">
        <v>288</v>
      </c>
      <c r="N498" s="130"/>
    </row>
    <row r="499" spans="1:14" ht="12.2" customHeight="1" x14ac:dyDescent="0.2">
      <c r="A499" s="143" t="s">
        <v>622</v>
      </c>
      <c r="B499" s="144">
        <v>20</v>
      </c>
      <c r="C499" s="144">
        <v>9</v>
      </c>
      <c r="D499" s="145" t="s">
        <v>432</v>
      </c>
      <c r="E499" s="144"/>
      <c r="F499" s="146">
        <v>120000</v>
      </c>
      <c r="G499" s="146">
        <v>14965000</v>
      </c>
      <c r="H499" s="146">
        <v>4302800</v>
      </c>
      <c r="I499" s="146">
        <v>757671</v>
      </c>
      <c r="J499" s="146"/>
      <c r="K499" s="147">
        <f t="shared" si="35"/>
        <v>20145471</v>
      </c>
      <c r="L499" s="148" t="s">
        <v>288</v>
      </c>
      <c r="N499" s="130"/>
    </row>
    <row r="500" spans="1:14" ht="12.2" customHeight="1" thickBot="1" x14ac:dyDescent="0.25">
      <c r="A500" s="21" t="s">
        <v>623</v>
      </c>
      <c r="B500" s="22">
        <v>20</v>
      </c>
      <c r="C500" s="22">
        <v>10</v>
      </c>
      <c r="D500" s="2" t="s">
        <v>432</v>
      </c>
      <c r="E500" s="22"/>
      <c r="F500" s="18">
        <v>8325</v>
      </c>
      <c r="G500" s="18">
        <v>2197875</v>
      </c>
      <c r="H500" s="18">
        <v>1897700</v>
      </c>
      <c r="I500" s="18">
        <f>378316-19182</f>
        <v>359134</v>
      </c>
      <c r="J500" s="18"/>
      <c r="K500" s="19">
        <f t="shared" si="35"/>
        <v>4463034</v>
      </c>
      <c r="L500" s="23" t="s">
        <v>288</v>
      </c>
      <c r="N500" s="130"/>
    </row>
    <row r="501" spans="1:14" ht="12.2" customHeight="1" thickTop="1" x14ac:dyDescent="0.2">
      <c r="A501" s="97" t="s">
        <v>624</v>
      </c>
      <c r="B501" s="41">
        <v>20</v>
      </c>
      <c r="C501" s="41">
        <v>11</v>
      </c>
      <c r="D501" s="36" t="s">
        <v>432</v>
      </c>
      <c r="E501" s="41"/>
      <c r="F501" s="39">
        <f>SUM(F499:F500)</f>
        <v>128325</v>
      </c>
      <c r="G501" s="39">
        <f>SUM(G499:G500)</f>
        <v>17162875</v>
      </c>
      <c r="H501" s="39">
        <f>SUM(H499:H500)</f>
        <v>6200500</v>
      </c>
      <c r="I501" s="39">
        <f>SUM(I499:I500)</f>
        <v>1116805</v>
      </c>
      <c r="J501" s="39">
        <f>SUM(J499:J500)</f>
        <v>0</v>
      </c>
      <c r="K501" s="39">
        <f t="shared" si="35"/>
        <v>24608505</v>
      </c>
      <c r="L501" s="42" t="s">
        <v>288</v>
      </c>
      <c r="N501" s="130"/>
    </row>
    <row r="502" spans="1:14" ht="12.2" customHeight="1" x14ac:dyDescent="0.2">
      <c r="A502" s="143" t="s">
        <v>651</v>
      </c>
      <c r="B502" s="144">
        <v>20</v>
      </c>
      <c r="C502" s="144">
        <v>12</v>
      </c>
      <c r="D502" s="145" t="s">
        <v>432</v>
      </c>
      <c r="E502" s="144"/>
      <c r="F502" s="146">
        <v>40000</v>
      </c>
      <c r="G502" s="146">
        <v>2195000</v>
      </c>
      <c r="H502" s="146">
        <v>226500</v>
      </c>
      <c r="I502" s="146">
        <v>37884</v>
      </c>
      <c r="J502" s="146"/>
      <c r="K502" s="147">
        <f t="shared" si="35"/>
        <v>2499384</v>
      </c>
      <c r="L502" s="148" t="s">
        <v>288</v>
      </c>
      <c r="N502" s="130"/>
    </row>
    <row r="503" spans="1:14" ht="12.2" customHeight="1" thickBot="1" x14ac:dyDescent="0.25">
      <c r="A503" s="21" t="s">
        <v>625</v>
      </c>
      <c r="B503" s="22">
        <v>20</v>
      </c>
      <c r="C503" s="22">
        <v>13</v>
      </c>
      <c r="D503" s="2" t="s">
        <v>432</v>
      </c>
      <c r="E503" s="22"/>
      <c r="F503" s="18">
        <f>2775+1850</f>
        <v>4625</v>
      </c>
      <c r="G503" s="18">
        <f>360125+305250</f>
        <v>665375</v>
      </c>
      <c r="H503" s="18">
        <f>104062+98286</f>
        <v>202348</v>
      </c>
      <c r="I503" s="18">
        <f>18563+17597</f>
        <v>36160</v>
      </c>
      <c r="J503" s="18"/>
      <c r="K503" s="19">
        <f t="shared" si="35"/>
        <v>908508</v>
      </c>
      <c r="L503" s="23" t="s">
        <v>288</v>
      </c>
      <c r="N503" s="130"/>
    </row>
    <row r="504" spans="1:14" ht="12.2" customHeight="1" thickTop="1" x14ac:dyDescent="0.2">
      <c r="A504" s="97" t="s">
        <v>626</v>
      </c>
      <c r="B504" s="41">
        <v>20</v>
      </c>
      <c r="C504" s="41">
        <v>14</v>
      </c>
      <c r="D504" s="36" t="s">
        <v>432</v>
      </c>
      <c r="E504" s="41"/>
      <c r="F504" s="39">
        <f>SUM(F502:F503)</f>
        <v>44625</v>
      </c>
      <c r="G504" s="39">
        <f>SUM(G502:G503)</f>
        <v>2860375</v>
      </c>
      <c r="H504" s="39">
        <f>SUM(H502:H503)</f>
        <v>428848</v>
      </c>
      <c r="I504" s="39">
        <f>SUM(I502:I503)</f>
        <v>74044</v>
      </c>
      <c r="J504" s="39">
        <f>SUM(J502:J503)</f>
        <v>0</v>
      </c>
      <c r="K504" s="39">
        <f t="shared" si="35"/>
        <v>3407892</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115997.93-1601.1+299435.08+192186.44+3680409.61</f>
        <v>4286427.96</v>
      </c>
      <c r="G522" s="18">
        <f>-211.87+-839.15+109237.88+1824696.57</f>
        <v>1932883.4300000002</v>
      </c>
      <c r="H522" s="18">
        <f>5710.18+1400+1380+93502.1</f>
        <v>101992.28</v>
      </c>
      <c r="I522" s="18">
        <f>1167+267.1+16598.82+5122.7</f>
        <v>23155.62</v>
      </c>
      <c r="J522" s="18">
        <v>4982</v>
      </c>
      <c r="K522" s="18"/>
      <c r="L522" s="69">
        <f>SUM(F522:K522)</f>
        <v>6349441.290000001</v>
      </c>
      <c r="N522" s="130"/>
    </row>
    <row r="523" spans="1:14" ht="12.2" customHeight="1" x14ac:dyDescent="0.2">
      <c r="A523" s="21" t="s">
        <v>634</v>
      </c>
      <c r="B523" s="22">
        <v>21</v>
      </c>
      <c r="C523" s="22">
        <v>2</v>
      </c>
      <c r="D523" s="2" t="s">
        <v>432</v>
      </c>
      <c r="E523" s="22"/>
      <c r="F523" s="18">
        <f>103885.64+66676.93+1192625.84</f>
        <v>1363188.4100000001</v>
      </c>
      <c r="G523" s="18">
        <f>37898.86+609523.33</f>
        <v>647422.18999999994</v>
      </c>
      <c r="H523" s="18">
        <v>314011.15000000002</v>
      </c>
      <c r="I523" s="18">
        <f>8641.51-2883.72+1777.26</f>
        <v>7535.0500000000011</v>
      </c>
      <c r="J523" s="18"/>
      <c r="K523" s="18"/>
      <c r="L523" s="69">
        <f>SUM(F523:K523)</f>
        <v>2332156.7999999998</v>
      </c>
      <c r="N523" s="130"/>
    </row>
    <row r="524" spans="1:14" ht="12.2" customHeight="1" thickBot="1" x14ac:dyDescent="0.25">
      <c r="A524" s="21" t="s">
        <v>635</v>
      </c>
      <c r="B524" s="22">
        <v>21</v>
      </c>
      <c r="C524" s="22">
        <v>3</v>
      </c>
      <c r="D524" s="2" t="s">
        <v>432</v>
      </c>
      <c r="E524" s="22"/>
      <c r="F524" s="18">
        <f>207771.28+133353.85+1920882.77</f>
        <v>2262007.9</v>
      </c>
      <c r="G524" s="18">
        <f>75797.71+989108.87</f>
        <v>1064906.58</v>
      </c>
      <c r="H524" s="18">
        <f>2289.75+60548.35+94834.5+5670+367699.46+1948510.83</f>
        <v>2479552.89</v>
      </c>
      <c r="I524" s="18">
        <f>12934.25+3554.53</f>
        <v>16488.78</v>
      </c>
      <c r="J524" s="18"/>
      <c r="K524" s="18"/>
      <c r="L524" s="69">
        <f>SUM(F524:K524)</f>
        <v>5822956.1500000004</v>
      </c>
      <c r="N524" s="130"/>
    </row>
    <row r="525" spans="1:14" ht="12.2" customHeight="1" thickTop="1" x14ac:dyDescent="0.2">
      <c r="A525" s="97" t="s">
        <v>63</v>
      </c>
      <c r="B525" s="41">
        <v>21</v>
      </c>
      <c r="C525" s="41">
        <v>4</v>
      </c>
      <c r="D525" s="115" t="s">
        <v>432</v>
      </c>
      <c r="E525" s="41"/>
      <c r="F525" s="81">
        <f>SUM(F522:F524)</f>
        <v>7911624.2699999996</v>
      </c>
      <c r="G525" s="81">
        <f t="shared" ref="G525:L525" si="36">SUM(G522:G524)</f>
        <v>3645212.2</v>
      </c>
      <c r="H525" s="81">
        <f t="shared" si="36"/>
        <v>2895556.3200000003</v>
      </c>
      <c r="I525" s="81">
        <f t="shared" si="36"/>
        <v>47179.45</v>
      </c>
      <c r="J525" s="81">
        <f t="shared" si="36"/>
        <v>4982</v>
      </c>
      <c r="K525" s="81">
        <f t="shared" si="36"/>
        <v>0</v>
      </c>
      <c r="L525" s="70">
        <f t="shared" si="36"/>
        <v>14504554.24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109610.92-1960+48732.69+665605.86</f>
        <v>821989.47</v>
      </c>
      <c r="G527" s="18">
        <f>29163.43+379454.04</f>
        <v>408617.47</v>
      </c>
      <c r="H527" s="18">
        <f>9812.25+851955.58</f>
        <v>861767.83</v>
      </c>
      <c r="I527" s="18">
        <v>8663.31</v>
      </c>
      <c r="J527" s="18">
        <v>0</v>
      </c>
      <c r="K527" s="18"/>
      <c r="L527" s="69">
        <f>SUM(F527:K527)</f>
        <v>2101038.0800000001</v>
      </c>
      <c r="M527" s="8"/>
      <c r="N527" s="164"/>
    </row>
    <row r="528" spans="1:14" s="3" customFormat="1" ht="12.2" customHeight="1" x14ac:dyDescent="0.15">
      <c r="A528" s="21" t="s">
        <v>634</v>
      </c>
      <c r="B528" s="22">
        <v>21</v>
      </c>
      <c r="C528" s="22">
        <v>6</v>
      </c>
      <c r="D528" s="2" t="s">
        <v>432</v>
      </c>
      <c r="E528" s="22"/>
      <c r="F528" s="18">
        <f>38028.28-680+16907.26+99961.15</f>
        <v>154216.69</v>
      </c>
      <c r="G528" s="18">
        <f>10117.92+59820.42</f>
        <v>69938.34</v>
      </c>
      <c r="H528" s="18">
        <f>3404.25+336170.51</f>
        <v>339574.76</v>
      </c>
      <c r="I528" s="18">
        <v>3005.64</v>
      </c>
      <c r="J528" s="18">
        <v>0</v>
      </c>
      <c r="K528" s="18"/>
      <c r="L528" s="69">
        <f>SUM(F528:K528)</f>
        <v>566735.43000000005</v>
      </c>
      <c r="M528" s="8"/>
      <c r="N528" s="164"/>
    </row>
    <row r="529" spans="1:14" s="3" customFormat="1" ht="12.2" customHeight="1" thickBot="1" x14ac:dyDescent="0.2">
      <c r="A529" s="21" t="s">
        <v>635</v>
      </c>
      <c r="B529" s="22">
        <v>21</v>
      </c>
      <c r="C529" s="22">
        <v>7</v>
      </c>
      <c r="D529" s="2" t="s">
        <v>432</v>
      </c>
      <c r="E529" s="22"/>
      <c r="F529" s="18">
        <f>76056.56-1360+33814.52+44271.6+38865.15</f>
        <v>191647.83</v>
      </c>
      <c r="G529" s="18">
        <f>20235.85+17549.21+23258.33</f>
        <v>61043.39</v>
      </c>
      <c r="H529" s="18">
        <f>37332.05+6808.5+1026443.14</f>
        <v>1070583.69</v>
      </c>
      <c r="I529" s="18">
        <v>6011.28</v>
      </c>
      <c r="J529" s="18">
        <v>0</v>
      </c>
      <c r="K529" s="18"/>
      <c r="L529" s="69">
        <f>SUM(F529:K529)</f>
        <v>1329286.19</v>
      </c>
      <c r="M529" s="8"/>
      <c r="N529" s="164"/>
    </row>
    <row r="530" spans="1:14" s="3" customFormat="1" ht="12.2" customHeight="1" thickTop="1" x14ac:dyDescent="0.15">
      <c r="A530" s="97" t="s">
        <v>65</v>
      </c>
      <c r="B530" s="41">
        <v>21</v>
      </c>
      <c r="C530" s="41">
        <v>8</v>
      </c>
      <c r="D530" s="115" t="s">
        <v>432</v>
      </c>
      <c r="E530" s="41"/>
      <c r="F530" s="70">
        <f>SUM(F527:F529)</f>
        <v>1167853.99</v>
      </c>
      <c r="G530" s="70">
        <f t="shared" ref="G530:L530" si="37">SUM(G527:G529)</f>
        <v>539599.19999999995</v>
      </c>
      <c r="H530" s="70">
        <f t="shared" si="37"/>
        <v>2271926.2799999998</v>
      </c>
      <c r="I530" s="70">
        <f t="shared" si="37"/>
        <v>17680.23</v>
      </c>
      <c r="J530" s="70">
        <f t="shared" si="37"/>
        <v>0</v>
      </c>
      <c r="K530" s="70">
        <f t="shared" si="37"/>
        <v>0</v>
      </c>
      <c r="L530" s="70">
        <f t="shared" si="37"/>
        <v>3997059.7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110145.14+19574.51</f>
        <v>129719.65</v>
      </c>
      <c r="G532" s="18">
        <f>65293.91+10407.74</f>
        <v>75701.650000000009</v>
      </c>
      <c r="H532" s="18">
        <f>39.1+2877.03</f>
        <v>2916.13</v>
      </c>
      <c r="I532" s="18">
        <v>223.14</v>
      </c>
      <c r="J532" s="18">
        <f>13.23+4151.32</f>
        <v>4164.5499999999993</v>
      </c>
      <c r="K532" s="18">
        <f>857.5+3203.52</f>
        <v>4061.02</v>
      </c>
      <c r="L532" s="69">
        <f>SUM(F532:K532)</f>
        <v>216786.13999999998</v>
      </c>
      <c r="M532" s="8"/>
      <c r="N532" s="164"/>
    </row>
    <row r="533" spans="1:14" s="3" customFormat="1" ht="12.2" customHeight="1" x14ac:dyDescent="0.15">
      <c r="A533" s="21" t="s">
        <v>634</v>
      </c>
      <c r="B533" s="22">
        <v>21</v>
      </c>
      <c r="C533" s="22">
        <v>10</v>
      </c>
      <c r="D533" s="2" t="s">
        <v>432</v>
      </c>
      <c r="E533" s="22"/>
      <c r="F533" s="18">
        <f>38213.62+6791.15</f>
        <v>45004.770000000004</v>
      </c>
      <c r="G533" s="18">
        <f>22652.99+3610.85</f>
        <v>26263.84</v>
      </c>
      <c r="H533" s="18">
        <f>13.57+998.15</f>
        <v>1011.72</v>
      </c>
      <c r="I533" s="18">
        <v>77.41</v>
      </c>
      <c r="J533" s="18">
        <f>4.59+1440.26</f>
        <v>1444.85</v>
      </c>
      <c r="K533" s="18">
        <f>297.5+1111.42</f>
        <v>1408.92</v>
      </c>
      <c r="L533" s="69">
        <f>SUM(F533:K533)</f>
        <v>75211.510000000009</v>
      </c>
      <c r="M533" s="8"/>
      <c r="N533" s="164"/>
    </row>
    <row r="534" spans="1:14" s="3" customFormat="1" ht="12.2" customHeight="1" thickBot="1" x14ac:dyDescent="0.2">
      <c r="A534" s="21" t="s">
        <v>635</v>
      </c>
      <c r="B534" s="22">
        <v>21</v>
      </c>
      <c r="C534" s="22">
        <v>11</v>
      </c>
      <c r="D534" s="2" t="s">
        <v>432</v>
      </c>
      <c r="E534" s="22"/>
      <c r="F534" s="18">
        <f>76427.24+13582.31+44803.31</f>
        <v>134812.85999999999</v>
      </c>
      <c r="G534" s="18">
        <f>45305.98+7221.7+23821.87</f>
        <v>76349.55</v>
      </c>
      <c r="H534" s="18">
        <f>27.13+1996.3</f>
        <v>2023.43</v>
      </c>
      <c r="I534" s="18">
        <v>154.83000000000001</v>
      </c>
      <c r="J534" s="18">
        <f>9.18+2880.51</f>
        <v>2889.69</v>
      </c>
      <c r="K534" s="18">
        <f>595+2222.85</f>
        <v>2817.85</v>
      </c>
      <c r="L534" s="69">
        <f>SUM(F534:K534)</f>
        <v>219048.20999999996</v>
      </c>
      <c r="M534" s="8"/>
      <c r="N534" s="164"/>
    </row>
    <row r="535" spans="1:14" s="3" customFormat="1" ht="12.2" customHeight="1" thickTop="1" x14ac:dyDescent="0.15">
      <c r="A535" s="97" t="s">
        <v>67</v>
      </c>
      <c r="B535" s="41">
        <v>21</v>
      </c>
      <c r="C535" s="41">
        <v>12</v>
      </c>
      <c r="D535" s="115" t="s">
        <v>432</v>
      </c>
      <c r="E535" s="41"/>
      <c r="F535" s="70">
        <f>SUM(F532:F534)</f>
        <v>309537.27999999997</v>
      </c>
      <c r="G535" s="70">
        <f t="shared" ref="G535:L535" si="38">SUM(G532:G534)</f>
        <v>178315.04</v>
      </c>
      <c r="H535" s="70">
        <f t="shared" si="38"/>
        <v>5951.2800000000007</v>
      </c>
      <c r="I535" s="70">
        <f t="shared" si="38"/>
        <v>455.38</v>
      </c>
      <c r="J535" s="70">
        <f t="shared" si="38"/>
        <v>8499.09</v>
      </c>
      <c r="K535" s="70">
        <f t="shared" si="38"/>
        <v>8287.7900000000009</v>
      </c>
      <c r="L535" s="70">
        <f t="shared" si="38"/>
        <v>511045.86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107714.1</v>
      </c>
      <c r="I537" s="18"/>
      <c r="J537" s="18"/>
      <c r="K537" s="18"/>
      <c r="L537" s="69">
        <f>SUM(F537:K537)</f>
        <v>107714.1</v>
      </c>
      <c r="M537" s="8"/>
      <c r="N537" s="164"/>
    </row>
    <row r="538" spans="1:14" s="3" customFormat="1" ht="12.2" customHeight="1" x14ac:dyDescent="0.15">
      <c r="A538" s="21" t="s">
        <v>634</v>
      </c>
      <c r="B538" s="22">
        <v>21</v>
      </c>
      <c r="C538" s="22">
        <v>14</v>
      </c>
      <c r="D538" s="2" t="s">
        <v>432</v>
      </c>
      <c r="E538" s="22"/>
      <c r="F538" s="18"/>
      <c r="G538" s="18"/>
      <c r="H538" s="18">
        <v>37370.199999999997</v>
      </c>
      <c r="I538" s="18"/>
      <c r="J538" s="18"/>
      <c r="K538" s="18"/>
      <c r="L538" s="69">
        <f>SUM(F538:K538)</f>
        <v>37370.199999999997</v>
      </c>
      <c r="M538" s="8"/>
      <c r="N538" s="164"/>
    </row>
    <row r="539" spans="1:14" s="3" customFormat="1" ht="12.2" customHeight="1" thickBot="1" x14ac:dyDescent="0.2">
      <c r="A539" s="21" t="s">
        <v>635</v>
      </c>
      <c r="B539" s="22">
        <v>21</v>
      </c>
      <c r="C539" s="22">
        <v>15</v>
      </c>
      <c r="D539" s="2" t="s">
        <v>432</v>
      </c>
      <c r="E539" s="22"/>
      <c r="F539" s="18"/>
      <c r="G539" s="18"/>
      <c r="H539" s="18">
        <v>74740.39</v>
      </c>
      <c r="I539" s="18"/>
      <c r="J539" s="18"/>
      <c r="K539" s="18"/>
      <c r="L539" s="69">
        <f>SUM(F539:K539)</f>
        <v>74740.39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219824.69</v>
      </c>
      <c r="I540" s="70">
        <f t="shared" si="39"/>
        <v>0</v>
      </c>
      <c r="J540" s="70">
        <f t="shared" si="39"/>
        <v>0</v>
      </c>
      <c r="K540" s="70">
        <f t="shared" si="39"/>
        <v>0</v>
      </c>
      <c r="L540" s="70">
        <f t="shared" si="39"/>
        <v>219824.69</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f>19998.36+8955.5</f>
        <v>28953.86</v>
      </c>
      <c r="G542" s="18">
        <f>10633.1+3549.95</f>
        <v>14183.05</v>
      </c>
      <c r="H542" s="18">
        <f>2985.75+673636.44</f>
        <v>676622.19</v>
      </c>
      <c r="I542" s="18"/>
      <c r="J542" s="18"/>
      <c r="K542" s="18"/>
      <c r="L542" s="69">
        <f>SUM(F542:K542)</f>
        <v>719759.1</v>
      </c>
      <c r="M542" s="8"/>
      <c r="N542" s="164"/>
    </row>
    <row r="543" spans="1:14" s="3" customFormat="1" ht="12.2" customHeight="1" x14ac:dyDescent="0.15">
      <c r="A543" s="21" t="s">
        <v>634</v>
      </c>
      <c r="B543" s="22">
        <v>21</v>
      </c>
      <c r="C543" s="22">
        <v>18</v>
      </c>
      <c r="D543" s="2" t="s">
        <v>432</v>
      </c>
      <c r="E543" s="22"/>
      <c r="F543" s="18">
        <f>6938.21+3107.01</f>
        <v>10045.220000000001</v>
      </c>
      <c r="G543" s="18">
        <f>3689.04+1231.61</f>
        <v>4920.6499999999996</v>
      </c>
      <c r="H543" s="18">
        <f>1035.87+233710.6</f>
        <v>234746.47</v>
      </c>
      <c r="I543" s="18"/>
      <c r="J543" s="18"/>
      <c r="K543" s="18"/>
      <c r="L543" s="69">
        <f>SUM(F543:K543)</f>
        <v>249712.34</v>
      </c>
      <c r="M543" s="8"/>
      <c r="N543" s="164"/>
    </row>
    <row r="544" spans="1:14" s="3" customFormat="1" ht="12.2" customHeight="1" thickBot="1" x14ac:dyDescent="0.2">
      <c r="A544" s="21" t="s">
        <v>635</v>
      </c>
      <c r="B544" s="22">
        <v>21</v>
      </c>
      <c r="C544" s="22">
        <v>19</v>
      </c>
      <c r="D544" s="2" t="s">
        <v>432</v>
      </c>
      <c r="E544" s="22"/>
      <c r="F544" s="18">
        <f>13876.41+6214.02</f>
        <v>20090.43</v>
      </c>
      <c r="G544" s="18">
        <f>7378.07+2463.23</f>
        <v>9841.2999999999993</v>
      </c>
      <c r="H544" s="18">
        <f>2071.75+467421.21</f>
        <v>469492.96</v>
      </c>
      <c r="I544" s="18"/>
      <c r="J544" s="18"/>
      <c r="K544" s="18"/>
      <c r="L544" s="69">
        <f>SUM(F544:K544)</f>
        <v>499424.69</v>
      </c>
      <c r="M544" s="8"/>
      <c r="N544" s="164"/>
    </row>
    <row r="545" spans="1:14" s="3" customFormat="1" ht="12.2" customHeight="1" thickTop="1" thickBot="1" x14ac:dyDescent="0.2">
      <c r="A545" s="93" t="s">
        <v>71</v>
      </c>
      <c r="B545" s="63">
        <v>21</v>
      </c>
      <c r="C545" s="63">
        <v>20</v>
      </c>
      <c r="D545" s="139" t="s">
        <v>432</v>
      </c>
      <c r="E545" s="63"/>
      <c r="F545" s="140">
        <f>SUM(F542:F544)</f>
        <v>59089.51</v>
      </c>
      <c r="G545" s="140">
        <f t="shared" ref="G545:L545" si="40">SUM(G542:G544)</f>
        <v>28944.999999999996</v>
      </c>
      <c r="H545" s="140">
        <f t="shared" si="40"/>
        <v>1380861.6199999999</v>
      </c>
      <c r="I545" s="140">
        <f t="shared" si="40"/>
        <v>0</v>
      </c>
      <c r="J545" s="140">
        <f t="shared" si="40"/>
        <v>0</v>
      </c>
      <c r="K545" s="140">
        <f t="shared" si="40"/>
        <v>0</v>
      </c>
      <c r="L545" s="140">
        <f t="shared" si="40"/>
        <v>1468896.13</v>
      </c>
      <c r="M545" s="8"/>
      <c r="N545" s="164"/>
    </row>
    <row r="546" spans="1:14" s="3" customFormat="1" ht="12.2" customHeight="1" thickTop="1" x14ac:dyDescent="0.15">
      <c r="A546" s="75" t="s">
        <v>72</v>
      </c>
      <c r="B546" s="41">
        <v>21</v>
      </c>
      <c r="C546" s="41">
        <v>21</v>
      </c>
      <c r="D546" s="115" t="s">
        <v>432</v>
      </c>
      <c r="E546" s="41"/>
      <c r="F546" s="70">
        <f>F525+F530+F535+F540+F545</f>
        <v>9448105.0499999989</v>
      </c>
      <c r="G546" s="70">
        <f t="shared" ref="G546:L546" si="41">G525+G530+G535+G540+G545</f>
        <v>4392071.4400000004</v>
      </c>
      <c r="H546" s="70">
        <f t="shared" si="41"/>
        <v>6774120.1900000004</v>
      </c>
      <c r="I546" s="70">
        <f t="shared" si="41"/>
        <v>65315.05999999999</v>
      </c>
      <c r="J546" s="70">
        <f t="shared" si="41"/>
        <v>13481.09</v>
      </c>
      <c r="K546" s="70">
        <f t="shared" si="41"/>
        <v>8287.7900000000009</v>
      </c>
      <c r="L546" s="70">
        <f t="shared" si="41"/>
        <v>20701380.620000001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6349441.290000001</v>
      </c>
      <c r="G550" s="69">
        <f>L527</f>
        <v>2101038.0800000001</v>
      </c>
      <c r="H550" s="69">
        <f>L532</f>
        <v>216786.13999999998</v>
      </c>
      <c r="I550" s="69">
        <f>L537</f>
        <v>107714.1</v>
      </c>
      <c r="J550" s="69">
        <f>L542</f>
        <v>719759.1</v>
      </c>
      <c r="K550" s="69">
        <f>SUM(F550:J550)</f>
        <v>9494738.7100000009</v>
      </c>
      <c r="L550" s="23" t="s">
        <v>288</v>
      </c>
      <c r="M550" s="8"/>
      <c r="N550" s="164"/>
    </row>
    <row r="551" spans="1:14" s="3" customFormat="1" ht="12.2" customHeight="1" x14ac:dyDescent="0.15">
      <c r="A551" s="21" t="s">
        <v>634</v>
      </c>
      <c r="B551" s="22">
        <v>21</v>
      </c>
      <c r="C551" s="22">
        <v>23</v>
      </c>
      <c r="D551" s="2" t="s">
        <v>432</v>
      </c>
      <c r="E551" s="22"/>
      <c r="F551" s="69">
        <f>L523</f>
        <v>2332156.7999999998</v>
      </c>
      <c r="G551" s="69">
        <f>L528</f>
        <v>566735.43000000005</v>
      </c>
      <c r="H551" s="69">
        <f>L533</f>
        <v>75211.510000000009</v>
      </c>
      <c r="I551" s="69">
        <f>L538</f>
        <v>37370.199999999997</v>
      </c>
      <c r="J551" s="69">
        <f>L543</f>
        <v>249712.34</v>
      </c>
      <c r="K551" s="69">
        <f>SUM(F551:J551)</f>
        <v>3261186.2800000003</v>
      </c>
      <c r="L551" s="23" t="s">
        <v>288</v>
      </c>
      <c r="M551" s="8"/>
      <c r="N551" s="164"/>
    </row>
    <row r="552" spans="1:14" s="3" customFormat="1" ht="12.2" customHeight="1" thickBot="1" x14ac:dyDescent="0.2">
      <c r="A552" s="21" t="s">
        <v>635</v>
      </c>
      <c r="B552" s="22">
        <v>21</v>
      </c>
      <c r="C552" s="22">
        <v>24</v>
      </c>
      <c r="D552" s="2" t="s">
        <v>432</v>
      </c>
      <c r="E552" s="22"/>
      <c r="F552" s="69">
        <f>L524</f>
        <v>5822956.1500000004</v>
      </c>
      <c r="G552" s="69">
        <f>L529</f>
        <v>1329286.19</v>
      </c>
      <c r="H552" s="69">
        <f>L534</f>
        <v>219048.20999999996</v>
      </c>
      <c r="I552" s="69">
        <f>L539</f>
        <v>74740.39</v>
      </c>
      <c r="J552" s="69">
        <f>L544</f>
        <v>499424.69</v>
      </c>
      <c r="K552" s="69">
        <f>SUM(F552:J552)</f>
        <v>7945455.6299999999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14504554.24</v>
      </c>
      <c r="G553" s="70">
        <f t="shared" si="42"/>
        <v>3997059.7</v>
      </c>
      <c r="H553" s="70">
        <f t="shared" si="42"/>
        <v>511045.86</v>
      </c>
      <c r="I553" s="70">
        <f t="shared" si="42"/>
        <v>219824.69</v>
      </c>
      <c r="J553" s="70">
        <f t="shared" si="42"/>
        <v>1468896.13</v>
      </c>
      <c r="K553" s="70">
        <f t="shared" si="42"/>
        <v>20701380.620000001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130425.92</v>
      </c>
      <c r="G563" s="18">
        <v>78051.649999999994</v>
      </c>
      <c r="H563" s="18">
        <v>315</v>
      </c>
      <c r="I563" s="18">
        <f>146.23+76.1+5758.96</f>
        <v>5981.29</v>
      </c>
      <c r="J563" s="18"/>
      <c r="K563" s="18"/>
      <c r="L563" s="69">
        <f>SUM(F563:K563)</f>
        <v>214773.86000000002</v>
      </c>
      <c r="M563" s="8"/>
      <c r="N563" s="164"/>
    </row>
    <row r="564" spans="1:14" s="3" customFormat="1" ht="12.2" customHeight="1" x14ac:dyDescent="0.15">
      <c r="A564" s="21" t="s">
        <v>634</v>
      </c>
      <c r="B564" s="22">
        <v>22</v>
      </c>
      <c r="C564" s="22">
        <v>6</v>
      </c>
      <c r="D564" s="2" t="s">
        <v>432</v>
      </c>
      <c r="E564" s="22"/>
      <c r="F564" s="18">
        <v>74512</v>
      </c>
      <c r="G564" s="18">
        <v>44590.71</v>
      </c>
      <c r="H564" s="18"/>
      <c r="I564" s="18">
        <f>50.73+25.36</f>
        <v>76.09</v>
      </c>
      <c r="J564" s="18"/>
      <c r="K564" s="18"/>
      <c r="L564" s="69">
        <f>SUM(F564:K564)</f>
        <v>119178.79999999999</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204937.91999999998</v>
      </c>
      <c r="G566" s="70">
        <f t="shared" si="44"/>
        <v>122642.35999999999</v>
      </c>
      <c r="H566" s="70">
        <f t="shared" si="44"/>
        <v>315</v>
      </c>
      <c r="I566" s="70">
        <f t="shared" si="44"/>
        <v>6057.38</v>
      </c>
      <c r="J566" s="70">
        <f t="shared" si="44"/>
        <v>0</v>
      </c>
      <c r="K566" s="70">
        <f t="shared" si="44"/>
        <v>0</v>
      </c>
      <c r="L566" s="70">
        <f t="shared" si="44"/>
        <v>333952.66000000003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298959.2</v>
      </c>
      <c r="G568" s="18">
        <v>174540.01</v>
      </c>
      <c r="H568" s="18"/>
      <c r="I568" s="18">
        <v>7921.25</v>
      </c>
      <c r="J568" s="18"/>
      <c r="K568" s="18">
        <f>3285.94+1710.03</f>
        <v>4995.97</v>
      </c>
      <c r="L568" s="69">
        <f>SUM(F568:K568)</f>
        <v>486416.43</v>
      </c>
      <c r="M568" s="8"/>
      <c r="N568" s="164"/>
    </row>
    <row r="569" spans="1:14" s="3" customFormat="1" ht="12.2" customHeight="1" x14ac:dyDescent="0.15">
      <c r="A569" s="21" t="s">
        <v>634</v>
      </c>
      <c r="B569" s="22">
        <v>22</v>
      </c>
      <c r="C569" s="22">
        <v>10</v>
      </c>
      <c r="D569" s="2" t="s">
        <v>432</v>
      </c>
      <c r="E569" s="22"/>
      <c r="F569" s="18">
        <v>85220</v>
      </c>
      <c r="G569" s="18">
        <v>50998.77</v>
      </c>
      <c r="H569" s="18"/>
      <c r="I569" s="18">
        <v>2883.72</v>
      </c>
      <c r="J569" s="18"/>
      <c r="K569" s="18">
        <f>1140.02+570.01</f>
        <v>1710.03</v>
      </c>
      <c r="L569" s="69">
        <f>SUM(F569:K569)</f>
        <v>140812.51999999999</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384179.20000000001</v>
      </c>
      <c r="G571" s="140">
        <f t="shared" ref="G571:L571" si="45">SUM(G568:G570)</f>
        <v>225538.78</v>
      </c>
      <c r="H571" s="140">
        <f t="shared" si="45"/>
        <v>0</v>
      </c>
      <c r="I571" s="140">
        <f t="shared" si="45"/>
        <v>10804.97</v>
      </c>
      <c r="J571" s="140">
        <f t="shared" si="45"/>
        <v>0</v>
      </c>
      <c r="K571" s="140">
        <f t="shared" si="45"/>
        <v>6706</v>
      </c>
      <c r="L571" s="140">
        <f t="shared" si="45"/>
        <v>627228.94999999995</v>
      </c>
      <c r="M571" s="8"/>
      <c r="N571" s="164"/>
    </row>
    <row r="572" spans="1:14" s="3" customFormat="1" ht="12.2" customHeight="1" thickTop="1" x14ac:dyDescent="0.15">
      <c r="A572" s="75" t="s">
        <v>88</v>
      </c>
      <c r="B572" s="41">
        <v>22</v>
      </c>
      <c r="C572" s="41">
        <v>13</v>
      </c>
      <c r="D572" s="115" t="s">
        <v>432</v>
      </c>
      <c r="E572" s="41"/>
      <c r="F572" s="70">
        <f>F561+F566+F571</f>
        <v>589117.12</v>
      </c>
      <c r="G572" s="70">
        <f t="shared" ref="G572:L572" si="46">G561+G566+G571</f>
        <v>348181.14</v>
      </c>
      <c r="H572" s="70">
        <f t="shared" si="46"/>
        <v>315</v>
      </c>
      <c r="I572" s="70">
        <f t="shared" si="46"/>
        <v>16862.349999999999</v>
      </c>
      <c r="J572" s="70">
        <f t="shared" si="46"/>
        <v>0</v>
      </c>
      <c r="K572" s="70">
        <f t="shared" si="46"/>
        <v>6706</v>
      </c>
      <c r="L572" s="70">
        <f t="shared" si="46"/>
        <v>961181.61</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10537.5</v>
      </c>
      <c r="I579" s="69">
        <f t="shared" si="47"/>
        <v>10537.5</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1008213.15-570817.02</f>
        <v>437396.13</v>
      </c>
      <c r="G583" s="18">
        <v>342889.61</v>
      </c>
      <c r="H583" s="18">
        <f>60548.35+1948510.83-784390.94</f>
        <v>1224668.2400000002</v>
      </c>
      <c r="I583" s="69">
        <f t="shared" si="47"/>
        <v>2004953.9800000002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570817.02</v>
      </c>
      <c r="G584" s="18"/>
      <c r="H584" s="18">
        <v>784390.94</v>
      </c>
      <c r="I584" s="69">
        <f t="shared" si="47"/>
        <v>1355207.96</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f>62426.67+67649.83</f>
        <v>130076.5</v>
      </c>
      <c r="I585" s="69">
        <f t="shared" si="47"/>
        <v>130076.5</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0" t="s">
        <v>677</v>
      </c>
      <c r="B588" s="58">
        <v>22</v>
      </c>
      <c r="C588" s="58">
        <v>26</v>
      </c>
      <c r="D588" s="52" t="s">
        <v>432</v>
      </c>
      <c r="E588" s="58">
        <v>564</v>
      </c>
      <c r="F588" s="53"/>
      <c r="G588" s="53"/>
      <c r="H588" s="53">
        <v>10530</v>
      </c>
      <c r="I588" s="311">
        <f t="shared" si="47"/>
        <v>10530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1008213.15</v>
      </c>
      <c r="G589" s="79">
        <f t="shared" ref="G589:I589" si="48">SUM(G576:G588)</f>
        <v>342889.61</v>
      </c>
      <c r="H589" s="79">
        <f t="shared" si="48"/>
        <v>2160203.1800000002</v>
      </c>
      <c r="I589" s="79">
        <f t="shared" si="48"/>
        <v>3511305.9400000004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1185326.01+7452.36+25587.13+10142.71-8955.5-3549.95</f>
        <v>1216002.76</v>
      </c>
      <c r="I592" s="18">
        <f>411235.55+2585.51+8877.17+3518.9-3107.01-1231.61</f>
        <v>421878.51</v>
      </c>
      <c r="J592" s="18">
        <f>822471.11+5171.03-0.01-12380.8+17754.33+7037.8-6214.02-2463.23</f>
        <v>831376.21</v>
      </c>
      <c r="K592" s="80">
        <f t="shared" ref="K592:K598" si="49">SUM(H592:J592)</f>
        <v>2469257.48</v>
      </c>
      <c r="L592" s="23" t="s">
        <v>288</v>
      </c>
      <c r="M592" s="8"/>
      <c r="N592" s="164"/>
    </row>
    <row r="593" spans="1:14" s="3" customFormat="1" ht="12.2" customHeight="1" x14ac:dyDescent="0.15">
      <c r="A593" s="3" t="s">
        <v>638</v>
      </c>
      <c r="B593" s="22">
        <v>23</v>
      </c>
      <c r="C593" s="22">
        <v>2</v>
      </c>
      <c r="D593" s="2" t="s">
        <v>432</v>
      </c>
      <c r="E593" s="22"/>
      <c r="F593" s="78">
        <v>2722</v>
      </c>
      <c r="G593" s="79" t="s">
        <v>97</v>
      </c>
      <c r="H593" s="18">
        <f>673636.44+2985.75+19998.36+10633.1+8955.5+3549.95</f>
        <v>719759.09999999986</v>
      </c>
      <c r="I593" s="18">
        <f>233710.6+1035.87+6938.21+3689.04+1231.61+3107.01</f>
        <v>249712.34</v>
      </c>
      <c r="J593" s="18">
        <f>467421.21+2071.75+13876.41+7378.07+6214.02+2463.23</f>
        <v>499424.69</v>
      </c>
      <c r="K593" s="80">
        <f t="shared" si="49"/>
        <v>1468896.13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12380.8</v>
      </c>
      <c r="K594" s="80">
        <f t="shared" si="49"/>
        <v>12380.8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16331.02</v>
      </c>
      <c r="J595" s="18">
        <v>118669.01</v>
      </c>
      <c r="K595" s="80">
        <f t="shared" si="49"/>
        <v>135000.03</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v>4607.04</v>
      </c>
      <c r="J596" s="18">
        <v>23657.8</v>
      </c>
      <c r="K596" s="80">
        <f t="shared" si="49"/>
        <v>28264.84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1935761.8599999999</v>
      </c>
      <c r="I599" s="81">
        <f>SUM(I592:I598)</f>
        <v>692528.91</v>
      </c>
      <c r="J599" s="81">
        <f>SUM(J592:J598)</f>
        <v>1485508.51</v>
      </c>
      <c r="K599" s="81">
        <f>SUM(K592:K598)</f>
        <v>4113799.2799999993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3287.62+4353+375.14+4982+4175.5+34501.7+127126.25+4151.32+210.41+20638.54+5672.24+168.56+13.23</f>
        <v>209655.51</v>
      </c>
      <c r="I605" s="18">
        <f>9550.6+44105.02+1440.26+73+7160.31+1967.92+58.48+4.59</f>
        <v>64360.179999999993</v>
      </c>
      <c r="J605" s="18">
        <f>4410.48+23890.05+5954.42+656.06+88210.05+2880.51+146+14320.62+3935.84+116.96+9.18</f>
        <v>144530.16999999998</v>
      </c>
      <c r="K605" s="80">
        <f>SUM(H605:J605)</f>
        <v>418545.86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209655.51</v>
      </c>
      <c r="I606" s="81">
        <f>SUM(I603:I605)</f>
        <v>64360.179999999993</v>
      </c>
      <c r="J606" s="81">
        <f>SUM(J603:J605)</f>
        <v>144530.16999999998</v>
      </c>
      <c r="K606" s="81">
        <f>SUM(K603:K605)</f>
        <v>418545.86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v>9966.2099999999991</v>
      </c>
      <c r="G613" s="18">
        <v>2751.72</v>
      </c>
      <c r="H613" s="18"/>
      <c r="I613" s="18"/>
      <c r="J613" s="18"/>
      <c r="K613" s="18"/>
      <c r="L613" s="69">
        <f>SUM(F613:K613)</f>
        <v>12717.929999999998</v>
      </c>
      <c r="M613" s="8"/>
      <c r="N613" s="164"/>
    </row>
    <row r="614" spans="1:14" s="3" customFormat="1" ht="12.2" customHeight="1" thickBot="1" x14ac:dyDescent="0.2">
      <c r="A614" s="21" t="s">
        <v>645</v>
      </c>
      <c r="B614" s="22">
        <v>23</v>
      </c>
      <c r="C614" s="22">
        <v>15</v>
      </c>
      <c r="D614" s="2" t="s">
        <v>432</v>
      </c>
      <c r="E614" s="22"/>
      <c r="F614" s="18">
        <v>94815.85</v>
      </c>
      <c r="G614" s="18">
        <v>26179.13</v>
      </c>
      <c r="H614" s="18"/>
      <c r="I614" s="18"/>
      <c r="J614" s="18"/>
      <c r="K614" s="18"/>
      <c r="L614" s="69">
        <f>SUM(F614:K614)</f>
        <v>120994.98000000001</v>
      </c>
      <c r="M614" s="8"/>
      <c r="N614" s="164"/>
    </row>
    <row r="615" spans="1:14" s="3" customFormat="1" ht="12.2" customHeight="1" thickTop="1" x14ac:dyDescent="0.15">
      <c r="A615" s="75" t="s">
        <v>340</v>
      </c>
      <c r="B615" s="41">
        <v>23</v>
      </c>
      <c r="C615" s="41">
        <v>16</v>
      </c>
      <c r="D615" s="36" t="s">
        <v>432</v>
      </c>
      <c r="E615" s="41"/>
      <c r="F615" s="81">
        <f t="shared" ref="F615:L615" si="50">SUM(F612:F614)</f>
        <v>104782.06</v>
      </c>
      <c r="G615" s="81">
        <f t="shared" si="50"/>
        <v>28930.850000000002</v>
      </c>
      <c r="H615" s="81">
        <f t="shared" si="50"/>
        <v>0</v>
      </c>
      <c r="I615" s="81">
        <f t="shared" si="50"/>
        <v>0</v>
      </c>
      <c r="J615" s="81">
        <f t="shared" si="50"/>
        <v>0</v>
      </c>
      <c r="K615" s="81">
        <f t="shared" si="50"/>
        <v>0</v>
      </c>
      <c r="L615" s="70">
        <f t="shared" si="50"/>
        <v>133712.91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20959307.539999999</v>
      </c>
      <c r="H618" s="80">
        <f>SUM(F52)</f>
        <v>20959307.539999999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697934.35</v>
      </c>
      <c r="H619" s="80">
        <f>SUM(G52)</f>
        <v>697934.35</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3902594.68</v>
      </c>
      <c r="H621" s="80">
        <f>SUM(I52)</f>
        <v>3902594.68</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1748266.98</v>
      </c>
      <c r="H623" s="80">
        <f>F477</f>
        <v>1748266.9799999893</v>
      </c>
      <c r="I623" s="87" t="s">
        <v>101</v>
      </c>
      <c r="J623" s="80">
        <f t="shared" ref="J623:J656" si="51">G623-H623</f>
        <v>1.0710209608078003E-8</v>
      </c>
      <c r="K623" s="80"/>
      <c r="L623" s="80"/>
      <c r="M623" s="8"/>
    </row>
    <row r="624" spans="1:14" s="3" customFormat="1" ht="12.2" customHeight="1" x14ac:dyDescent="0.15">
      <c r="A624" s="74"/>
      <c r="B624" s="22"/>
      <c r="C624" s="85"/>
      <c r="D624" s="85"/>
      <c r="E624" s="85"/>
      <c r="F624" s="85" t="s">
        <v>862</v>
      </c>
      <c r="G624" s="80">
        <f>G51</f>
        <v>587432.94999999995</v>
      </c>
      <c r="H624" s="80">
        <f>G477</f>
        <v>587432.94999999972</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3889814.68</v>
      </c>
      <c r="H626" s="80">
        <f>I477</f>
        <v>3889814.6799999997</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80710848.359999999</v>
      </c>
      <c r="H628" s="80">
        <f>SUM(F469)</f>
        <v>80710848.359999999</v>
      </c>
      <c r="I628" s="87" t="s">
        <v>106</v>
      </c>
      <c r="J628" s="80">
        <f>G628-H628</f>
        <v>0</v>
      </c>
      <c r="K628" s="67"/>
      <c r="L628" s="69"/>
      <c r="M628" s="8"/>
    </row>
    <row r="629" spans="1:13" s="3" customFormat="1" ht="12.2" customHeight="1" x14ac:dyDescent="0.15">
      <c r="A629" s="21"/>
      <c r="B629" s="22"/>
      <c r="C629" s="22"/>
      <c r="D629" s="22"/>
      <c r="E629" s="22"/>
      <c r="F629" s="86" t="s">
        <v>659</v>
      </c>
      <c r="G629" s="80">
        <f>G194</f>
        <v>2025196.72</v>
      </c>
      <c r="H629" s="80">
        <f>SUM(G469)</f>
        <v>2025196.72</v>
      </c>
      <c r="I629" s="87" t="s">
        <v>107</v>
      </c>
      <c r="J629" s="80">
        <f>G629-H629</f>
        <v>0</v>
      </c>
      <c r="K629" s="67"/>
      <c r="L629" s="69"/>
      <c r="M629" s="8"/>
    </row>
    <row r="630" spans="1:13" s="3" customFormat="1" ht="12.2" customHeight="1" x14ac:dyDescent="0.15">
      <c r="A630" s="21"/>
      <c r="B630" s="22"/>
      <c r="C630" s="22"/>
      <c r="D630" s="22"/>
      <c r="E630" s="22"/>
      <c r="F630" s="86" t="s">
        <v>660</v>
      </c>
      <c r="G630" s="80">
        <f>H194</f>
        <v>2192424.09</v>
      </c>
      <c r="H630" s="80">
        <f>SUM(H469)</f>
        <v>2192424.09</v>
      </c>
      <c r="I630" s="87" t="s">
        <v>108</v>
      </c>
      <c r="J630" s="80">
        <f>G630-H630</f>
        <v>0</v>
      </c>
      <c r="K630" s="67"/>
      <c r="L630" s="69"/>
      <c r="M630" s="8"/>
    </row>
    <row r="631" spans="1:13" s="3" customFormat="1" ht="12.2" customHeight="1" x14ac:dyDescent="0.15">
      <c r="A631" s="21"/>
      <c r="B631" s="22"/>
      <c r="C631" s="22"/>
      <c r="D631" s="22"/>
      <c r="E631" s="22"/>
      <c r="F631" s="86" t="s">
        <v>661</v>
      </c>
      <c r="G631" s="80">
        <f>I194</f>
        <v>1057811.3899999999</v>
      </c>
      <c r="H631" s="80">
        <f>SUM(I469)</f>
        <v>1057811.3899999999</v>
      </c>
      <c r="I631" s="87" t="s">
        <v>109</v>
      </c>
      <c r="J631" s="80">
        <f>G631-H631</f>
        <v>0</v>
      </c>
      <c r="K631" s="67"/>
      <c r="L631" s="69"/>
      <c r="M631" s="8"/>
    </row>
    <row r="632" spans="1:13" s="3" customFormat="1" ht="12.2" customHeight="1" x14ac:dyDescent="0.15">
      <c r="A632" s="21"/>
      <c r="B632" s="22"/>
      <c r="C632" s="22"/>
      <c r="D632" s="22"/>
      <c r="E632" s="22"/>
      <c r="F632" s="86" t="s">
        <v>662</v>
      </c>
      <c r="G632" s="80">
        <f>J194</f>
        <v>45.39</v>
      </c>
      <c r="H632" s="80">
        <f>SUM(J469)</f>
        <v>45.39</v>
      </c>
      <c r="I632" s="87" t="s">
        <v>110</v>
      </c>
      <c r="J632" s="80">
        <f>G632-H632</f>
        <v>0</v>
      </c>
      <c r="K632" s="67"/>
      <c r="L632" s="69"/>
      <c r="M632" s="8"/>
    </row>
    <row r="633" spans="1:13" s="3" customFormat="1" ht="12.2" customHeight="1" x14ac:dyDescent="0.15">
      <c r="A633" s="21"/>
      <c r="B633" s="22"/>
      <c r="C633" s="22"/>
      <c r="D633" s="22"/>
      <c r="E633" s="22"/>
      <c r="F633" s="86" t="s">
        <v>394</v>
      </c>
      <c r="G633" s="80">
        <f>SUM(L272)</f>
        <v>82187542.459999993</v>
      </c>
      <c r="H633" s="80">
        <f>SUM(F473)</f>
        <v>82187542.460000008</v>
      </c>
      <c r="I633" s="87" t="s">
        <v>111</v>
      </c>
      <c r="J633" s="80">
        <f t="shared" si="51"/>
        <v>0</v>
      </c>
      <c r="K633" s="67"/>
      <c r="L633" s="69"/>
      <c r="M633" s="8"/>
    </row>
    <row r="634" spans="1:13" s="3" customFormat="1" ht="12.2" customHeight="1" x14ac:dyDescent="0.15">
      <c r="A634" s="21"/>
      <c r="B634" s="22"/>
      <c r="C634" s="22"/>
      <c r="D634" s="22"/>
      <c r="E634" s="22"/>
      <c r="F634" s="86" t="s">
        <v>395</v>
      </c>
      <c r="G634" s="80">
        <f>SUM(L353)</f>
        <v>2192424.0900000003</v>
      </c>
      <c r="H634" s="80">
        <f>SUM(H473)</f>
        <v>2192424.09</v>
      </c>
      <c r="I634" s="87" t="s">
        <v>112</v>
      </c>
      <c r="J634" s="80">
        <f>G634-H634</f>
        <v>0</v>
      </c>
      <c r="K634" s="67"/>
      <c r="L634" s="69"/>
      <c r="M634" s="8"/>
    </row>
    <row r="635" spans="1:13" s="124" customFormat="1" ht="12.2" customHeight="1" x14ac:dyDescent="0.15">
      <c r="A635" s="21"/>
      <c r="B635" s="22"/>
      <c r="C635" s="22"/>
      <c r="D635" s="22"/>
      <c r="E635" s="22"/>
      <c r="F635" s="99" t="s">
        <v>247</v>
      </c>
      <c r="G635" s="80">
        <f>I363</f>
        <v>1037343</v>
      </c>
      <c r="H635" s="80">
        <f>I370</f>
        <v>1037343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2048334.3399999999</v>
      </c>
      <c r="H636" s="80">
        <f>SUM(G473)</f>
        <v>2048334.34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1294903.67</v>
      </c>
      <c r="H637" s="80">
        <f>SUM(I473)</f>
        <v>1294903.67</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45.39</v>
      </c>
      <c r="H638" s="108">
        <f>SUM(J469)</f>
        <v>45.39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8754.98</v>
      </c>
      <c r="H639" s="108">
        <f>SUM(J473)</f>
        <v>8754.98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45.39</v>
      </c>
      <c r="H645" s="80">
        <f>H409</f>
        <v>45.39</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45.39</v>
      </c>
      <c r="H647" s="80">
        <f>L409</f>
        <v>45.39</v>
      </c>
      <c r="I647" s="87" t="s">
        <v>477</v>
      </c>
      <c r="J647" s="80">
        <f t="shared" si="51"/>
        <v>0</v>
      </c>
      <c r="K647" s="67"/>
      <c r="L647" s="69"/>
      <c r="M647" s="8"/>
    </row>
    <row r="648" spans="1:13" s="3" customFormat="1" ht="12.2" customHeight="1" x14ac:dyDescent="0.15">
      <c r="A648" s="21"/>
      <c r="B648" s="22"/>
      <c r="C648" s="22"/>
      <c r="D648" s="22"/>
      <c r="E648" s="22"/>
      <c r="F648" s="86" t="s">
        <v>51</v>
      </c>
      <c r="G648" s="80">
        <f>K599</f>
        <v>4113799.2799999993</v>
      </c>
      <c r="H648" s="80">
        <f>L209+L227+L245</f>
        <v>4113799.2800000007</v>
      </c>
      <c r="I648" s="87" t="s">
        <v>396</v>
      </c>
      <c r="J648" s="80">
        <f t="shared" si="51"/>
        <v>0</v>
      </c>
      <c r="K648" s="67"/>
      <c r="L648" s="69"/>
      <c r="M648" s="8"/>
    </row>
    <row r="649" spans="1:13" s="3" customFormat="1" ht="12.2" customHeight="1" x14ac:dyDescent="0.15">
      <c r="A649" s="21"/>
      <c r="B649" s="22"/>
      <c r="C649" s="22"/>
      <c r="D649" s="22"/>
      <c r="E649" s="22"/>
      <c r="F649" s="86" t="s">
        <v>52</v>
      </c>
      <c r="G649" s="80">
        <f>K606</f>
        <v>418545.86</v>
      </c>
      <c r="H649" s="80">
        <f>(J258+J339)-(J256+J337)</f>
        <v>418545.86</v>
      </c>
      <c r="I649" s="87" t="s">
        <v>699</v>
      </c>
      <c r="J649" s="80">
        <f t="shared" si="51"/>
        <v>0</v>
      </c>
      <c r="K649" s="67"/>
      <c r="L649" s="69"/>
      <c r="M649" s="8"/>
    </row>
    <row r="650" spans="1:13" s="3" customFormat="1" ht="12.2" customHeight="1" x14ac:dyDescent="0.15">
      <c r="A650" s="21"/>
      <c r="B650" s="22"/>
      <c r="C650" s="22"/>
      <c r="D650" s="22"/>
      <c r="E650" s="22"/>
      <c r="F650" s="86" t="s">
        <v>387</v>
      </c>
      <c r="G650" s="80">
        <f>L209</f>
        <v>1935761.86</v>
      </c>
      <c r="H650" s="80">
        <f>H599</f>
        <v>1935761.8599999999</v>
      </c>
      <c r="I650" s="87" t="s">
        <v>388</v>
      </c>
      <c r="J650" s="80">
        <f t="shared" si="51"/>
        <v>0</v>
      </c>
      <c r="K650" s="67"/>
      <c r="L650" s="69"/>
      <c r="M650" s="8"/>
    </row>
    <row r="651" spans="1:13" s="3" customFormat="1" ht="12.2" customHeight="1" x14ac:dyDescent="0.15">
      <c r="A651" s="21"/>
      <c r="B651" s="22"/>
      <c r="C651" s="22"/>
      <c r="D651" s="22"/>
      <c r="E651" s="22"/>
      <c r="F651" s="86" t="s">
        <v>392</v>
      </c>
      <c r="G651" s="80">
        <f>L227</f>
        <v>692528.91000000015</v>
      </c>
      <c r="H651" s="80">
        <f>I599</f>
        <v>692528.91</v>
      </c>
      <c r="I651" s="87" t="s">
        <v>389</v>
      </c>
      <c r="J651" s="80">
        <f t="shared" si="51"/>
        <v>0</v>
      </c>
      <c r="K651" s="67"/>
      <c r="L651" s="69"/>
      <c r="M651" s="8"/>
    </row>
    <row r="652" spans="1:13" s="3" customFormat="1" ht="12.2" customHeight="1" x14ac:dyDescent="0.15">
      <c r="A652" s="21"/>
      <c r="B652" s="22"/>
      <c r="C652" s="22"/>
      <c r="D652" s="22"/>
      <c r="E652" s="22"/>
      <c r="F652" s="86" t="s">
        <v>393</v>
      </c>
      <c r="G652" s="80">
        <f>L245</f>
        <v>1485508.5100000002</v>
      </c>
      <c r="H652" s="80">
        <f>J599</f>
        <v>1485508.51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38576107.499999993</v>
      </c>
      <c r="G661" s="13">
        <f>(L230+L310+L360)</f>
        <v>13945014.380000001</v>
      </c>
      <c r="H661" s="13">
        <f>(L248+L329+L361)</f>
        <v>29558962.920000006</v>
      </c>
      <c r="I661" s="13">
        <f>SUM(F661:H661)</f>
        <v>82080084.799999997</v>
      </c>
      <c r="J661" s="13"/>
      <c r="K661" s="13"/>
      <c r="L661" s="13"/>
      <c r="M661" s="9"/>
    </row>
    <row r="662" spans="1:13" s="3" customFormat="1" ht="12.2" customHeight="1" x14ac:dyDescent="0.2">
      <c r="A662" s="1" t="s">
        <v>127</v>
      </c>
      <c r="F662" s="13">
        <f>(L359/IF(SUM(L359:L361)=0,1,SUM(L359:L361))*(SUM(G97:G110)))</f>
        <v>806880.79523963574</v>
      </c>
      <c r="G662" s="13">
        <f>(L360/IF(SUM(L359:L361)=0,1,SUM(L359:L361))*(SUM(G97:G110)))</f>
        <v>323976.33021063067</v>
      </c>
      <c r="H662" s="13">
        <f>(L361/IF(SUM(L359:L361)=0,1,SUM(L359:L361))*(SUM(G97:G110)))</f>
        <v>488721.88454973366</v>
      </c>
      <c r="I662" s="13">
        <f>SUM(F662:H662)</f>
        <v>1619579.0100000002</v>
      </c>
      <c r="J662"/>
      <c r="K662" s="13"/>
      <c r="L662" s="13"/>
      <c r="M662" s="8"/>
    </row>
    <row r="663" spans="1:13" s="3" customFormat="1" ht="12.2" customHeight="1" x14ac:dyDescent="0.2">
      <c r="A663" s="1" t="s">
        <v>128</v>
      </c>
      <c r="F663" s="13">
        <f>(L209+L288)-(J209+J288)</f>
        <v>1935761.86</v>
      </c>
      <c r="G663" s="13">
        <f>(L227+L307)-(J227+J307)</f>
        <v>692528.91000000015</v>
      </c>
      <c r="H663" s="13">
        <f>(L245+L326)-(J245+J326)</f>
        <v>1485508.5100000002</v>
      </c>
      <c r="I663" s="13">
        <f>SUM(F663:H663)</f>
        <v>4113799.2800000007</v>
      </c>
      <c r="J663"/>
      <c r="K663" s="13"/>
      <c r="L663" s="13"/>
      <c r="M663" s="9"/>
    </row>
    <row r="664" spans="1:13" s="3" customFormat="1" ht="12.2" customHeight="1" x14ac:dyDescent="0.15">
      <c r="A664" s="141" t="s">
        <v>129</v>
      </c>
      <c r="B664" s="124"/>
      <c r="C664" s="124"/>
      <c r="D664" s="124"/>
      <c r="E664" s="124"/>
      <c r="F664" s="142">
        <f>SUM(F576:F588)+SUM(H603:H605)+SUM(L612)</f>
        <v>1217868.6600000001</v>
      </c>
      <c r="G664" s="142">
        <f>SUM(G576:G588)+SUM(I603:I605)+L613</f>
        <v>419967.72</v>
      </c>
      <c r="H664" s="142">
        <f>SUM(H576:H588)+SUM(J603:J605)+L614</f>
        <v>2425728.33</v>
      </c>
      <c r="I664" s="13">
        <f>SUM(F664:H664)</f>
        <v>4063564.71</v>
      </c>
      <c r="J664" s="13"/>
      <c r="K664" s="13"/>
      <c r="L664" s="13"/>
      <c r="M664" s="9"/>
    </row>
    <row r="665" spans="1:13" s="3" customFormat="1" ht="12.2" customHeight="1" x14ac:dyDescent="0.15">
      <c r="A665" s="1" t="s">
        <v>130</v>
      </c>
      <c r="F665" s="13">
        <f>F661-SUM(F662:F664)</f>
        <v>34615596.184760354</v>
      </c>
      <c r="G665" s="13">
        <f>G661-SUM(G662:G664)</f>
        <v>12508541.41978937</v>
      </c>
      <c r="H665" s="13">
        <f>H661-SUM(H662:H664)</f>
        <v>25159004.195450272</v>
      </c>
      <c r="I665" s="13">
        <f>I661-SUM(I662:I664)</f>
        <v>72283141.799999997</v>
      </c>
      <c r="J665" s="13"/>
      <c r="K665" s="13"/>
      <c r="L665" s="13"/>
      <c r="M665" s="8"/>
    </row>
    <row r="666" spans="1:13" s="3" customFormat="1" ht="12.2" customHeight="1" x14ac:dyDescent="0.2">
      <c r="A666" s="1" t="s">
        <v>131</v>
      </c>
      <c r="F666" s="182">
        <v>1853.05</v>
      </c>
      <c r="G666" s="183">
        <v>678.77</v>
      </c>
      <c r="H666" s="183">
        <v>1390.5</v>
      </c>
      <c r="I666" s="13">
        <f>SUM(F666:H666)</f>
        <v>3922.3199999999997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18680.34</v>
      </c>
      <c r="G668" s="13">
        <f>ROUND(G665/G666,2)</f>
        <v>18428.25</v>
      </c>
      <c r="H668" s="13">
        <f>ROUND(H665/H666,2)</f>
        <v>18093.490000000002</v>
      </c>
      <c r="I668" s="13">
        <f>ROUND(I665/I666,2)</f>
        <v>18428.669999999998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-14.66</v>
      </c>
      <c r="I671" s="13">
        <f>SUM(F671:H671)</f>
        <v>-14.66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18680.34</v>
      </c>
      <c r="G673" s="13">
        <f>ROUND((G665+G670)/(G666+G671),2)</f>
        <v>18428.25</v>
      </c>
      <c r="H673" s="13">
        <f>ROUND((H665+H670)/(H666+H671),2)</f>
        <v>18286.29</v>
      </c>
      <c r="I673" s="13">
        <f>ROUND((I665+I670)/(I666+I671),2)</f>
        <v>18497.810000000001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198831.61000000002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129630.77</v>
      </c>
      <c r="F9" s="271" t="s">
        <v>1612</v>
      </c>
    </row>
    <row r="10" spans="2:8" x14ac:dyDescent="0.25">
      <c r="B10" s="270"/>
      <c r="C10" s="270"/>
      <c r="D10" s="270"/>
      <c r="E10" s="270"/>
      <c r="F10" s="270"/>
    </row>
    <row r="11" spans="2:8" x14ac:dyDescent="0.25">
      <c r="B11" s="270"/>
      <c r="C11" s="274" t="s">
        <v>1616</v>
      </c>
      <c r="D11" s="271" t="s">
        <v>1619</v>
      </c>
      <c r="E11" s="259">
        <v>8828.5</v>
      </c>
      <c r="F11" s="271" t="s">
        <v>1613</v>
      </c>
    </row>
    <row r="12" spans="2:8" x14ac:dyDescent="0.25">
      <c r="B12" s="270"/>
      <c r="C12" s="270"/>
      <c r="D12" s="271"/>
      <c r="E12" s="270"/>
      <c r="F12" s="270"/>
    </row>
    <row r="13" spans="2:8" x14ac:dyDescent="0.25">
      <c r="B13" s="270"/>
      <c r="C13" s="271" t="s">
        <v>1606</v>
      </c>
      <c r="D13" s="271" t="s">
        <v>1620</v>
      </c>
      <c r="E13" s="259">
        <v>60372.34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71"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topLeftCell="A10" zoomScaleNormal="10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Bedford</v>
      </c>
      <c r="C5" s="321"/>
      <c r="D5" s="321"/>
      <c r="E5" s="321"/>
      <c r="F5" s="321"/>
    </row>
    <row r="8" spans="1:9" ht="18" x14ac:dyDescent="0.25">
      <c r="A8" s="239" t="s">
        <v>1548</v>
      </c>
      <c r="F8" s="246" t="s">
        <v>1566</v>
      </c>
    </row>
    <row r="9" spans="1:9" ht="15" x14ac:dyDescent="0.2">
      <c r="A9" s="237" t="s">
        <v>1549</v>
      </c>
      <c r="B9" s="240">
        <f>'DOE25'!G97</f>
        <v>1604575</v>
      </c>
      <c r="F9" s="237" t="s">
        <v>1562</v>
      </c>
    </row>
    <row r="10" spans="1:9" ht="15" x14ac:dyDescent="0.2">
      <c r="A10" s="237" t="s">
        <v>1550</v>
      </c>
      <c r="B10" s="240">
        <f>'DOE25'!G112-'DOE25'!G97</f>
        <v>15004.010000000009</v>
      </c>
      <c r="F10" s="237" t="s">
        <v>1563</v>
      </c>
    </row>
    <row r="11" spans="1:9" ht="15" x14ac:dyDescent="0.2">
      <c r="A11" s="237" t="s">
        <v>1551</v>
      </c>
      <c r="B11" s="240">
        <f>'DOE25'!G140</f>
        <v>25684.13</v>
      </c>
      <c r="F11" s="237" t="s">
        <v>1564</v>
      </c>
    </row>
    <row r="12" spans="1:9" ht="15" x14ac:dyDescent="0.2">
      <c r="A12" s="237" t="s">
        <v>1552</v>
      </c>
      <c r="B12" s="240">
        <f>'DOE25'!G170</f>
        <v>379933.58</v>
      </c>
      <c r="F12" s="237" t="s">
        <v>1565</v>
      </c>
    </row>
    <row r="13" spans="1:9" ht="15" x14ac:dyDescent="0.2">
      <c r="A13" s="237" t="s">
        <v>1553</v>
      </c>
      <c r="B13" s="240">
        <f>'DOE25'!G193-'DOE25'!G180</f>
        <v>0</v>
      </c>
      <c r="F13" s="237" t="s">
        <v>1575</v>
      </c>
    </row>
    <row r="14" spans="1:9" ht="18" x14ac:dyDescent="0.25">
      <c r="A14" s="239" t="s">
        <v>732</v>
      </c>
      <c r="B14" s="241">
        <f>SUM(B9:B13)</f>
        <v>2025196.72</v>
      </c>
    </row>
    <row r="16" spans="1:9" ht="18" x14ac:dyDescent="0.25">
      <c r="A16" s="239" t="s">
        <v>783</v>
      </c>
      <c r="F16" s="246" t="s">
        <v>1567</v>
      </c>
    </row>
    <row r="17" spans="1:6" ht="15" x14ac:dyDescent="0.2">
      <c r="A17" s="237" t="s">
        <v>1554</v>
      </c>
      <c r="B17" s="240">
        <f>'DOE25'!L363-'DOE25'!L362</f>
        <v>2048334.3399999999</v>
      </c>
      <c r="F17" s="237" t="s">
        <v>1568</v>
      </c>
    </row>
    <row r="18" spans="1:6" ht="15" x14ac:dyDescent="0.2">
      <c r="A18" s="237" t="s">
        <v>1555</v>
      </c>
      <c r="B18" s="250">
        <v>1311.05</v>
      </c>
      <c r="F18" s="246" t="s">
        <v>1592</v>
      </c>
    </row>
    <row r="19" spans="1:6" ht="18" x14ac:dyDescent="0.25">
      <c r="A19" s="239" t="s">
        <v>725</v>
      </c>
      <c r="B19" s="241">
        <f>SUM(B17:B18)</f>
        <v>2049645.39</v>
      </c>
    </row>
    <row r="21" spans="1:6" ht="18.75" thickBot="1" x14ac:dyDescent="0.3">
      <c r="A21" s="239" t="s">
        <v>1556</v>
      </c>
    </row>
    <row r="22" spans="1:6" ht="18.75" thickTop="1" x14ac:dyDescent="0.25">
      <c r="A22" s="239" t="s">
        <v>1557</v>
      </c>
      <c r="B22" s="245">
        <f>B14-B19</f>
        <v>-24448.669999999925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611881.62</v>
      </c>
      <c r="F31" s="237" t="s">
        <v>1572</v>
      </c>
    </row>
    <row r="33" spans="1:6" ht="15" x14ac:dyDescent="0.2">
      <c r="A33" s="237" t="s">
        <v>1790</v>
      </c>
      <c r="B33" s="240">
        <f>'DOE25'!G477</f>
        <v>587432.94999999972</v>
      </c>
      <c r="F33" s="237" t="s">
        <v>1573</v>
      </c>
    </row>
    <row r="36" spans="1:6" ht="15" x14ac:dyDescent="0.2">
      <c r="A36" s="237" t="s">
        <v>1559</v>
      </c>
      <c r="B36" s="251">
        <v>104751.94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89"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56" zoomScaleNormal="156" workbookViewId="0">
      <selection activeCell="B20" sqref="B20"/>
    </sheetView>
  </sheetViews>
  <sheetFormatPr defaultColWidth="8.6640625" defaultRowHeight="11.25" x14ac:dyDescent="0.2"/>
  <cols>
    <col min="1" max="1" width="26.6640625" customWidth="1"/>
    <col min="2" max="2" width="33.6640625" customWidth="1"/>
    <col min="3" max="3" width="29.5" customWidth="1"/>
  </cols>
  <sheetData>
    <row r="1" spans="1:3" x14ac:dyDescent="0.2">
      <c r="A1" s="170" t="s">
        <v>778</v>
      </c>
      <c r="B1" s="169" t="str">
        <f>'DOE25'!A2</f>
        <v>Bedford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21539088.189999998</v>
      </c>
      <c r="C9" s="166">
        <f>'DOE25'!G198+'DOE25'!G216+'DOE25'!G234+'DOE25'!G277+'DOE25'!G296+'DOE25'!G315</f>
        <v>12096131.52</v>
      </c>
    </row>
    <row r="10" spans="1:3" x14ac:dyDescent="0.2">
      <c r="A10" t="s">
        <v>772</v>
      </c>
      <c r="B10" s="176">
        <f>25826.41+3673.91+9672.4+8536916.39+3498572.87+6793198.6+1146413</f>
        <v>20014273.579999998</v>
      </c>
      <c r="C10" s="176">
        <f>1975.73-5276.12+281.06-730.85+766.96-1705.24-1460.7+33+5108803.77+2085576.02+4065299.11+486243.3-0.01</f>
        <v>11739806.029999999</v>
      </c>
    </row>
    <row r="11" spans="1:3" x14ac:dyDescent="0.2">
      <c r="A11" t="s">
        <v>773</v>
      </c>
      <c r="B11" s="176">
        <f>105738.25+682464.96+46621.66+20880.76+22360.5</f>
        <v>878066.13</v>
      </c>
      <c r="C11" s="176">
        <f>8437.12+270528.3+18480.77+1664.3+8863.68</f>
        <v>307974.17</v>
      </c>
    </row>
    <row r="12" spans="1:3" x14ac:dyDescent="0.2">
      <c r="A12" t="s">
        <v>774</v>
      </c>
      <c r="B12" s="176">
        <f>328671.43+108978.8+159998.25+49100</f>
        <v>646748.48</v>
      </c>
      <c r="C12" s="176">
        <f>8147.32+24571.68+11961.57+3670.75</f>
        <v>48351.32</v>
      </c>
    </row>
    <row r="13" spans="1:3" x14ac:dyDescent="0.2">
      <c r="A13" t="str">
        <f>IF(B9=B13,IF(C9=C13,"Check Total OK","Check Total Error"),"Check Total Error")</f>
        <v>Check Total OK</v>
      </c>
      <c r="B13" s="168">
        <f>SUM(B10:B12)</f>
        <v>21539088.189999998</v>
      </c>
      <c r="C13" s="168">
        <f>SUM(C10:C12)</f>
        <v>12096131.52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8297404.5699999994</v>
      </c>
      <c r="C18" s="166">
        <f>'DOE25'!G199+'DOE25'!G217+'DOE25'!G235+'DOE25'!G278+'DOE25'!G297+'DOE25'!G316</f>
        <v>3871187.88</v>
      </c>
    </row>
    <row r="19" spans="1:3" x14ac:dyDescent="0.2">
      <c r="A19" t="s">
        <v>772</v>
      </c>
      <c r="B19" s="176">
        <f>78127.34+557737.08+0.01+2089844.27+786359+1057417.37+369717.22</f>
        <v>4939202.29</v>
      </c>
      <c r="C19" s="176">
        <f>-614.13+1210116.98+457577.65+618407.5+221252.34</f>
        <v>2506740.34</v>
      </c>
    </row>
    <row r="20" spans="1:3" x14ac:dyDescent="0.2">
      <c r="A20" t="s">
        <v>773</v>
      </c>
      <c r="B20" s="176">
        <f>37870.59+53354.91+1889524.54+491486.84+863465.4+22500</f>
        <v>3358202.28</v>
      </c>
      <c r="C20" s="176">
        <f>789119.6+202944.46+370701.37+1682.11</f>
        <v>1364447.54</v>
      </c>
    </row>
    <row r="21" spans="1:3" x14ac:dyDescent="0.2">
      <c r="A21" t="s">
        <v>774</v>
      </c>
      <c r="B21" s="176">
        <v>0</v>
      </c>
      <c r="C21" s="176">
        <v>0</v>
      </c>
    </row>
    <row r="22" spans="1:3" x14ac:dyDescent="0.2">
      <c r="A22" t="str">
        <f>IF(B18=B22,IF(C18=C22,"Check Total OK","Check Total Error"),"Check Total Error")</f>
        <v>Check Total OK</v>
      </c>
      <c r="B22" s="168">
        <f>SUM(B19:B21)</f>
        <v>8297404.5700000003</v>
      </c>
      <c r="C22" s="168">
        <f>SUM(C19:C21)</f>
        <v>3871187.88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794041.03999999992</v>
      </c>
      <c r="C36" s="172">
        <f>'DOE25'!G201+'DOE25'!G219+'DOE25'!G237+'DOE25'!G280+'DOE25'!G299+'DOE25'!G318</f>
        <v>270032.84000000003</v>
      </c>
    </row>
    <row r="37" spans="1:3" x14ac:dyDescent="0.2">
      <c r="A37" t="s">
        <v>772</v>
      </c>
      <c r="B37" s="176">
        <f>54244.5+135014.96+491036.14</f>
        <v>680295.6</v>
      </c>
      <c r="C37" s="176">
        <f>14977.18+37278.31+135577.53</f>
        <v>187833.02</v>
      </c>
    </row>
    <row r="38" spans="1:3" x14ac:dyDescent="0.2">
      <c r="A38" t="s">
        <v>773</v>
      </c>
      <c r="B38" s="176"/>
      <c r="C38" s="176"/>
    </row>
    <row r="39" spans="1:3" x14ac:dyDescent="0.2">
      <c r="A39" t="s">
        <v>774</v>
      </c>
      <c r="B39" s="176">
        <v>113745.44</v>
      </c>
      <c r="C39" s="176">
        <v>82199.820000000007</v>
      </c>
    </row>
    <row r="40" spans="1:3" x14ac:dyDescent="0.2">
      <c r="A40" t="str">
        <f>IF(B36=B40,IF(C36=C40,"Check Total OK","Check Total Error"),"Check Total Error")</f>
        <v>Check Total OK</v>
      </c>
      <c r="B40" s="168">
        <f>SUM(B37:B39)</f>
        <v>794041.04</v>
      </c>
      <c r="C40" s="168">
        <f>SUM(C37:C39)</f>
        <v>270032.83999999997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40" sqref="D40"/>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4" t="s">
        <v>886</v>
      </c>
      <c r="B1" s="327"/>
      <c r="C1" s="327"/>
      <c r="D1" s="327"/>
      <c r="E1" s="327"/>
      <c r="F1" s="327"/>
      <c r="G1" s="327"/>
      <c r="H1" s="327"/>
      <c r="I1" s="130"/>
    </row>
    <row r="2" spans="1:9" x14ac:dyDescent="0.2">
      <c r="A2" s="32" t="s">
        <v>713</v>
      </c>
      <c r="B2" s="195" t="str">
        <f>'DOE25'!A2</f>
        <v>Bedford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51596703.409999996</v>
      </c>
      <c r="D5" s="19">
        <f>SUM('DOE25'!L198:L201)+SUM('DOE25'!L216:L219)+SUM('DOE25'!L234:L237)-F5-G5-H5</f>
        <v>51406616.609999992</v>
      </c>
      <c r="E5" s="179"/>
      <c r="F5" s="180"/>
      <c r="G5" s="19">
        <f>SUM('DOE25'!J198:J201)+SUM('DOE25'!J216:J219)+SUM('DOE25'!J234:J237)</f>
        <v>73896.76999999999</v>
      </c>
      <c r="H5" s="19">
        <f>SUM('DOE25'!K198:K201)+SUM('DOE25'!K216:K219)+SUM('DOE25'!K234:K237)</f>
        <v>116190.03</v>
      </c>
      <c r="I5" s="191"/>
    </row>
    <row r="6" spans="1:9" x14ac:dyDescent="0.2">
      <c r="A6" s="31">
        <v>2100</v>
      </c>
      <c r="B6" t="s">
        <v>793</v>
      </c>
      <c r="C6" s="205">
        <f t="shared" si="0"/>
        <v>6657482.4799999995</v>
      </c>
      <c r="D6" s="19">
        <f>'DOE25'!L203+'DOE25'!L221+'DOE25'!L239-F6-G6-H6</f>
        <v>6654194.8599999994</v>
      </c>
      <c r="E6" s="179"/>
      <c r="F6" s="180"/>
      <c r="G6" s="19">
        <f>'DOE25'!J203+'DOE25'!J221+'DOE25'!J239</f>
        <v>3287.62</v>
      </c>
      <c r="H6" s="19">
        <f>'DOE25'!K203+'DOE25'!K221+'DOE25'!K239</f>
        <v>0</v>
      </c>
      <c r="I6" s="191"/>
    </row>
    <row r="7" spans="1:9" x14ac:dyDescent="0.2">
      <c r="A7" s="31">
        <v>2200</v>
      </c>
      <c r="B7" t="s">
        <v>817</v>
      </c>
      <c r="C7" s="205">
        <f t="shared" si="0"/>
        <v>1593749.13</v>
      </c>
      <c r="D7" s="19">
        <f>'DOE25'!L204+'DOE25'!L222+'DOE25'!L240-F7-G7-H7</f>
        <v>1283534.25</v>
      </c>
      <c r="E7" s="179"/>
      <c r="F7" s="180"/>
      <c r="G7" s="19">
        <f>'DOE25'!J204+'DOE25'!J222+'DOE25'!J240</f>
        <v>264272.88</v>
      </c>
      <c r="H7" s="19">
        <f>'DOE25'!K204+'DOE25'!K222+'DOE25'!K240</f>
        <v>45942</v>
      </c>
      <c r="I7" s="191"/>
    </row>
    <row r="8" spans="1:9" x14ac:dyDescent="0.2">
      <c r="A8" s="31">
        <v>2300</v>
      </c>
      <c r="B8" t="s">
        <v>794</v>
      </c>
      <c r="C8" s="205">
        <f t="shared" si="0"/>
        <v>1995403.3399999999</v>
      </c>
      <c r="D8" s="179"/>
      <c r="E8" s="19">
        <f>'DOE25'!L205+'DOE25'!L223+'DOE25'!L241-F8-G8-H8-D9-D11</f>
        <v>1966944.8699999999</v>
      </c>
      <c r="F8" s="180"/>
      <c r="G8" s="19">
        <f>'DOE25'!J205+'DOE25'!J223+'DOE25'!J241</f>
        <v>8499.09</v>
      </c>
      <c r="H8" s="19">
        <f>'DOE25'!K205+'DOE25'!K223+'DOE25'!K241</f>
        <v>19959.38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5625087.4100000001</v>
      </c>
      <c r="D12" s="19">
        <f>'DOE25'!L206+'DOE25'!L224+'DOE25'!L242-F12-G12-H12</f>
        <v>5573993.8200000003</v>
      </c>
      <c r="E12" s="179"/>
      <c r="F12" s="180"/>
      <c r="G12" s="19">
        <f>'DOE25'!J206+'DOE25'!J224+'DOE25'!J242</f>
        <v>773.41000000000008</v>
      </c>
      <c r="H12" s="19">
        <f>'DOE25'!K206+'DOE25'!K224+'DOE25'!K242</f>
        <v>50320.18</v>
      </c>
      <c r="I12" s="191"/>
    </row>
    <row r="13" spans="1:9" x14ac:dyDescent="0.2">
      <c r="A13" s="31">
        <v>2500</v>
      </c>
      <c r="B13" t="s">
        <v>795</v>
      </c>
      <c r="C13" s="205">
        <f t="shared" si="0"/>
        <v>999893.14999999991</v>
      </c>
      <c r="D13" s="179"/>
      <c r="E13" s="19">
        <f>'DOE25'!L207+'DOE25'!L225+'DOE25'!L243-F13-G13-H13</f>
        <v>993867.46999999986</v>
      </c>
      <c r="F13" s="180"/>
      <c r="G13" s="19">
        <f>'DOE25'!J207+'DOE25'!J225+'DOE25'!J243</f>
        <v>0</v>
      </c>
      <c r="H13" s="19">
        <f>'DOE25'!K207+'DOE25'!K225+'DOE25'!K243</f>
        <v>6025.68</v>
      </c>
      <c r="I13" s="191"/>
    </row>
    <row r="14" spans="1:9" x14ac:dyDescent="0.2">
      <c r="A14" s="31">
        <v>2600</v>
      </c>
      <c r="B14" t="s">
        <v>815</v>
      </c>
      <c r="C14" s="205">
        <f t="shared" si="0"/>
        <v>5846347.7500000009</v>
      </c>
      <c r="D14" s="19">
        <f>'DOE25'!L208+'DOE25'!L226+'DOE25'!L244-F14-G14-H14</f>
        <v>5798834.7700000014</v>
      </c>
      <c r="E14" s="179"/>
      <c r="F14" s="180"/>
      <c r="G14" s="19">
        <f>'DOE25'!J208+'DOE25'!J226+'DOE25'!J244</f>
        <v>46472.47</v>
      </c>
      <c r="H14" s="19">
        <f>'DOE25'!K208+'DOE25'!K226+'DOE25'!K244</f>
        <v>1040.51</v>
      </c>
      <c r="I14" s="191"/>
    </row>
    <row r="15" spans="1:9" x14ac:dyDescent="0.2">
      <c r="A15" s="31">
        <v>2700</v>
      </c>
      <c r="B15" t="s">
        <v>796</v>
      </c>
      <c r="C15" s="205">
        <f t="shared" si="0"/>
        <v>4113799.2800000007</v>
      </c>
      <c r="D15" s="19">
        <f>'DOE25'!L209+'DOE25'!L227+'DOE25'!L245-F15-G15-H15</f>
        <v>4113799.2800000007</v>
      </c>
      <c r="E15" s="179"/>
      <c r="F15" s="180"/>
      <c r="G15" s="19">
        <f>'DOE25'!J209+'DOE25'!J227+'DOE25'!J245</f>
        <v>0</v>
      </c>
      <c r="H15" s="19">
        <f>'DOE25'!K209+'DOE25'!K227+'DOE25'!K245</f>
        <v>0</v>
      </c>
      <c r="I15" s="191"/>
    </row>
    <row r="16" spans="1:9" x14ac:dyDescent="0.2">
      <c r="A16" s="31">
        <v>2800</v>
      </c>
      <c r="B16" t="s">
        <v>797</v>
      </c>
      <c r="C16" s="205">
        <f t="shared" si="0"/>
        <v>134201.94</v>
      </c>
      <c r="D16" s="179"/>
      <c r="E16" s="19">
        <f>'DOE25'!L210+'DOE25'!L228+'DOE25'!L246-F16-G16-H16</f>
        <v>122625.94</v>
      </c>
      <c r="F16" s="180"/>
      <c r="G16" s="19">
        <f>'DOE25'!J210+'DOE25'!J228+'DOE25'!J246</f>
        <v>11576</v>
      </c>
      <c r="H16" s="19">
        <f>'DOE25'!K210+'DOE25'!K228+'DOE25'!K246</f>
        <v>0</v>
      </c>
      <c r="I16" s="191"/>
    </row>
    <row r="17" spans="1:9" x14ac:dyDescent="0.2">
      <c r="A17" s="31">
        <v>1600</v>
      </c>
      <c r="B17" t="s">
        <v>798</v>
      </c>
      <c r="C17" s="205">
        <f t="shared" si="0"/>
        <v>19873.77</v>
      </c>
      <c r="D17" s="19">
        <f>'DOE25'!L252-F17-G17-H17</f>
        <v>19873.77</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263.27999999999997</v>
      </c>
      <c r="D19" s="19">
        <f>'DOE25'!L254-F19-G19-H19</f>
        <v>263.27999999999997</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898714</v>
      </c>
      <c r="D22" s="179"/>
      <c r="E22" s="179"/>
      <c r="F22" s="179"/>
      <c r="G22" s="19">
        <f>'DOE25'!L256+'DOE25'!L337</f>
        <v>898714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3363426.27</v>
      </c>
      <c r="D25" s="179"/>
      <c r="E25" s="179"/>
      <c r="F25" s="190"/>
      <c r="G25" s="179"/>
      <c r="H25" s="179"/>
      <c r="I25" s="189">
        <f>'DOE25'!L261+'DOE25'!L262+'DOE25'!L342+'DOE25'!L343</f>
        <v>3363426.27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1129422.6099999999</v>
      </c>
      <c r="D29" s="211">
        <f>'DOE25'!L359+'DOE25'!L360+'DOE25'!L361-'DOE25'!I368-F29-G29-H29-F39</f>
        <v>1120414.2</v>
      </c>
      <c r="E29" s="179"/>
      <c r="F29" s="179"/>
      <c r="G29" s="19">
        <f>'DOE25'!J359+'DOE25'!J360+'DOE25'!J361</f>
        <v>0</v>
      </c>
      <c r="H29" s="19">
        <f>'DOE25'!K359+'DOE25'!K360+'DOE25'!K361</f>
        <v>9008.41</v>
      </c>
      <c r="I29" s="191"/>
    </row>
    <row r="30" spans="1:9" x14ac:dyDescent="0.2">
      <c r="A30" s="31"/>
      <c r="C30" s="206"/>
      <c r="D30" s="19"/>
      <c r="F30" s="200"/>
      <c r="G30" s="19"/>
      <c r="H30" s="19"/>
      <c r="I30" s="191"/>
    </row>
    <row r="31" spans="1:9" x14ac:dyDescent="0.2">
      <c r="A31" s="31" t="s">
        <v>814</v>
      </c>
      <c r="B31" t="s">
        <v>813</v>
      </c>
      <c r="C31" s="205">
        <f>SUM(D31:I31)</f>
        <v>1487115.0900000003</v>
      </c>
      <c r="D31" s="19">
        <f>'DOE25'!L291+'DOE25'!L310+'DOE25'!L329+'DOE25'!L334+'DOE25'!L335+'DOE25'!L336-F31-G31-H31</f>
        <v>1477347.4700000002</v>
      </c>
      <c r="E31" s="179"/>
      <c r="F31" s="180"/>
      <c r="G31" s="19">
        <f>'DOE25'!J291+'DOE25'!J310+'DOE25'!J329+'DOE25'!J334+'DOE25'!J335+'DOE25'!J336</f>
        <v>9767.619999999999</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77448872.309999987</v>
      </c>
      <c r="E33" s="181">
        <f t="shared" si="1"/>
        <v>3083438.28</v>
      </c>
      <c r="F33" s="181">
        <f t="shared" si="1"/>
        <v>0</v>
      </c>
      <c r="G33" s="181">
        <f t="shared" si="1"/>
        <v>1317259.8600000001</v>
      </c>
      <c r="H33" s="181">
        <f t="shared" si="1"/>
        <v>248486.19</v>
      </c>
      <c r="I33" s="181">
        <f t="shared" si="1"/>
        <v>3363426.27</v>
      </c>
    </row>
    <row r="34" spans="1:9" ht="12" thickBot="1" x14ac:dyDescent="0.25"/>
    <row r="35" spans="1:9" ht="12" thickBot="1" x14ac:dyDescent="0.25">
      <c r="B35" s="187" t="s">
        <v>827</v>
      </c>
      <c r="D35" s="188">
        <f>E33</f>
        <v>3083438.28</v>
      </c>
      <c r="E35" s="184"/>
      <c r="F35" s="294" t="s">
        <v>1596</v>
      </c>
      <c r="G35" s="295"/>
      <c r="H35" s="295"/>
      <c r="I35" s="296"/>
    </row>
    <row r="36" spans="1:9" ht="12" thickTop="1" x14ac:dyDescent="0.2">
      <c r="B36" t="s">
        <v>807</v>
      </c>
      <c r="D36" s="19">
        <f>D33</f>
        <v>77448872.309999987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17">
        <v>5000</v>
      </c>
      <c r="G42" s="303"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Normal="100" workbookViewId="0">
      <selection activeCell="A13" sqref="A13"/>
    </sheetView>
  </sheetViews>
  <sheetFormatPr defaultColWidth="8.6640625" defaultRowHeight="11.25" x14ac:dyDescent="0.2"/>
  <cols>
    <col min="1" max="1" width="41.5" customWidth="1"/>
    <col min="2" max="2" width="22.1640625" customWidth="1"/>
    <col min="3" max="3" width="28.1640625" customWidth="1"/>
    <col min="4" max="4" width="19.1640625" customWidth="1"/>
    <col min="5" max="5" width="18" customWidth="1"/>
    <col min="6" max="6" width="20.16406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3" t="s">
        <v>1797</v>
      </c>
      <c r="K1" s="313"/>
      <c r="L1" s="313"/>
      <c r="M1" s="313"/>
      <c r="N1" s="313"/>
      <c r="O1" s="329" t="s">
        <v>1802</v>
      </c>
      <c r="P1" s="330"/>
      <c r="Q1" s="330"/>
      <c r="R1" s="330"/>
      <c r="S1" s="330"/>
      <c r="T1" s="330"/>
      <c r="U1" s="330"/>
      <c r="V1" s="330"/>
    </row>
    <row r="2" spans="1:22" ht="15.75" customHeight="1" thickBot="1" x14ac:dyDescent="0.25">
      <c r="A2" s="220" t="str">
        <f>'DOE25'!A2</f>
        <v>Bedford</v>
      </c>
      <c r="B2">
        <f>'DOE25'!B2</f>
        <v>41</v>
      </c>
      <c r="J2" s="223" t="s">
        <v>1799</v>
      </c>
      <c r="K2" s="307">
        <f>SUM('DOE25'!L198:L201)+SUM('DOE25'!L277:L280)</f>
        <v>24263087.279999997</v>
      </c>
      <c r="L2" s="307">
        <f>'DOE25'!L203+'DOE25'!L282</f>
        <v>3359516.46</v>
      </c>
      <c r="M2" s="307">
        <f>'DOE25'!L204+'DOE25'!L283</f>
        <v>894174.98</v>
      </c>
      <c r="N2" s="307">
        <f>'DOE25'!L206+'DOE25'!L285</f>
        <v>2541222.9700000002</v>
      </c>
      <c r="O2" s="315">
        <f>'Salaries-Benefits'!B10+'Salaries-Benefits'!B12+'Salaries-Benefits'!B19+'Salaries-Benefits'!B21+'Salaries-Benefits'!B28+'Salaries-Benefits'!B30+'Salaries-Benefits'!B37+'Salaries-Benefits'!B39</f>
        <v>26394265.390000001</v>
      </c>
      <c r="P2" s="315">
        <f>'Salaries-Benefits'!B11+'Salaries-Benefits'!B20+'Salaries-Benefits'!B29+'Salaries-Benefits'!B38</f>
        <v>4236268.41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2" t="str">
        <f>IF(SUM('DOE25'!F576:F588)&lt;=(SUM('School Level Expenditures'!D5:E5)),"","ERROR!! Other District Expenditures Line Less Than Page 22 Elementary Tuition Total")</f>
        <v/>
      </c>
      <c r="J3" s="223" t="s">
        <v>1516</v>
      </c>
      <c r="K3" s="309">
        <f>K21-K2</f>
        <v>0</v>
      </c>
      <c r="L3" s="309">
        <f t="shared" ref="L3:N3" si="0">L21-L2</f>
        <v>0</v>
      </c>
      <c r="M3" s="309">
        <f t="shared" si="0"/>
        <v>0</v>
      </c>
      <c r="N3" s="309">
        <f t="shared" si="0"/>
        <v>0</v>
      </c>
      <c r="O3" s="309">
        <f t="shared" ref="O3:P3" si="1">O21+O34+O45-O2</f>
        <v>0</v>
      </c>
      <c r="P3" s="309">
        <f t="shared" si="1"/>
        <v>0</v>
      </c>
      <c r="Q3" s="308"/>
      <c r="R3" s="304"/>
      <c r="S3" s="214"/>
      <c r="T3" s="214"/>
      <c r="U3" s="215"/>
    </row>
    <row r="4" spans="1:22" ht="85.5" customHeight="1" thickBot="1" x14ac:dyDescent="0.25">
      <c r="A4" s="223" t="s">
        <v>1514</v>
      </c>
      <c r="B4" s="223" t="s">
        <v>1515</v>
      </c>
      <c r="C4" s="223" t="s">
        <v>893</v>
      </c>
      <c r="D4" s="223" t="s">
        <v>783</v>
      </c>
      <c r="E4" s="223" t="s">
        <v>783</v>
      </c>
      <c r="F4" s="227">
        <f>SUM(F5:F20)</f>
        <v>37555619.07</v>
      </c>
      <c r="G4" s="228">
        <f>'DOE25'!L212+'DOE25'!L291</f>
        <v>37555619.069999993</v>
      </c>
      <c r="H4" s="263">
        <f>F4-G4</f>
        <v>0</v>
      </c>
      <c r="I4" s="312" t="str">
        <f>IF(H4=0,"","ERROR!! Please review pages 7 and 11 totals in comparison with total on this page")</f>
        <v/>
      </c>
      <c r="J4" s="223" t="s">
        <v>1514</v>
      </c>
      <c r="K4" s="305" t="s">
        <v>1776</v>
      </c>
      <c r="L4" s="305" t="s">
        <v>1775</v>
      </c>
      <c r="M4" s="305" t="s">
        <v>1779</v>
      </c>
      <c r="N4" s="305" t="s">
        <v>1780</v>
      </c>
      <c r="O4" s="305" t="s">
        <v>1803</v>
      </c>
      <c r="P4" s="305" t="s">
        <v>1804</v>
      </c>
      <c r="Q4" s="305" t="s">
        <v>1781</v>
      </c>
    </row>
    <row r="5" spans="1:22" x14ac:dyDescent="0.2">
      <c r="A5" s="71" t="s">
        <v>1798</v>
      </c>
      <c r="B5" s="229">
        <v>99991</v>
      </c>
      <c r="C5" s="222" t="s">
        <v>1531</v>
      </c>
      <c r="D5" s="219">
        <f>1869400.56+1008213.15+45585.49+20775.81</f>
        <v>2943975.0100000002</v>
      </c>
      <c r="E5" s="219"/>
      <c r="F5" s="231">
        <f>D5+E5</f>
        <v>2943975.0100000002</v>
      </c>
      <c r="G5" s="222"/>
      <c r="H5" s="222"/>
      <c r="J5" s="71" t="s">
        <v>1798</v>
      </c>
      <c r="K5" s="20">
        <v>1008213.15</v>
      </c>
      <c r="L5" s="20"/>
      <c r="M5" s="20"/>
      <c r="N5" s="20"/>
      <c r="O5" s="20"/>
      <c r="P5" s="20"/>
      <c r="Q5" s="20"/>
    </row>
    <row r="6" spans="1:22" x14ac:dyDescent="0.2">
      <c r="A6" t="str" cm="1">
        <f t="array" ref="A6">IFERROR(INDEX('School Tables'!$A$4:$G$365,'School Tables'!$J4,3),"")</f>
        <v>McKelvie Intermediate School</v>
      </c>
      <c r="B6" s="229">
        <f>IFERROR(VLOOKUP(A6,'School Tables'!$C$3:$D$365,2,FALSE),"")</f>
        <v>21005</v>
      </c>
      <c r="C6" s="222" t="str">
        <f>IFERROR(INDEX('School Tables'!$B$3:$B$365,MATCH('School Level Expenditures'!B6,'School Tables'!$D$3:$D$365,0)),"")</f>
        <v>Bedford</v>
      </c>
      <c r="D6" s="219">
        <f>279153.47+580392.87+298124.58+1421.83+37099.34+6379.24+1160199.4+801914.61</f>
        <v>3164685.34</v>
      </c>
      <c r="E6" s="219">
        <f>32484.37+32416.71+136837.76-0.1</f>
        <v>201738.74000000002</v>
      </c>
      <c r="F6" s="231">
        <f t="shared" ref="F6:F20" si="2">D6+E6</f>
        <v>3366424.08</v>
      </c>
      <c r="G6" s="222"/>
      <c r="H6" s="222"/>
      <c r="J6" t="str">
        <f t="shared" ref="J6:J20" si="3">A6</f>
        <v>McKelvie Intermediate School</v>
      </c>
      <c r="K6" s="20">
        <f>31.34+1338.52+13.59+94185.67+7304.67+4703.76+28285.71+899.66+2690.89+30146.61+103438.01+3236.53+0.01+3910347.88+2183572.07+827777.61</f>
        <v>7197972.5300000003</v>
      </c>
      <c r="L6" s="20">
        <f>34477.52+3086.39+23465.19+4450.17+267977.98+4548.19+383070.02+353219.75-0.2</f>
        <v>1074295.01</v>
      </c>
      <c r="M6" s="306">
        <f>550.38+826.78+93.55+5088.19+18608.14+1018.32+58726.3+15275.94-0.2+171346.5</f>
        <v>271533.90000000002</v>
      </c>
      <c r="N6" s="20">
        <f>53.02+3281.52+11980.99+0.01+418916.72+242912.27+120983.8</f>
        <v>798128.33</v>
      </c>
      <c r="O6" s="20">
        <f>8123.56+3673.91+85962.24+56983.34+176693+111227.1+75772.63+47875.7+3359662.87+126019.41+71080.77</f>
        <v>4123074.5300000003</v>
      </c>
      <c r="P6" s="20">
        <f>615387.63+3467.85</f>
        <v>618855.48</v>
      </c>
      <c r="Q6" s="20">
        <v>28027.759999999998</v>
      </c>
    </row>
    <row r="7" spans="1:22" x14ac:dyDescent="0.2">
      <c r="A7" t="str" cm="1">
        <f t="array" ref="A7">IFERROR(INDEX('School Tables'!$A$4:$G$365,'School Tables'!$J5,3),"")</f>
        <v>Memorial School (Bedford)</v>
      </c>
      <c r="B7" s="229">
        <f>IFERROR(VLOOKUP(A7,'School Tables'!$C$3:$D$365,2,FALSE),"")</f>
        <v>20990</v>
      </c>
      <c r="C7" s="222" t="str">
        <f>IFERROR(INDEX('School Tables'!$B$3:$B$365,MATCH('School Level Expenditures'!B7,'School Tables'!$D$3:$D$365,0)),"")</f>
        <v>Bedford</v>
      </c>
      <c r="D7" s="219">
        <f>223810.45+407667.95+209402.71+8646.49+26058.58+4480.78+814924.06+563264.82+4786246.33</f>
        <v>7044502.1699999999</v>
      </c>
      <c r="E7" s="219">
        <f>37870.59+229253.2-56859.5+22769.5+96114.84</f>
        <v>329148.63</v>
      </c>
      <c r="F7" s="231">
        <f t="shared" si="2"/>
        <v>7373650.7999999998</v>
      </c>
      <c r="G7" s="222"/>
      <c r="H7" s="222"/>
      <c r="J7" t="str">
        <f t="shared" si="3"/>
        <v>Memorial School (Bedford)</v>
      </c>
      <c r="K7" s="20">
        <f>22.01+6913.35+1306+66156.01+5130.8+3303.92+37870.59+716.55+13700.65+82383.83+70844.3+631.92+1890.08+21174.98+83396.46+2273.34+2538042.72+1372183.42+581431</f>
        <v>4889371.93</v>
      </c>
      <c r="L7" s="20">
        <f>24217.01+2167.88-0.08+16481.95+12813.26+188227.73+3194.65+229881.18+248101.55</f>
        <v>725085.12999999989</v>
      </c>
      <c r="M7" s="306">
        <f>386.59+580.73+65.71+3573.94+13070.36+4748.45+41249.35+11169.82+120353.78</f>
        <v>195198.73</v>
      </c>
      <c r="N7" s="20">
        <f>37.24+2304.94+7691.32+305684.81+177255.53+84979.02</f>
        <v>577952.86</v>
      </c>
      <c r="O7" s="20">
        <f>5705.99+60379.88+78127.34+40025.1+124109.16+78125.92+53222.69+33627.89+1932587.48+72309.13+49927.13</f>
        <v>2528147.71</v>
      </c>
      <c r="P7" s="20">
        <f>782143.94+2435.82</f>
        <v>784579.75999999989</v>
      </c>
      <c r="Q7" s="20">
        <v>29567.29</v>
      </c>
    </row>
    <row r="8" spans="1:22" x14ac:dyDescent="0.2">
      <c r="A8" t="str" cm="1">
        <f t="array" ref="A8">IFERROR(INDEX('School Tables'!$A$4:$G$365,'School Tables'!$J6,3),"")</f>
        <v>Peter Woodbury School</v>
      </c>
      <c r="B8" s="229">
        <f>IFERROR(VLOOKUP(A8,'School Tables'!$C$3:$D$365,2,FALSE),"")</f>
        <v>21000</v>
      </c>
      <c r="C8" s="222" t="str">
        <f>IFERROR(INDEX('School Tables'!$B$3:$B$365,MATCH('School Level Expenditures'!B8,'School Tables'!$D$3:$D$365,0)),"")</f>
        <v>Bedford</v>
      </c>
      <c r="D8" s="219">
        <f>248170.92+390952.64+200816.72+1334.64+24990.11+4297.05+781510.31+540169.68+5086192.75</f>
        <v>7278434.8200000003</v>
      </c>
      <c r="E8" s="219">
        <f>85630.68-56859.5+21835.9+92173.92</f>
        <v>142781</v>
      </c>
      <c r="F8" s="231">
        <f t="shared" si="2"/>
        <v>7421215.8200000003</v>
      </c>
      <c r="G8" s="222"/>
      <c r="H8" s="222"/>
      <c r="J8" t="str">
        <f t="shared" si="3"/>
        <v>Peter Woodbury School</v>
      </c>
      <c r="K8" s="20">
        <f>63443.47+4920.43+3168.45+11185.71-1272.78+606.01+1812.58+20306.76+113038.46+2180.13+2696493.29+1502771.58+557591</f>
        <v>4976245.09</v>
      </c>
      <c r="L8" s="20">
        <f>23224.05+2078.99+15806.15+14857.62+180509.96+3063.66+245014.83+237928.82</f>
        <v>722484.08000000007</v>
      </c>
      <c r="M8" s="306">
        <f>370.74+556.92+63.01+3427.4+12534.44+16312.83+39558.03+10953.44+115419</f>
        <v>199195.81</v>
      </c>
      <c r="N8" s="20">
        <f>35.71+24.15+2210.43+6684.54+307307.82+177908.83+81494.69</f>
        <v>575666.16999999993</v>
      </c>
      <c r="O8" s="20">
        <f>5472.03+57904.17+38383.98+119020.4+74922.58+51040.44+32249.07+2241116.02+55383.44+47880</f>
        <v>2723372.13</v>
      </c>
      <c r="P8" s="20">
        <f>543521.02+2335.95</f>
        <v>545856.97</v>
      </c>
      <c r="Q8" s="20">
        <v>32614.68</v>
      </c>
    </row>
    <row r="9" spans="1:22" x14ac:dyDescent="0.2">
      <c r="A9" t="str" cm="1">
        <f t="array" ref="A9">IFERROR(INDEX('School Tables'!$A$4:$G$365,'School Tables'!$J7,3),"")</f>
        <v>Riddle Brook School</v>
      </c>
      <c r="B9" s="229">
        <f>IFERROR(VLOOKUP(A9,'School Tables'!$C$3:$D$365,2,FALSE),"")</f>
        <v>27680</v>
      </c>
      <c r="C9" s="222" t="str">
        <f>IFERROR(INDEX('School Tables'!$B$3:$B$365,MATCH('School Level Expenditures'!B9,'School Tables'!$D$3:$D$365,0)),"")</f>
        <v>Bedford</v>
      </c>
      <c r="D9" s="219">
        <f>321801.39+466171.55+239453.67+1779.85+29798.19+5123.8+931872.16+644097.82+6203306.19+7427663.22-0.48</f>
        <v>16271067.359999999</v>
      </c>
      <c r="E9" s="219">
        <f>634930.81-591590+26037.1+109908.09</f>
        <v>179286.00000000006</v>
      </c>
      <c r="F9" s="231">
        <f t="shared" si="2"/>
        <v>16450353.359999999</v>
      </c>
      <c r="G9" s="222"/>
      <c r="H9" s="222"/>
      <c r="J9" t="str">
        <f t="shared" si="3"/>
        <v>Riddle Brook School</v>
      </c>
      <c r="K9" s="20">
        <f>75649.93+5867.11+3778.06+722.61+2161.32+24213.76+119435.61+2599.58+3417094.24+1874891.38+664870.98</f>
        <v>6191284.5800000001</v>
      </c>
      <c r="L9" s="20">
        <f>27692.34+2478.99+31902+18847.24+18431.7+215239.91+3653.11+235700.85+283706.1</f>
        <v>837652.24</v>
      </c>
      <c r="M9" s="306">
        <f>442.07+664.07+75.14+4086.83+14946.06+11438.81+47168.96+11799.09+137625.51</f>
        <v>228246.54</v>
      </c>
      <c r="N9" s="20">
        <f>42.59+2635.72+9864.79+303679.9+176078.42+97174.19</f>
        <v>589475.6100000001</v>
      </c>
      <c r="O9" s="20">
        <f>6524.84+69044.88+45769.02+141919.81+89337.61+60860.57+38453.76+2700291.53+74959.45+57092.12</f>
        <v>3284253.59</v>
      </c>
      <c r="P9" s="20">
        <f>800689.66+2785.38</f>
        <v>803475.04</v>
      </c>
      <c r="Q9" s="20">
        <v>37712.870000000003</v>
      </c>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36702664.700000003</v>
      </c>
      <c r="E21" s="261">
        <f>SUM(E5:E20)</f>
        <v>852954.37000000011</v>
      </c>
      <c r="F21" s="216"/>
      <c r="G21" s="216"/>
      <c r="H21" s="216"/>
      <c r="K21" s="262">
        <f t="shared" ref="K21:Q21" si="4">SUM(K5:K20)</f>
        <v>24263087.280000001</v>
      </c>
      <c r="L21" s="262">
        <f t="shared" si="4"/>
        <v>3359516.46</v>
      </c>
      <c r="M21" s="262">
        <f t="shared" si="4"/>
        <v>894174.98</v>
      </c>
      <c r="N21" s="262">
        <f t="shared" si="4"/>
        <v>2541222.9699999997</v>
      </c>
      <c r="O21" s="262">
        <f t="shared" si="4"/>
        <v>12658847.960000001</v>
      </c>
      <c r="P21" s="262">
        <f t="shared" si="4"/>
        <v>2752767.25</v>
      </c>
      <c r="Q21" s="262">
        <f t="shared" si="4"/>
        <v>127922.6</v>
      </c>
    </row>
    <row r="22" spans="1:17" ht="12" thickTop="1" x14ac:dyDescent="0.2">
      <c r="B22" s="230"/>
      <c r="C22" s="216"/>
      <c r="D22" s="219"/>
      <c r="E22" s="219"/>
      <c r="F22" s="216"/>
      <c r="G22" s="216"/>
      <c r="H22" s="216"/>
      <c r="K22" s="308"/>
      <c r="L22" s="308"/>
      <c r="M22" s="308"/>
      <c r="N22" s="308"/>
      <c r="O22" s="308"/>
      <c r="P22" s="308"/>
      <c r="Q22" s="308"/>
    </row>
    <row r="23" spans="1:17" ht="27.75" customHeight="1" thickBot="1" x14ac:dyDescent="0.25">
      <c r="B23" s="230"/>
      <c r="C23" s="216"/>
      <c r="D23" s="219"/>
      <c r="E23" s="219"/>
      <c r="F23" s="216"/>
      <c r="G23" s="216"/>
      <c r="H23" s="216"/>
      <c r="J23" s="223" t="s">
        <v>1800</v>
      </c>
      <c r="K23" s="19">
        <f>SUM('DOE25'!L216:L219)+SUM('DOE25'!L296:L299)</f>
        <v>9251081.5800000001</v>
      </c>
      <c r="L23" s="19">
        <f>'DOE25'!L221+'DOE25'!L301</f>
        <v>1100761.6199999999</v>
      </c>
      <c r="M23" s="19">
        <f>'DOE25'!L222+'DOE25'!L302</f>
        <v>286575.45</v>
      </c>
      <c r="N23" s="19">
        <f>'DOE25'!L224+'DOE25'!L304</f>
        <v>835475.24999999988</v>
      </c>
    </row>
    <row r="24" spans="1:17" ht="63" customHeight="1" x14ac:dyDescent="0.25">
      <c r="A24" s="221" t="s">
        <v>1526</v>
      </c>
      <c r="B24" s="222"/>
      <c r="C24" s="222"/>
      <c r="D24" s="223" t="s">
        <v>1524</v>
      </c>
      <c r="E24" s="223" t="s">
        <v>1525</v>
      </c>
      <c r="F24" s="224" t="s">
        <v>1532</v>
      </c>
      <c r="G24" s="225" t="s">
        <v>1534</v>
      </c>
      <c r="H24" s="226" t="s">
        <v>1516</v>
      </c>
      <c r="I24" s="312" t="str">
        <f>IF(SUM('DOE25'!G576:G588)&lt;=(SUM('School Level Expenditures'!D26:E26)),"","ERROR!! Other District Expenditures Line Less Than Page 22 Middle School Tuition Total")</f>
        <v/>
      </c>
      <c r="J24" s="223" t="s">
        <v>1516</v>
      </c>
      <c r="K24" s="309">
        <f>K34-K23</f>
        <v>0</v>
      </c>
      <c r="L24" s="309">
        <f t="shared" ref="L24:N24" si="5">L34-L23</f>
        <v>0</v>
      </c>
      <c r="M24" s="309">
        <f t="shared" si="5"/>
        <v>0</v>
      </c>
      <c r="N24" s="309">
        <f t="shared" si="5"/>
        <v>0</v>
      </c>
    </row>
    <row r="25" spans="1:17" ht="61.5" customHeight="1" thickBot="1" x14ac:dyDescent="0.25">
      <c r="A25" s="223" t="s">
        <v>1527</v>
      </c>
      <c r="B25" s="223" t="s">
        <v>1528</v>
      </c>
      <c r="C25" s="223" t="s">
        <v>893</v>
      </c>
      <c r="D25" s="223" t="s">
        <v>783</v>
      </c>
      <c r="E25" s="223" t="s">
        <v>783</v>
      </c>
      <c r="F25" s="232">
        <f>SUM(F26:F33)</f>
        <v>13535270.960000001</v>
      </c>
      <c r="G25" s="228">
        <f>'DOE25'!L230+'DOE25'!L310</f>
        <v>13535270.960000001</v>
      </c>
      <c r="H25" s="263">
        <f>F25-G25</f>
        <v>0</v>
      </c>
      <c r="I25" s="312" t="str">
        <f>IF(H25=0,"","ERROR!! Please review pages 8 and 12 totals in comparison with total on this page")</f>
        <v/>
      </c>
      <c r="J25" s="223" t="s">
        <v>1527</v>
      </c>
      <c r="K25" s="305" t="s">
        <v>1776</v>
      </c>
      <c r="L25" s="305" t="s">
        <v>1775</v>
      </c>
      <c r="M25" s="305" t="s">
        <v>1779</v>
      </c>
      <c r="N25" s="305" t="s">
        <v>1780</v>
      </c>
      <c r="O25" s="305" t="s">
        <v>1778</v>
      </c>
      <c r="P25" s="305" t="s">
        <v>1777</v>
      </c>
      <c r="Q25" s="305" t="s">
        <v>1781</v>
      </c>
    </row>
    <row r="26" spans="1:17" x14ac:dyDescent="0.2">
      <c r="A26" s="71" t="s">
        <v>1798</v>
      </c>
      <c r="B26" s="229">
        <v>99992</v>
      </c>
      <c r="C26" s="222" t="s">
        <v>1531</v>
      </c>
      <c r="D26" s="219">
        <f>669505.61+342889.61+15815.37+7207.93</f>
        <v>1035418.52</v>
      </c>
      <c r="E26" s="219"/>
      <c r="F26" s="231">
        <f>D26+E26</f>
        <v>1035418.52</v>
      </c>
      <c r="G26" s="222"/>
      <c r="H26" s="222"/>
      <c r="J26" s="71" t="s">
        <v>1798</v>
      </c>
      <c r="K26" s="314">
        <v>342889.61</v>
      </c>
      <c r="L26" s="314"/>
      <c r="M26" s="314"/>
      <c r="N26" s="314"/>
      <c r="O26" s="314"/>
      <c r="P26" s="314"/>
      <c r="Q26" s="314"/>
    </row>
    <row r="27" spans="1:17" x14ac:dyDescent="0.2">
      <c r="A27" t="str" cm="1">
        <f t="array" ref="A27">IFERROR(INDEX('School Tables'!$L$4:$R$100,'School Tables'!$U4,3),"")</f>
        <v>Ross A. Lurgio Middle School</v>
      </c>
      <c r="B27" s="229">
        <f>IFERROR(VLOOKUP(A27,'School Tables'!$N$4:$O$100,2,FALSE),"")</f>
        <v>28560</v>
      </c>
      <c r="C27" s="222" t="str">
        <f>IFERROR(INDEX('School Tables'!$M$4:$M$100,MATCH('School Level Expenditures'!A27,'School Tables'!$N$4:$N$100,0)),"")</f>
        <v>Bedford</v>
      </c>
      <c r="D27" s="219">
        <f>1573839.8+10756250.9</f>
        <v>12330090.700000001</v>
      </c>
      <c r="E27" s="219">
        <v>169761.74</v>
      </c>
      <c r="F27" s="231">
        <f t="shared" ref="F27:F33" si="6">D27+E27</f>
        <v>12499852.440000001</v>
      </c>
      <c r="G27" s="222"/>
      <c r="H27" s="222"/>
      <c r="J27" t="str">
        <f t="shared" ref="J27:J33" si="7">A27</f>
        <v>Ross A. Lurgio Middle School</v>
      </c>
      <c r="K27" s="20">
        <f>982944.53-342889.61+8268137.05</f>
        <v>8908191.9700000007</v>
      </c>
      <c r="L27" s="20">
        <f>417615.95+683145.67</f>
        <v>1100761.6200000001</v>
      </c>
      <c r="M27" s="306">
        <f>97582.35+188993.1</f>
        <v>286575.45</v>
      </c>
      <c r="N27" s="20">
        <f>9336.87+826138.38</f>
        <v>835475.25</v>
      </c>
      <c r="O27" s="20">
        <f>9672.4+3607551.67+203237.21+135014.96+62851.93+786359</f>
        <v>4804687.17</v>
      </c>
      <c r="P27" s="20">
        <f>8006.49+1063.84+46621.66+491486.84+3825</f>
        <v>551003.83000000007</v>
      </c>
      <c r="Q27" s="20">
        <v>54990.11</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13365509.220000001</v>
      </c>
      <c r="E34" s="261">
        <f>SUM(E26:E33)</f>
        <v>169761.74</v>
      </c>
      <c r="F34" s="216"/>
      <c r="G34" s="216"/>
      <c r="H34" s="216"/>
      <c r="K34" s="262">
        <f t="shared" ref="K34:Q34" si="8">SUM(K26:K33)</f>
        <v>9251081.5800000001</v>
      </c>
      <c r="L34" s="262">
        <f t="shared" si="8"/>
        <v>1100761.6200000001</v>
      </c>
      <c r="M34" s="262">
        <f t="shared" si="8"/>
        <v>286575.45</v>
      </c>
      <c r="N34" s="262">
        <f t="shared" si="8"/>
        <v>835475.25</v>
      </c>
      <c r="O34" s="262">
        <f t="shared" si="8"/>
        <v>4804687.17</v>
      </c>
      <c r="P34" s="262">
        <f t="shared" si="8"/>
        <v>551003.83000000007</v>
      </c>
      <c r="Q34" s="262">
        <f t="shared" si="8"/>
        <v>54990.11</v>
      </c>
    </row>
    <row r="35" spans="1:17" ht="12" thickTop="1" x14ac:dyDescent="0.2">
      <c r="B35" s="230"/>
      <c r="C35" s="216"/>
      <c r="D35" s="219"/>
      <c r="E35" s="219"/>
      <c r="F35" s="216"/>
      <c r="G35" s="216"/>
      <c r="H35" s="216"/>
      <c r="K35" s="308"/>
      <c r="L35" s="308"/>
      <c r="M35" s="308"/>
      <c r="N35" s="308"/>
      <c r="O35" s="308"/>
      <c r="P35" s="308"/>
      <c r="Q35" s="308"/>
    </row>
    <row r="36" spans="1:17" ht="26.25" customHeight="1" thickBot="1" x14ac:dyDescent="0.25">
      <c r="B36" s="230"/>
      <c r="C36" s="216"/>
      <c r="D36" s="219"/>
      <c r="E36" s="219"/>
      <c r="F36" s="216"/>
      <c r="G36" s="216"/>
      <c r="H36" s="216"/>
      <c r="J36" s="223" t="s">
        <v>1801</v>
      </c>
      <c r="K36" s="19">
        <f>SUM('DOE25'!L234:L237)+SUM('DOE25'!L315:L318)</f>
        <v>19086939.850000001</v>
      </c>
      <c r="L36" s="19">
        <f>'DOE25'!L239+'DOE25'!L320</f>
        <v>2472827.0799999996</v>
      </c>
      <c r="M36" s="19">
        <f>'DOE25'!L240+'DOE25'!L321</f>
        <v>590604.5199999999</v>
      </c>
      <c r="N36" s="19">
        <f>'DOE25'!L242+'DOE25'!L323</f>
        <v>2248389.19</v>
      </c>
    </row>
    <row r="37" spans="1:17" ht="65.25" customHeight="1" x14ac:dyDescent="0.25">
      <c r="A37" s="217" t="s">
        <v>367</v>
      </c>
      <c r="B37" s="222"/>
      <c r="C37" s="222"/>
      <c r="D37" s="223" t="s">
        <v>1524</v>
      </c>
      <c r="E37" s="223" t="s">
        <v>1525</v>
      </c>
      <c r="F37" s="224" t="s">
        <v>1532</v>
      </c>
      <c r="G37" s="225" t="s">
        <v>1535</v>
      </c>
      <c r="H37" s="226" t="s">
        <v>1516</v>
      </c>
      <c r="I37" s="312" t="str">
        <f>IF(SUM('DOE25'!H576:H588)&lt;=(SUM('School Level Expenditures'!D39:E39)),"","ERROR!! Other District Expenditures Line Less Than Page 22 High School Tuition Total")</f>
        <v/>
      </c>
      <c r="J37" s="223" t="s">
        <v>1516</v>
      </c>
      <c r="K37" s="309">
        <f>K45-K36</f>
        <v>0</v>
      </c>
      <c r="L37" s="309">
        <f t="shared" ref="L37:N37" si="9">L45-L36</f>
        <v>0</v>
      </c>
      <c r="M37" s="309">
        <f t="shared" si="9"/>
        <v>0</v>
      </c>
      <c r="N37" s="309">
        <f t="shared" si="9"/>
        <v>0</v>
      </c>
    </row>
    <row r="38" spans="1:17" ht="63.75" customHeight="1" thickBot="1" x14ac:dyDescent="0.25">
      <c r="A38" s="218" t="s">
        <v>1529</v>
      </c>
      <c r="B38" s="223" t="s">
        <v>1530</v>
      </c>
      <c r="C38" s="223" t="s">
        <v>893</v>
      </c>
      <c r="D38" s="223" t="s">
        <v>783</v>
      </c>
      <c r="E38" s="223" t="s">
        <v>783</v>
      </c>
      <c r="F38" s="232">
        <f>SUM(F39:F44)</f>
        <v>28940860.430000003</v>
      </c>
      <c r="G38" s="228">
        <f>'DOE25'!L248+'DOE25'!L329</f>
        <v>28940860.430000007</v>
      </c>
      <c r="H38" s="263">
        <f>F38-G38</f>
        <v>0</v>
      </c>
      <c r="I38" s="312" t="str">
        <f>IF(H38=0,"","ERROR!! Please review pages 9 and 13 totals in comparison with total on this page")</f>
        <v/>
      </c>
      <c r="J38" s="223" t="s">
        <v>1529</v>
      </c>
      <c r="K38" s="305" t="s">
        <v>1776</v>
      </c>
      <c r="L38" s="305" t="s">
        <v>1775</v>
      </c>
      <c r="M38" s="305" t="s">
        <v>1779</v>
      </c>
      <c r="N38" s="305" t="s">
        <v>1780</v>
      </c>
      <c r="O38" s="305" t="s">
        <v>1778</v>
      </c>
      <c r="P38" s="305" t="s">
        <v>1777</v>
      </c>
      <c r="Q38" s="305" t="s">
        <v>1781</v>
      </c>
    </row>
    <row r="39" spans="1:17" x14ac:dyDescent="0.2">
      <c r="A39" s="71" t="s">
        <v>1798</v>
      </c>
      <c r="B39" s="229">
        <v>99993</v>
      </c>
      <c r="C39" s="222" t="s">
        <v>1531</v>
      </c>
      <c r="D39" s="219">
        <f>1439461.89+2160203.18+31630.75+14415.87</f>
        <v>3645711.6900000004</v>
      </c>
      <c r="E39" s="219"/>
      <c r="F39" s="231">
        <f t="shared" ref="F39:F44" si="10">D39+E39</f>
        <v>3645711.6900000004</v>
      </c>
      <c r="G39" s="222"/>
      <c r="H39" s="222"/>
      <c r="J39" s="71" t="s">
        <v>1798</v>
      </c>
      <c r="K39" s="314">
        <v>2160203.1800000002</v>
      </c>
      <c r="L39" s="314"/>
      <c r="M39" s="314"/>
      <c r="N39" s="314"/>
      <c r="O39" s="314"/>
      <c r="P39" s="314"/>
      <c r="Q39" s="314"/>
    </row>
    <row r="40" spans="1:17" x14ac:dyDescent="0.2">
      <c r="A40" t="str" cm="1">
        <f t="array" ref="A40">IFERROR(INDEX('School Tables'!$W$4:$AC$120,'School Tables'!$AF4,3),"")</f>
        <v>Bedford High School</v>
      </c>
      <c r="B40" s="229">
        <f>IFERROR(VLOOKUP(A40,'School Tables'!$Y$4:$Z$120,2,FALSE),"")</f>
        <v>28555</v>
      </c>
      <c r="C40" s="222" t="str">
        <f>IFERROR(INDEX('School Tables'!$X$4:$X$120,MATCH('School Level Expenditures'!A40,'School Tables'!$Y$4:$Y$120,0)),"")</f>
        <v>Bedford</v>
      </c>
      <c r="D40" s="219">
        <f>4088898.94+20759883.34</f>
        <v>24848782.280000001</v>
      </c>
      <c r="E40" s="219">
        <v>446366.46</v>
      </c>
      <c r="F40" s="231">
        <f t="shared" si="10"/>
        <v>25295148.740000002</v>
      </c>
      <c r="G40" s="222"/>
      <c r="H40" s="222"/>
      <c r="J40" t="str">
        <f>A40</f>
        <v>Bedford High School</v>
      </c>
      <c r="K40" s="20">
        <f>3487965.76-2160203.18+15598974.09</f>
        <v>16926736.669999998</v>
      </c>
      <c r="L40" s="20">
        <f>1233827.15+1238999.93</f>
        <v>2472827.08</v>
      </c>
      <c r="M40" s="306">
        <f>212618.34+377986.18</f>
        <v>590604.52</v>
      </c>
      <c r="N40" s="20">
        <f>56100.72+2192288.47</f>
        <v>2248389.1900000004</v>
      </c>
      <c r="O40" s="20">
        <f>189630.61+6953196.85+1057417.37+491036.14+125703.85+113745.44</f>
        <v>8930730.2599999998</v>
      </c>
      <c r="P40" s="20">
        <f>16012.98+2127.69+43241.26+863465.4+7650</f>
        <v>932497.33000000007</v>
      </c>
      <c r="Q40" s="20">
        <v>33784.870000000003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28494493.970000003</v>
      </c>
      <c r="E45" s="262">
        <f>SUM(E39:E44)</f>
        <v>446366.46</v>
      </c>
      <c r="K45" s="262">
        <f t="shared" ref="K45:Q45" si="11">SUM(K39:K44)</f>
        <v>19086939.849999998</v>
      </c>
      <c r="L45" s="262">
        <f t="shared" si="11"/>
        <v>2472827.08</v>
      </c>
      <c r="M45" s="262">
        <f t="shared" si="11"/>
        <v>590604.52</v>
      </c>
      <c r="N45" s="262">
        <f t="shared" si="11"/>
        <v>2248389.1900000004</v>
      </c>
      <c r="O45" s="262">
        <f t="shared" si="11"/>
        <v>8930730.2599999998</v>
      </c>
      <c r="P45" s="262">
        <f t="shared" si="11"/>
        <v>932497.33000000007</v>
      </c>
      <c r="Q45" s="262">
        <f t="shared" si="11"/>
        <v>33784.870000000003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 zoomScale="80" zoomScaleNormal="80" workbookViewId="0">
      <selection activeCell="G21" sqref="G21"/>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Bedford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3361842.77</v>
      </c>
      <c r="D8" s="73">
        <f>'DOE25'!G9</f>
        <v>110</v>
      </c>
      <c r="E8" s="73">
        <f>'DOE25'!H9</f>
        <v>0</v>
      </c>
      <c r="F8" s="73">
        <f>'DOE25'!I9</f>
        <v>0</v>
      </c>
      <c r="G8" s="73">
        <f>'DOE25'!J9</f>
        <v>0</v>
      </c>
      <c r="H8" s="13">
        <f>SUM(C8:G8)</f>
        <v>3361952.77</v>
      </c>
      <c r="I8" s="90"/>
    </row>
    <row r="9" spans="1:9" x14ac:dyDescent="0.2">
      <c r="A9" s="1" t="s">
        <v>140</v>
      </c>
      <c r="B9" s="6">
        <v>110</v>
      </c>
      <c r="C9" s="73">
        <f>'DOE25'!F10</f>
        <v>4111916.38</v>
      </c>
      <c r="D9" s="73">
        <f>'DOE25'!G10</f>
        <v>0</v>
      </c>
      <c r="E9" s="73">
        <f>'DOE25'!H10</f>
        <v>0</v>
      </c>
      <c r="F9" s="73">
        <f>'DOE25'!I10</f>
        <v>3902594.68</v>
      </c>
      <c r="G9" s="73">
        <f>'DOE25'!J10</f>
        <v>0</v>
      </c>
      <c r="H9" s="13">
        <f t="shared" ref="H9:H18" si="0">SUM(C9:G9)</f>
        <v>8014511.0600000005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t="str">
        <f>'DOE25'!F12</f>
        <v xml:space="preserve"> </v>
      </c>
      <c r="D11" s="73">
        <f>'DOE25'!G12</f>
        <v>647264.87</v>
      </c>
      <c r="E11" s="73">
        <f>'DOE25'!H12</f>
        <v>0</v>
      </c>
      <c r="F11" s="73">
        <f>'DOE25'!I12</f>
        <v>0</v>
      </c>
      <c r="G11" s="73">
        <f>'DOE25'!J12</f>
        <v>0</v>
      </c>
      <c r="H11" s="13">
        <f t="shared" si="0"/>
        <v>647264.87</v>
      </c>
      <c r="I11" s="90"/>
    </row>
    <row r="12" spans="1:9" x14ac:dyDescent="0.2">
      <c r="A12" s="1" t="s">
        <v>143</v>
      </c>
      <c r="B12" s="6">
        <v>140</v>
      </c>
      <c r="C12" s="73">
        <f>'DOE25'!F13</f>
        <v>41124.36</v>
      </c>
      <c r="D12" s="73">
        <f>'DOE25'!G13</f>
        <v>50559.48</v>
      </c>
      <c r="E12" s="73">
        <f>'DOE25'!H13</f>
        <v>0</v>
      </c>
      <c r="F12" s="73">
        <f>'DOE25'!I13</f>
        <v>0</v>
      </c>
      <c r="G12" s="73">
        <f>'DOE25'!J13</f>
        <v>0</v>
      </c>
      <c r="H12" s="13">
        <f t="shared" si="0"/>
        <v>91683.839999999997</v>
      </c>
      <c r="I12" s="90"/>
    </row>
    <row r="13" spans="1:9" x14ac:dyDescent="0.2">
      <c r="A13" s="1" t="s">
        <v>144</v>
      </c>
      <c r="B13" s="6">
        <v>150</v>
      </c>
      <c r="C13" s="73">
        <f>'DOE25'!F14</f>
        <v>270498.92000000004</v>
      </c>
      <c r="D13" s="73">
        <f>'DOE25'!G14</f>
        <v>0</v>
      </c>
      <c r="E13" s="73">
        <f>'DOE25'!H14</f>
        <v>0</v>
      </c>
      <c r="F13" s="73">
        <f>'DOE25'!I14</f>
        <v>0</v>
      </c>
      <c r="G13" s="73">
        <f>'DOE25'!J14</f>
        <v>0</v>
      </c>
      <c r="H13" s="13">
        <f t="shared" si="0"/>
        <v>270498.92000000004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15260</v>
      </c>
      <c r="D15" s="73">
        <f>'DOE25'!G16</f>
        <v>0</v>
      </c>
      <c r="E15" s="73">
        <f>'DOE25'!H16</f>
        <v>0</v>
      </c>
      <c r="F15" s="73">
        <f>'DOE25'!I16</f>
        <v>0</v>
      </c>
      <c r="G15" s="23" t="s">
        <v>288</v>
      </c>
      <c r="H15" s="13">
        <f t="shared" si="0"/>
        <v>15260</v>
      </c>
      <c r="I15" s="90"/>
    </row>
    <row r="16" spans="1:9" x14ac:dyDescent="0.2">
      <c r="A16" s="1" t="s">
        <v>147</v>
      </c>
      <c r="B16" s="6">
        <v>180</v>
      </c>
      <c r="C16" s="73">
        <f>'DOE25'!F17</f>
        <v>7051</v>
      </c>
      <c r="D16" s="73">
        <f>'DOE25'!G17</f>
        <v>0</v>
      </c>
      <c r="E16" s="73">
        <f>'DOE25'!H17</f>
        <v>0</v>
      </c>
      <c r="F16" s="73">
        <f>'DOE25'!I17</f>
        <v>0</v>
      </c>
      <c r="G16" s="73">
        <f>'DOE25'!J17</f>
        <v>0</v>
      </c>
      <c r="H16" s="13">
        <f t="shared" si="0"/>
        <v>7051</v>
      </c>
      <c r="I16" s="90"/>
    </row>
    <row r="17" spans="1:9" ht="12" thickBot="1" x14ac:dyDescent="0.25">
      <c r="A17" s="1" t="s">
        <v>148</v>
      </c>
      <c r="B17" s="6">
        <v>190</v>
      </c>
      <c r="C17" s="73">
        <f>'DOE25'!F18</f>
        <v>13151614.109999999</v>
      </c>
      <c r="D17" s="73">
        <f>'DOE25'!G18</f>
        <v>0</v>
      </c>
      <c r="E17" s="73">
        <f>'DOE25'!H18</f>
        <v>0</v>
      </c>
      <c r="F17" s="73">
        <f>'DOE25'!I18</f>
        <v>0</v>
      </c>
      <c r="G17" s="73">
        <f>'DOE25'!J18</f>
        <v>0</v>
      </c>
      <c r="H17" s="13">
        <f t="shared" si="0"/>
        <v>13151614.109999999</v>
      </c>
      <c r="I17" s="90"/>
    </row>
    <row r="18" spans="1:9" ht="12" thickTop="1" x14ac:dyDescent="0.2">
      <c r="A18" s="35" t="s">
        <v>149</v>
      </c>
      <c r="B18" s="36"/>
      <c r="C18" s="38">
        <f>SUM(C8:C17)</f>
        <v>20959307.539999999</v>
      </c>
      <c r="D18" s="38">
        <f>SUM(D8:D17)</f>
        <v>697934.35</v>
      </c>
      <c r="E18" s="38">
        <f>SUM(E8:E17)</f>
        <v>0</v>
      </c>
      <c r="F18" s="38">
        <f>SUM(F8:F17)</f>
        <v>3902594.68</v>
      </c>
      <c r="G18" s="38">
        <f>SUM(G8:G17)</f>
        <v>0</v>
      </c>
      <c r="H18" s="38">
        <f t="shared" si="0"/>
        <v>25559836.57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-127573.44</v>
      </c>
      <c r="D21" s="73">
        <f>'DOE25'!G22</f>
        <v>0</v>
      </c>
      <c r="E21" s="73">
        <f>'DOE25'!H22</f>
        <v>0</v>
      </c>
      <c r="F21" s="73">
        <f>'DOE25'!I22</f>
        <v>0</v>
      </c>
      <c r="G21" s="73">
        <f>'DOE25'!J22</f>
        <v>0</v>
      </c>
      <c r="H21" s="13">
        <f t="shared" ref="H21:H31" si="1">SUM(C21:G21)</f>
        <v>-127573.44</v>
      </c>
      <c r="I21" s="90"/>
    </row>
    <row r="22" spans="1:9" x14ac:dyDescent="0.2">
      <c r="A22" s="1" t="s">
        <v>151</v>
      </c>
      <c r="B22" s="6">
        <v>410</v>
      </c>
      <c r="C22" s="73" t="str">
        <f>'DOE25'!F23</f>
        <v xml:space="preserve"> </v>
      </c>
      <c r="D22" s="73">
        <f>'DOE25'!G23</f>
        <v>0</v>
      </c>
      <c r="E22" s="73">
        <f>'DOE25'!H23</f>
        <v>0</v>
      </c>
      <c r="F22" s="73">
        <f>'DOE25'!I23</f>
        <v>0</v>
      </c>
      <c r="G22" s="73">
        <f>'DOE25'!J23</f>
        <v>0</v>
      </c>
      <c r="H22" s="13">
        <f t="shared" si="1"/>
        <v>0</v>
      </c>
      <c r="I22" s="90"/>
    </row>
    <row r="23" spans="1:9" x14ac:dyDescent="0.2">
      <c r="A23" s="1" t="s">
        <v>152</v>
      </c>
      <c r="B23" s="6">
        <v>420</v>
      </c>
      <c r="C23" s="73">
        <f>'DOE25'!F24</f>
        <v>837842.44</v>
      </c>
      <c r="D23" s="73">
        <f>'DOE25'!G24</f>
        <v>3575.94</v>
      </c>
      <c r="E23" s="73">
        <f>'DOE25'!H24</f>
        <v>0</v>
      </c>
      <c r="F23" s="73">
        <f>'DOE25'!I24</f>
        <v>12780</v>
      </c>
      <c r="G23" s="73">
        <f>'DOE25'!J24</f>
        <v>0</v>
      </c>
      <c r="H23" s="13">
        <f t="shared" si="1"/>
        <v>854198.37999999989</v>
      </c>
      <c r="I23" s="90"/>
    </row>
    <row r="24" spans="1:9" x14ac:dyDescent="0.2">
      <c r="A24" s="1" t="s">
        <v>153</v>
      </c>
      <c r="B24" s="6">
        <v>430</v>
      </c>
      <c r="C24" s="73">
        <f>'DOE25'!F25</f>
        <v>5149.95</v>
      </c>
      <c r="D24" s="73">
        <f>'DOE25'!G25</f>
        <v>0</v>
      </c>
      <c r="E24" s="73">
        <f>'DOE25'!H25</f>
        <v>0</v>
      </c>
      <c r="F24" s="73">
        <f>'DOE25'!I25</f>
        <v>0</v>
      </c>
      <c r="G24" s="23" t="s">
        <v>288</v>
      </c>
      <c r="H24" s="13">
        <f t="shared" si="1"/>
        <v>5149.95</v>
      </c>
      <c r="I24" s="90"/>
    </row>
    <row r="25" spans="1:9" x14ac:dyDescent="0.2">
      <c r="A25" s="1" t="s">
        <v>154</v>
      </c>
      <c r="B25" s="6">
        <v>440</v>
      </c>
      <c r="C25" s="73">
        <f>'DOE25'!F26</f>
        <v>13075250</v>
      </c>
      <c r="D25" s="23" t="s">
        <v>288</v>
      </c>
      <c r="E25" s="23" t="s">
        <v>288</v>
      </c>
      <c r="F25" s="73">
        <f>'DOE25'!I26</f>
        <v>0</v>
      </c>
      <c r="G25" s="23" t="s">
        <v>288</v>
      </c>
      <c r="H25" s="13">
        <f t="shared" si="1"/>
        <v>13075250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5141277.8099999996</v>
      </c>
      <c r="D27" s="73">
        <f>'DOE25'!G28</f>
        <v>6209.13</v>
      </c>
      <c r="E27" s="73">
        <f>'DOE25'!H28</f>
        <v>0</v>
      </c>
      <c r="F27" s="73">
        <f>'DOE25'!I28</f>
        <v>0</v>
      </c>
      <c r="G27" s="23" t="s">
        <v>288</v>
      </c>
      <c r="H27" s="13">
        <f t="shared" si="1"/>
        <v>5147486.9399999995</v>
      </c>
      <c r="I27" s="90"/>
    </row>
    <row r="28" spans="1:9" x14ac:dyDescent="0.2">
      <c r="A28" s="1" t="s">
        <v>157</v>
      </c>
      <c r="B28" s="6">
        <v>470</v>
      </c>
      <c r="C28" s="73">
        <f>'DOE25'!F29</f>
        <v>165851.30000000002</v>
      </c>
      <c r="D28" s="73">
        <f>'DOE25'!G29</f>
        <v>0</v>
      </c>
      <c r="E28" s="73">
        <f>'DOE25'!H29</f>
        <v>0</v>
      </c>
      <c r="F28" s="73">
        <f>'DOE25'!I29</f>
        <v>0</v>
      </c>
      <c r="G28" s="23" t="s">
        <v>288</v>
      </c>
      <c r="H28" s="13">
        <f t="shared" si="1"/>
        <v>165851.30000000002</v>
      </c>
      <c r="I28" s="90"/>
    </row>
    <row r="29" spans="1:9" x14ac:dyDescent="0.2">
      <c r="A29" s="1" t="s">
        <v>158</v>
      </c>
      <c r="B29" s="6">
        <v>480</v>
      </c>
      <c r="C29" s="73">
        <f>'DOE25'!F30</f>
        <v>113242.5</v>
      </c>
      <c r="D29" s="73">
        <f>'DOE25'!G30</f>
        <v>100716.33</v>
      </c>
      <c r="E29" s="73">
        <f>'DOE25'!H30</f>
        <v>0</v>
      </c>
      <c r="F29" s="73">
        <f>'DOE25'!I30</f>
        <v>0</v>
      </c>
      <c r="G29" s="23" t="s">
        <v>288</v>
      </c>
      <c r="H29" s="13">
        <f t="shared" si="1"/>
        <v>213958.83000000002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19211040.559999999</v>
      </c>
      <c r="D31" s="38">
        <f>SUM(D21:D30)</f>
        <v>110501.4</v>
      </c>
      <c r="E31" s="38">
        <f>SUM(E21:E30)</f>
        <v>0</v>
      </c>
      <c r="F31" s="38">
        <f>SUM(F21:F30)</f>
        <v>12780</v>
      </c>
      <c r="G31" s="38">
        <f>SUM(G21:G30)</f>
        <v>0</v>
      </c>
      <c r="H31" s="38">
        <f t="shared" si="1"/>
        <v>19334321.959999997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15260</v>
      </c>
      <c r="D34" s="73">
        <f>'DOE25'!G35</f>
        <v>0</v>
      </c>
      <c r="E34" s="73">
        <f>'DOE25'!H35</f>
        <v>0</v>
      </c>
      <c r="F34" s="73">
        <f>'DOE25'!I35</f>
        <v>0</v>
      </c>
      <c r="G34" s="23" t="s">
        <v>288</v>
      </c>
      <c r="H34" s="13">
        <f t="shared" ref="H34:H51" si="2">SUM(C34:G34)</f>
        <v>15260</v>
      </c>
      <c r="I34" s="90"/>
    </row>
    <row r="35" spans="1:9" x14ac:dyDescent="0.2">
      <c r="A35" s="1" t="s">
        <v>846</v>
      </c>
      <c r="B35" s="6">
        <v>752</v>
      </c>
      <c r="C35" s="73">
        <f>'DOE25'!F36</f>
        <v>7051</v>
      </c>
      <c r="D35" s="73">
        <f>'DOE25'!G36</f>
        <v>0</v>
      </c>
      <c r="E35" s="73">
        <f>'DOE25'!H36</f>
        <v>0</v>
      </c>
      <c r="F35" s="73">
        <f>'DOE25'!I36</f>
        <v>0</v>
      </c>
      <c r="G35" s="23" t="s">
        <v>288</v>
      </c>
      <c r="H35" s="13">
        <f t="shared" si="2"/>
        <v>7051</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587432.94999999995</v>
      </c>
      <c r="E39" s="23" t="s">
        <v>288</v>
      </c>
      <c r="F39" s="23" t="s">
        <v>288</v>
      </c>
      <c r="G39" s="23" t="s">
        <v>288</v>
      </c>
      <c r="H39" s="13">
        <f t="shared" si="2"/>
        <v>587432.94999999995</v>
      </c>
      <c r="I39" s="90"/>
    </row>
    <row r="40" spans="1:9" x14ac:dyDescent="0.2">
      <c r="A40" s="1" t="s">
        <v>867</v>
      </c>
      <c r="B40" s="6"/>
      <c r="C40" s="23" t="s">
        <v>288</v>
      </c>
      <c r="D40" s="23" t="s">
        <v>288</v>
      </c>
      <c r="E40" s="23" t="s">
        <v>288</v>
      </c>
      <c r="F40" s="73">
        <f>'DOE25'!I41</f>
        <v>3889814.68</v>
      </c>
      <c r="G40" s="23" t="s">
        <v>288</v>
      </c>
      <c r="H40" s="13">
        <f t="shared" si="2"/>
        <v>3889814.68</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t="str">
        <f>'DOE25'!F45</f>
        <v xml:space="preserve"> </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130437.77</v>
      </c>
      <c r="D47" s="73">
        <f>'DOE25'!G48</f>
        <v>0</v>
      </c>
      <c r="E47" s="73">
        <f>'DOE25'!H48</f>
        <v>0</v>
      </c>
      <c r="F47" s="73">
        <f>'DOE25'!I48</f>
        <v>0</v>
      </c>
      <c r="G47" s="73">
        <f>'DOE25'!J48</f>
        <v>0</v>
      </c>
      <c r="H47" s="13">
        <f t="shared" si="2"/>
        <v>130437.77</v>
      </c>
      <c r="I47" s="90"/>
    </row>
    <row r="48" spans="1:9" x14ac:dyDescent="0.2">
      <c r="A48" s="1" t="s">
        <v>878</v>
      </c>
      <c r="B48" s="6">
        <v>753</v>
      </c>
      <c r="C48" s="73">
        <f>'DOE25'!F49</f>
        <v>541646.03</v>
      </c>
      <c r="D48" s="73">
        <f>'DOE25'!G49</f>
        <v>0</v>
      </c>
      <c r="E48" s="73">
        <f>'DOE25'!H49</f>
        <v>0</v>
      </c>
      <c r="F48" s="73">
        <f>'DOE25'!I49</f>
        <v>0</v>
      </c>
      <c r="G48" s="73">
        <f>'DOE25'!J49</f>
        <v>0</v>
      </c>
      <c r="H48" s="13">
        <f t="shared" si="2"/>
        <v>541646.03</v>
      </c>
      <c r="I48" s="90"/>
    </row>
    <row r="49" spans="1:9" ht="12" thickBot="1" x14ac:dyDescent="0.25">
      <c r="A49" s="28" t="s">
        <v>879</v>
      </c>
      <c r="B49" s="56">
        <v>770</v>
      </c>
      <c r="C49" s="73">
        <f>'DOE25'!F50</f>
        <v>1053872.18</v>
      </c>
      <c r="D49" s="23" t="s">
        <v>288</v>
      </c>
      <c r="E49" s="23" t="s">
        <v>288</v>
      </c>
      <c r="F49" s="23" t="s">
        <v>288</v>
      </c>
      <c r="G49" s="23" t="s">
        <v>288</v>
      </c>
      <c r="H49" s="13">
        <f t="shared" si="2"/>
        <v>1053872.18</v>
      </c>
      <c r="I49" s="90"/>
    </row>
    <row r="50" spans="1:9" ht="12.75" thickTop="1" thickBot="1" x14ac:dyDescent="0.25">
      <c r="A50" s="35" t="s">
        <v>880</v>
      </c>
      <c r="B50" s="44"/>
      <c r="C50" s="38">
        <f>SUM(C34:C49)</f>
        <v>1748266.98</v>
      </c>
      <c r="D50" s="38">
        <f>SUM(D34:D49)</f>
        <v>587432.94999999995</v>
      </c>
      <c r="E50" s="38">
        <f>SUM(E34:E49)</f>
        <v>0</v>
      </c>
      <c r="F50" s="38">
        <f>SUM(F34:F49)</f>
        <v>3889814.68</v>
      </c>
      <c r="G50" s="38">
        <f>SUM(G34:G49)</f>
        <v>0</v>
      </c>
      <c r="H50" s="38">
        <f t="shared" si="2"/>
        <v>6225514.6099999994</v>
      </c>
      <c r="I50" s="90"/>
    </row>
    <row r="51" spans="1:9" ht="12" thickTop="1" x14ac:dyDescent="0.2">
      <c r="A51" s="35" t="s">
        <v>881</v>
      </c>
      <c r="B51" s="2"/>
      <c r="C51" s="38">
        <f>C50+C31</f>
        <v>20959307.539999999</v>
      </c>
      <c r="D51" s="38">
        <f>D50+D31</f>
        <v>697934.35</v>
      </c>
      <c r="E51" s="38">
        <f>E50+E31</f>
        <v>0</v>
      </c>
      <c r="F51" s="38">
        <f>F50+F31</f>
        <v>3902594.68</v>
      </c>
      <c r="G51" s="38">
        <f>G50+G31</f>
        <v>0</v>
      </c>
      <c r="H51" s="38">
        <f t="shared" si="2"/>
        <v>25559836.57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57454959</v>
      </c>
      <c r="D56" s="73">
        <f>'DOE25'!G60</f>
        <v>0</v>
      </c>
      <c r="E56" s="73">
        <f>'DOE25'!H60</f>
        <v>0</v>
      </c>
      <c r="F56" s="73">
        <f>'DOE25'!I60</f>
        <v>0</v>
      </c>
      <c r="G56" s="73">
        <f>'DOE25'!J60</f>
        <v>0</v>
      </c>
      <c r="H56" s="13">
        <f t="shared" ref="H56:H63" si="3">SUM(C56:G56)</f>
        <v>57454959</v>
      </c>
      <c r="I56"/>
    </row>
    <row r="57" spans="1:9" x14ac:dyDescent="0.2">
      <c r="A57" s="1" t="s">
        <v>164</v>
      </c>
      <c r="B57" s="6" t="s">
        <v>165</v>
      </c>
      <c r="C57" s="73">
        <f>'DOE25'!F79</f>
        <v>1637976.0699999998</v>
      </c>
      <c r="D57" s="23" t="s">
        <v>288</v>
      </c>
      <c r="E57" s="73">
        <f>'DOE25'!H79</f>
        <v>0</v>
      </c>
      <c r="F57" s="23" t="s">
        <v>288</v>
      </c>
      <c r="G57" s="23" t="s">
        <v>288</v>
      </c>
      <c r="H57" s="13">
        <f t="shared" si="3"/>
        <v>1637976.0699999998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233279.53999999998</v>
      </c>
      <c r="D59" s="73">
        <f>'DOE25'!G96</f>
        <v>0</v>
      </c>
      <c r="E59" s="73">
        <f>'DOE25'!H96</f>
        <v>0</v>
      </c>
      <c r="F59" s="73">
        <f>'DOE25'!I96</f>
        <v>0</v>
      </c>
      <c r="G59" s="73">
        <f>'DOE25'!J96</f>
        <v>45.39</v>
      </c>
      <c r="H59" s="13">
        <f t="shared" si="3"/>
        <v>233324.93</v>
      </c>
      <c r="I59"/>
    </row>
    <row r="60" spans="1:9" x14ac:dyDescent="0.2">
      <c r="A60" s="1" t="s">
        <v>170</v>
      </c>
      <c r="B60" s="22" t="s">
        <v>171</v>
      </c>
      <c r="C60" s="23" t="s">
        <v>288</v>
      </c>
      <c r="D60" s="73">
        <f>'DOE25'!G97</f>
        <v>1604575</v>
      </c>
      <c r="E60" s="23" t="s">
        <v>288</v>
      </c>
      <c r="F60" s="23" t="s">
        <v>288</v>
      </c>
      <c r="G60" s="23" t="s">
        <v>288</v>
      </c>
      <c r="H60" s="13">
        <f t="shared" si="3"/>
        <v>1604575</v>
      </c>
      <c r="I60"/>
    </row>
    <row r="61" spans="1:9" ht="12" thickBot="1" x14ac:dyDescent="0.25">
      <c r="A61" s="1" t="s">
        <v>172</v>
      </c>
      <c r="B61" s="22" t="s">
        <v>173</v>
      </c>
      <c r="C61" s="73">
        <f>SUM('DOE25'!F98:F110)</f>
        <v>726603.61</v>
      </c>
      <c r="D61" s="73">
        <f>SUM('DOE25'!G98:G110)</f>
        <v>15004.01</v>
      </c>
      <c r="E61" s="73">
        <f>SUM('DOE25'!H98:H110)</f>
        <v>0</v>
      </c>
      <c r="F61" s="73">
        <f>SUM('DOE25'!I98:I110)</f>
        <v>0</v>
      </c>
      <c r="G61" s="73">
        <f>SUM('DOE25'!J98:J110)</f>
        <v>0</v>
      </c>
      <c r="H61" s="13">
        <f t="shared" si="3"/>
        <v>741607.62</v>
      </c>
      <c r="I61"/>
    </row>
    <row r="62" spans="1:9" ht="12.75" thickTop="1" thickBot="1" x14ac:dyDescent="0.25">
      <c r="A62" s="28" t="s">
        <v>174</v>
      </c>
      <c r="B62" s="6"/>
      <c r="C62" s="93">
        <f>SUM(C57:C61)</f>
        <v>2597859.2199999997</v>
      </c>
      <c r="D62" s="93">
        <f>SUM(D57:D61)</f>
        <v>1619579.01</v>
      </c>
      <c r="E62" s="93">
        <f>SUM(E57:E61)</f>
        <v>0</v>
      </c>
      <c r="F62" s="93">
        <f>SUM(F57:F61)</f>
        <v>0</v>
      </c>
      <c r="G62" s="93">
        <f>SUM(G57:G61)</f>
        <v>45.39</v>
      </c>
      <c r="H62" s="13">
        <f t="shared" si="3"/>
        <v>4217483.6199999992</v>
      </c>
      <c r="I62"/>
    </row>
    <row r="63" spans="1:9" ht="12" thickTop="1" x14ac:dyDescent="0.2">
      <c r="A63" s="28" t="s">
        <v>175</v>
      </c>
      <c r="B63" s="6"/>
      <c r="C63" s="21">
        <f>C56+C62</f>
        <v>60052818.219999999</v>
      </c>
      <c r="D63" s="21">
        <f>D56+D62</f>
        <v>1619579.01</v>
      </c>
      <c r="E63" s="21">
        <f>E56+E62</f>
        <v>0</v>
      </c>
      <c r="F63" s="21">
        <f>F56+F62</f>
        <v>0</v>
      </c>
      <c r="G63" s="21">
        <f>G56+G62</f>
        <v>45.39</v>
      </c>
      <c r="H63" s="13">
        <f t="shared" si="3"/>
        <v>61672442.619999997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10684772.140000001</v>
      </c>
      <c r="D66" s="23" t="s">
        <v>288</v>
      </c>
      <c r="E66" s="23" t="s">
        <v>288</v>
      </c>
      <c r="F66" s="23" t="s">
        <v>288</v>
      </c>
      <c r="G66" s="23" t="s">
        <v>288</v>
      </c>
      <c r="H66" s="13">
        <f t="shared" ref="H66:H81" si="4">SUM(C66:G66)</f>
        <v>10684772.140000001</v>
      </c>
      <c r="I66"/>
    </row>
    <row r="67" spans="1:9" x14ac:dyDescent="0.2">
      <c r="A67" s="1" t="s">
        <v>767</v>
      </c>
      <c r="B67" s="6">
        <v>3112</v>
      </c>
      <c r="C67" s="73">
        <f>'DOE25'!F118</f>
        <v>7614828</v>
      </c>
      <c r="D67" s="23"/>
      <c r="E67" s="23"/>
      <c r="F67" s="23"/>
      <c r="G67" s="23"/>
      <c r="H67" s="13">
        <f t="shared" si="4"/>
        <v>7614828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30342.639999999999</v>
      </c>
      <c r="D69" s="73">
        <f>'DOE25'!G120</f>
        <v>0</v>
      </c>
      <c r="E69" s="73">
        <f>'DOE25'!H120</f>
        <v>0</v>
      </c>
      <c r="F69" s="73">
        <f>'DOE25'!I120</f>
        <v>0</v>
      </c>
      <c r="G69" s="73">
        <f>'DOE25'!J120</f>
        <v>0</v>
      </c>
      <c r="H69" s="13">
        <f t="shared" si="4"/>
        <v>30342.639999999999</v>
      </c>
      <c r="I69"/>
    </row>
    <row r="70" spans="1:9" ht="12" thickTop="1" x14ac:dyDescent="0.2">
      <c r="A70" s="28" t="s">
        <v>252</v>
      </c>
      <c r="B70" s="2"/>
      <c r="C70" s="97">
        <f>SUM(C66:C69)</f>
        <v>18329942.780000001</v>
      </c>
      <c r="D70" s="97">
        <f>D69</f>
        <v>0</v>
      </c>
      <c r="E70" s="97">
        <f>E69</f>
        <v>0</v>
      </c>
      <c r="F70" s="97">
        <f>F69</f>
        <v>0</v>
      </c>
      <c r="G70" s="97">
        <f>G69</f>
        <v>0</v>
      </c>
      <c r="H70" s="13">
        <f t="shared" si="4"/>
        <v>18329942.780000001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430408.37</v>
      </c>
      <c r="D72" s="23" t="s">
        <v>288</v>
      </c>
      <c r="E72" s="23" t="s">
        <v>288</v>
      </c>
      <c r="F72" s="73">
        <f>'DOE25'!I123</f>
        <v>0</v>
      </c>
      <c r="G72" s="23" t="s">
        <v>288</v>
      </c>
      <c r="H72" s="13">
        <f t="shared" si="4"/>
        <v>430408.37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1674025.41</v>
      </c>
      <c r="D75" s="23" t="s">
        <v>288</v>
      </c>
      <c r="E75" s="23" t="s">
        <v>288</v>
      </c>
      <c r="F75" s="23" t="s">
        <v>288</v>
      </c>
      <c r="G75" s="23" t="s">
        <v>288</v>
      </c>
      <c r="H75" s="13">
        <f t="shared" si="4"/>
        <v>1674025.41</v>
      </c>
      <c r="I75"/>
    </row>
    <row r="76" spans="1:9" x14ac:dyDescent="0.2">
      <c r="A76" s="1" t="s">
        <v>257</v>
      </c>
      <c r="B76" s="6" t="s">
        <v>179</v>
      </c>
      <c r="C76" s="73">
        <f>SUM('DOE25'!F127:F130)</f>
        <v>8572</v>
      </c>
      <c r="D76" s="23" t="s">
        <v>288</v>
      </c>
      <c r="E76" s="73">
        <f>SUM('DOE25'!H127:H130)</f>
        <v>0</v>
      </c>
      <c r="F76" s="73">
        <f>SUM('DOE25'!I127:I130)</f>
        <v>0</v>
      </c>
      <c r="G76" s="23" t="s">
        <v>288</v>
      </c>
      <c r="H76" s="13">
        <f t="shared" si="4"/>
        <v>8572</v>
      </c>
      <c r="I76"/>
    </row>
    <row r="77" spans="1:9" ht="12" thickBot="1" x14ac:dyDescent="0.25">
      <c r="A77" s="1" t="s">
        <v>258</v>
      </c>
      <c r="B77" s="6" t="s">
        <v>180</v>
      </c>
      <c r="C77" s="73">
        <f>SUM('DOE25'!F131:F135)</f>
        <v>0</v>
      </c>
      <c r="D77" s="73">
        <f>SUM('DOE25'!G131:G135)</f>
        <v>25684.13</v>
      </c>
      <c r="E77" s="73">
        <f>SUM('DOE25'!H131:H135)</f>
        <v>0</v>
      </c>
      <c r="F77" s="73">
        <f>SUM('DOE25'!I131:I135)</f>
        <v>0</v>
      </c>
      <c r="G77" s="73">
        <f>SUM('DOE25'!J131:J135)</f>
        <v>0</v>
      </c>
      <c r="H77" s="13">
        <f t="shared" si="4"/>
        <v>25684.13</v>
      </c>
      <c r="I77"/>
    </row>
    <row r="78" spans="1:9" ht="12.75" thickTop="1" thickBot="1" x14ac:dyDescent="0.25">
      <c r="A78" s="28" t="s">
        <v>259</v>
      </c>
      <c r="B78" s="6"/>
      <c r="C78" s="93">
        <f>SUM(C72:C77)</f>
        <v>2113005.7799999998</v>
      </c>
      <c r="D78" s="93">
        <f>SUM(D72:D77)</f>
        <v>25684.13</v>
      </c>
      <c r="E78" s="93">
        <f>SUM(E72:E77)</f>
        <v>0</v>
      </c>
      <c r="F78" s="93">
        <f>SUM(F72:F77)</f>
        <v>0</v>
      </c>
      <c r="G78" s="93">
        <f>SUM(G72:G77)</f>
        <v>0</v>
      </c>
      <c r="H78" s="13">
        <f t="shared" si="4"/>
        <v>2138689.9099999997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20442948.560000002</v>
      </c>
      <c r="D81" s="93">
        <f>SUM(D79:D80)+D78+D70</f>
        <v>25684.13</v>
      </c>
      <c r="E81" s="93">
        <f>SUM(E79:E80)+E78+E70</f>
        <v>0</v>
      </c>
      <c r="F81" s="93">
        <f>SUM(F79:F80)+F78+F70</f>
        <v>0</v>
      </c>
      <c r="G81" s="93">
        <f>SUM(G79:G80)+G78+G70</f>
        <v>0</v>
      </c>
      <c r="H81" s="93">
        <f t="shared" si="4"/>
        <v>20468632.690000001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206326.6</v>
      </c>
      <c r="D88" s="252">
        <f>SUM('DOE25'!G153:G162)</f>
        <v>379933.58</v>
      </c>
      <c r="E88" s="252">
        <f>SUM('DOE25'!H153:H162)</f>
        <v>2192424.09</v>
      </c>
      <c r="F88" s="252">
        <f>SUM('DOE25'!I153:I162)</f>
        <v>0</v>
      </c>
      <c r="G88" s="23" t="s">
        <v>288</v>
      </c>
      <c r="H88" s="13">
        <f t="shared" si="5"/>
        <v>2778684.27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206326.6</v>
      </c>
      <c r="D91" s="94">
        <f>SUM(D85:D90)</f>
        <v>379933.58</v>
      </c>
      <c r="E91" s="94">
        <f>SUM(E85:E90)</f>
        <v>2192424.09</v>
      </c>
      <c r="F91" s="94">
        <f>SUM(F85:F90)</f>
        <v>0</v>
      </c>
      <c r="G91" s="23" t="s">
        <v>288</v>
      </c>
      <c r="H91" s="13">
        <f t="shared" si="5"/>
        <v>2778684.27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1057811.3899999999</v>
      </c>
      <c r="G93" s="23" t="s">
        <v>288</v>
      </c>
      <c r="H93" s="13">
        <f t="shared" si="5"/>
        <v>1057811.3899999999</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t="str">
        <f>'DOE25'!J180</f>
        <v xml:space="preserve"> </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8754.98</v>
      </c>
      <c r="D99" s="73">
        <f>'DOE25'!G186</f>
        <v>0</v>
      </c>
      <c r="E99" s="73">
        <f>'DOE25'!H186</f>
        <v>0</v>
      </c>
      <c r="F99" s="73">
        <f>'DOE25'!I186</f>
        <v>0</v>
      </c>
      <c r="G99" s="23" t="s">
        <v>288</v>
      </c>
      <c r="H99" s="13">
        <f t="shared" si="5"/>
        <v>8754.98</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8754.98</v>
      </c>
      <c r="D103" s="68">
        <f>SUM(D93:D102)</f>
        <v>0</v>
      </c>
      <c r="E103" s="68">
        <f>SUM(E93:E102)</f>
        <v>0</v>
      </c>
      <c r="F103" s="68">
        <f>SUM(F93:F102)</f>
        <v>1057811.3899999999</v>
      </c>
      <c r="G103" s="68">
        <f>SUM(G93:G102)</f>
        <v>0</v>
      </c>
      <c r="H103" s="68">
        <f t="shared" si="5"/>
        <v>1066566.3699999999</v>
      </c>
    </row>
    <row r="104" spans="1:8" ht="12.75" thickTop="1" thickBot="1" x14ac:dyDescent="0.25">
      <c r="A104" s="32" t="s">
        <v>758</v>
      </c>
      <c r="C104" s="68">
        <f>C63+C81+C91+C103</f>
        <v>80710848.359999999</v>
      </c>
      <c r="D104" s="68">
        <f>D63+D81+D91+D103</f>
        <v>2025196.72</v>
      </c>
      <c r="E104" s="68">
        <f>E63+E81+E91+E103</f>
        <v>2192424.09</v>
      </c>
      <c r="F104" s="68">
        <f>F63+F81+F91+F103</f>
        <v>1057811.3899999999</v>
      </c>
      <c r="G104" s="68">
        <f>G63+G81+G103</f>
        <v>45.39</v>
      </c>
      <c r="H104" s="68">
        <f t="shared" si="5"/>
        <v>85986325.950000003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34406938.560000002</v>
      </c>
      <c r="D109" s="23" t="s">
        <v>288</v>
      </c>
      <c r="E109" s="73">
        <f>('DOE25'!L277)+('DOE25'!L296)+('DOE25'!L315)</f>
        <v>156711.86000000002</v>
      </c>
      <c r="F109" s="23" t="s">
        <v>288</v>
      </c>
      <c r="G109" s="23" t="s">
        <v>288</v>
      </c>
      <c r="H109" s="13">
        <f t="shared" ref="H109:H115" si="6">SUM(C109:G109)</f>
        <v>34563650.420000002</v>
      </c>
    </row>
    <row r="110" spans="1:8" x14ac:dyDescent="0.2">
      <c r="A110" t="s">
        <v>198</v>
      </c>
      <c r="B110" s="31" t="s">
        <v>199</v>
      </c>
      <c r="C110" s="73">
        <f>('DOE25'!L199)+('DOE25'!L217)+('DOE25'!L235)</f>
        <v>15647272.199999999</v>
      </c>
      <c r="D110" s="23" t="s">
        <v>288</v>
      </c>
      <c r="E110" s="73">
        <f>('DOE25'!L278)+('DOE25'!L297)+('DOE25'!L316)</f>
        <v>842023.44000000006</v>
      </c>
      <c r="F110" s="23" t="s">
        <v>288</v>
      </c>
      <c r="G110" s="23" t="s">
        <v>288</v>
      </c>
      <c r="H110" s="13">
        <f t="shared" si="6"/>
        <v>16489295.639999999</v>
      </c>
    </row>
    <row r="111" spans="1:8" x14ac:dyDescent="0.2">
      <c r="A111" t="s">
        <v>200</v>
      </c>
      <c r="B111" s="31" t="s">
        <v>165</v>
      </c>
      <c r="C111" s="73">
        <f>('DOE25'!L200)+('DOE25'!L218)+('DOE25'!L236)</f>
        <v>140606.5</v>
      </c>
      <c r="D111" s="23" t="s">
        <v>288</v>
      </c>
      <c r="E111" s="73">
        <f>('DOE25'!L279)+('DOE25'!L298)+('DOE25'!L317)</f>
        <v>5670</v>
      </c>
      <c r="F111" s="23" t="s">
        <v>288</v>
      </c>
      <c r="G111" s="23" t="s">
        <v>288</v>
      </c>
      <c r="H111" s="13">
        <f t="shared" si="6"/>
        <v>146276.5</v>
      </c>
    </row>
    <row r="112" spans="1:8" x14ac:dyDescent="0.2">
      <c r="A112" t="s">
        <v>201</v>
      </c>
      <c r="B112" s="31" t="s">
        <v>167</v>
      </c>
      <c r="C112" s="73">
        <f>('DOE25'!L201)+('DOE25'!L219)+('DOE25'!L237)</f>
        <v>1401886.15</v>
      </c>
      <c r="D112" s="23" t="s">
        <v>288</v>
      </c>
      <c r="E112" s="73">
        <f>+('DOE25'!L280)+('DOE25'!L299)+('DOE25'!L318)</f>
        <v>0</v>
      </c>
      <c r="F112" s="23" t="s">
        <v>288</v>
      </c>
      <c r="G112" s="23" t="s">
        <v>288</v>
      </c>
      <c r="H112" s="13">
        <f t="shared" si="6"/>
        <v>1401886.15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20137.05</v>
      </c>
      <c r="D114" s="23" t="s">
        <v>288</v>
      </c>
      <c r="E114" s="73">
        <f>+ SUM('DOE25'!L334:L336)</f>
        <v>18032.52</v>
      </c>
      <c r="F114" s="23" t="s">
        <v>288</v>
      </c>
      <c r="G114" s="23" t="s">
        <v>288</v>
      </c>
      <c r="H114" s="13">
        <f t="shared" si="6"/>
        <v>38169.57</v>
      </c>
    </row>
    <row r="115" spans="1:8" ht="12.75" thickTop="1" thickBot="1" x14ac:dyDescent="0.25">
      <c r="A115" s="32" t="s">
        <v>205</v>
      </c>
      <c r="C115" s="68">
        <f>SUM(C109:C114)</f>
        <v>51616840.460000001</v>
      </c>
      <c r="D115" s="68">
        <f>SUM(D109:D114)</f>
        <v>0</v>
      </c>
      <c r="E115" s="68">
        <f>SUM(E109:E114)</f>
        <v>1022437.8200000001</v>
      </c>
      <c r="F115" s="68">
        <f>SUM(F109:F114)</f>
        <v>0</v>
      </c>
      <c r="G115" s="68">
        <f>SUM(G109:G114)</f>
        <v>0</v>
      </c>
      <c r="H115" s="68">
        <f t="shared" si="6"/>
        <v>52639278.280000001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6657482.4799999995</v>
      </c>
      <c r="D118" s="23" t="s">
        <v>288</v>
      </c>
      <c r="E118" s="73">
        <f>+('DOE25'!L282)+('DOE25'!L301)+('DOE25'!L320)</f>
        <v>275622.68</v>
      </c>
      <c r="F118" s="23" t="s">
        <v>288</v>
      </c>
      <c r="G118" s="23" t="s">
        <v>288</v>
      </c>
      <c r="H118" s="13">
        <f t="shared" ref="H118:H145" si="7">SUM(C118:G118)</f>
        <v>6933105.1599999992</v>
      </c>
    </row>
    <row r="119" spans="1:8" x14ac:dyDescent="0.2">
      <c r="A119" t="s">
        <v>208</v>
      </c>
      <c r="B119" s="31" t="s">
        <v>209</v>
      </c>
      <c r="C119" s="73">
        <f>('DOE25'!L204)+('DOE25'!L222)+('DOE25'!L240)</f>
        <v>1593749.1300000001</v>
      </c>
      <c r="D119" s="23" t="s">
        <v>288</v>
      </c>
      <c r="E119" s="73">
        <f>+('DOE25'!L283)+('DOE25'!L302)+('DOE25'!L321)</f>
        <v>177605.82</v>
      </c>
      <c r="F119" s="23" t="s">
        <v>288</v>
      </c>
      <c r="G119" s="23" t="s">
        <v>288</v>
      </c>
      <c r="H119" s="13">
        <f t="shared" si="7"/>
        <v>1771354.9500000002</v>
      </c>
    </row>
    <row r="120" spans="1:8" x14ac:dyDescent="0.2">
      <c r="A120" t="s">
        <v>210</v>
      </c>
      <c r="B120" s="31" t="s">
        <v>211</v>
      </c>
      <c r="C120" s="73">
        <f>('DOE25'!L205)+('DOE25'!L223)+('DOE25'!L241)</f>
        <v>1995403.3399999999</v>
      </c>
      <c r="D120" s="23" t="s">
        <v>288</v>
      </c>
      <c r="E120" s="73">
        <f>+('DOE25'!L284)+('DOE25'!L303)+('DOE25'!L322)</f>
        <v>11448.77</v>
      </c>
      <c r="F120" s="23" t="s">
        <v>288</v>
      </c>
      <c r="G120" s="23" t="s">
        <v>288</v>
      </c>
      <c r="H120" s="13">
        <f t="shared" si="7"/>
        <v>2006852.1099999999</v>
      </c>
    </row>
    <row r="121" spans="1:8" x14ac:dyDescent="0.2">
      <c r="A121" t="s">
        <v>212</v>
      </c>
      <c r="B121" s="31" t="s">
        <v>213</v>
      </c>
      <c r="C121" s="73">
        <f>('DOE25'!L206)+('DOE25'!L224)+('DOE25'!L242)</f>
        <v>5625087.4100000001</v>
      </c>
      <c r="D121" s="23" t="s">
        <v>288</v>
      </c>
      <c r="E121" s="73">
        <f>+('DOE25'!L285)+('DOE25'!L304)+('DOE25'!L323)</f>
        <v>0</v>
      </c>
      <c r="F121" s="23" t="s">
        <v>288</v>
      </c>
      <c r="G121" s="23" t="s">
        <v>288</v>
      </c>
      <c r="H121" s="13">
        <f t="shared" si="7"/>
        <v>5625087.4100000001</v>
      </c>
    </row>
    <row r="122" spans="1:8" x14ac:dyDescent="0.2">
      <c r="A122" t="s">
        <v>214</v>
      </c>
      <c r="B122" s="31" t="s">
        <v>215</v>
      </c>
      <c r="C122" s="73">
        <f>('DOE25'!L207)+('DOE25'!L225)+('DOE25'!L243)</f>
        <v>999893.14999999991</v>
      </c>
      <c r="D122" s="23" t="s">
        <v>288</v>
      </c>
      <c r="E122" s="73">
        <f>+('DOE25'!L286)+('DOE25'!L305)+('DOE25'!L324)</f>
        <v>0</v>
      </c>
      <c r="F122" s="23" t="s">
        <v>288</v>
      </c>
      <c r="G122" s="23" t="s">
        <v>288</v>
      </c>
      <c r="H122" s="13">
        <f t="shared" si="7"/>
        <v>999893.14999999991</v>
      </c>
    </row>
    <row r="123" spans="1:8" x14ac:dyDescent="0.2">
      <c r="A123" t="s">
        <v>216</v>
      </c>
      <c r="B123" s="31" t="s">
        <v>217</v>
      </c>
      <c r="C123" s="73">
        <f>('DOE25'!L208)+('DOE25'!L226)+('DOE25'!L244)</f>
        <v>5846347.7500000009</v>
      </c>
      <c r="D123" s="23" t="s">
        <v>288</v>
      </c>
      <c r="E123" s="73">
        <f>+('DOE25'!L287)+('DOE25'!L306)+('DOE25'!L325)</f>
        <v>0</v>
      </c>
      <c r="F123" s="23" t="s">
        <v>288</v>
      </c>
      <c r="G123" s="23" t="s">
        <v>288</v>
      </c>
      <c r="H123" s="13">
        <f t="shared" si="7"/>
        <v>5846347.7500000009</v>
      </c>
    </row>
    <row r="124" spans="1:8" x14ac:dyDescent="0.2">
      <c r="A124" t="s">
        <v>218</v>
      </c>
      <c r="B124" s="31" t="s">
        <v>219</v>
      </c>
      <c r="C124" s="73">
        <f>('DOE25'!L209)+('DOE25'!L227)+('DOE25'!L245+'DOE25'!L255)</f>
        <v>4113799.2800000007</v>
      </c>
      <c r="D124" s="23" t="s">
        <v>288</v>
      </c>
      <c r="E124" s="73">
        <f>+('DOE25'!L288)+('DOE25'!L307)+('DOE25'!L326)</f>
        <v>0</v>
      </c>
      <c r="F124" s="23" t="s">
        <v>288</v>
      </c>
      <c r="G124" s="23" t="s">
        <v>288</v>
      </c>
      <c r="H124" s="13">
        <f t="shared" si="7"/>
        <v>4113799.2800000007</v>
      </c>
    </row>
    <row r="125" spans="1:8" x14ac:dyDescent="0.2">
      <c r="A125" t="s">
        <v>220</v>
      </c>
      <c r="B125" s="31" t="s">
        <v>221</v>
      </c>
      <c r="C125" s="73">
        <f>('DOE25'!L210)+('DOE25'!L228)+('DOE25'!L246)</f>
        <v>134201.94</v>
      </c>
      <c r="D125" s="23" t="s">
        <v>288</v>
      </c>
      <c r="E125" s="73">
        <f>+('DOE25'!L289)+('DOE25'!L308)+('DOE25'!L327)</f>
        <v>0</v>
      </c>
      <c r="F125" s="23" t="s">
        <v>288</v>
      </c>
      <c r="G125" s="23" t="s">
        <v>288</v>
      </c>
      <c r="H125" s="13">
        <f t="shared" si="7"/>
        <v>134201.94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2048334.3399999999</v>
      </c>
      <c r="E127" s="23" t="s">
        <v>288</v>
      </c>
      <c r="F127" s="23" t="s">
        <v>288</v>
      </c>
      <c r="G127" s="23" t="s">
        <v>288</v>
      </c>
      <c r="H127" s="13">
        <f t="shared" si="7"/>
        <v>2048334.3399999999</v>
      </c>
    </row>
    <row r="128" spans="1:8" ht="12.75" thickTop="1" thickBot="1" x14ac:dyDescent="0.25">
      <c r="A128" s="32" t="s">
        <v>226</v>
      </c>
      <c r="C128" s="68">
        <f>SUM(C118:C127)</f>
        <v>26965964.48</v>
      </c>
      <c r="D128" s="68">
        <f>SUM(D118:D127)</f>
        <v>2048334.3399999999</v>
      </c>
      <c r="E128" s="68">
        <f>SUM(E118:E127)</f>
        <v>464677.27</v>
      </c>
      <c r="F128" s="68">
        <f>SUM(F118:F127)</f>
        <v>0</v>
      </c>
      <c r="G128" s="68">
        <f>SUM(G118:G127)</f>
        <v>0</v>
      </c>
      <c r="H128" s="68">
        <f t="shared" si="7"/>
        <v>29478976.09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193405</v>
      </c>
      <c r="D130" s="23" t="s">
        <v>288</v>
      </c>
      <c r="E130" s="92">
        <f>'DOE25'!L337</f>
        <v>705309</v>
      </c>
      <c r="F130" s="92">
        <f>SUM('DOE25'!L375:'DOE25'!L381)</f>
        <v>1294903.67</v>
      </c>
      <c r="G130" s="23" t="s">
        <v>288</v>
      </c>
      <c r="H130" s="13">
        <f t="shared" si="7"/>
        <v>2193617.67</v>
      </c>
    </row>
    <row r="131" spans="1:8" x14ac:dyDescent="0.2">
      <c r="A131" t="s">
        <v>229</v>
      </c>
      <c r="B131" s="31">
        <v>5110</v>
      </c>
      <c r="C131" s="73">
        <f>'DOE25'!L261</f>
        <v>2351500</v>
      </c>
      <c r="D131" s="23" t="s">
        <v>288</v>
      </c>
      <c r="E131" s="92">
        <f>'DOE25'!L342</f>
        <v>0</v>
      </c>
      <c r="F131" s="23" t="s">
        <v>288</v>
      </c>
      <c r="G131" s="23" t="s">
        <v>288</v>
      </c>
      <c r="H131" s="13">
        <f t="shared" si="7"/>
        <v>2351500</v>
      </c>
    </row>
    <row r="132" spans="1:8" x14ac:dyDescent="0.2">
      <c r="A132" t="s">
        <v>230</v>
      </c>
      <c r="B132" s="31">
        <v>5120</v>
      </c>
      <c r="C132" s="73">
        <f>'DOE25'!L262</f>
        <v>1011926.27</v>
      </c>
      <c r="D132" s="23" t="s">
        <v>288</v>
      </c>
      <c r="E132" s="92">
        <f>'DOE25'!L343</f>
        <v>0</v>
      </c>
      <c r="F132" s="23" t="s">
        <v>288</v>
      </c>
      <c r="G132" s="23" t="s">
        <v>288</v>
      </c>
      <c r="H132" s="13">
        <f t="shared" si="7"/>
        <v>1011926.27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8754.98</v>
      </c>
      <c r="H134" s="13">
        <f t="shared" si="7"/>
        <v>8754.98</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45.39</v>
      </c>
      <c r="D138" s="23" t="s">
        <v>288</v>
      </c>
      <c r="E138" s="23" t="s">
        <v>288</v>
      </c>
      <c r="F138" s="23" t="s">
        <v>288</v>
      </c>
      <c r="G138" s="23" t="s">
        <v>288</v>
      </c>
      <c r="H138" s="13">
        <f t="shared" si="7"/>
        <v>45.39</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-45.39</v>
      </c>
      <c r="D141" s="23" t="s">
        <v>288</v>
      </c>
      <c r="E141" s="23" t="s">
        <v>288</v>
      </c>
      <c r="F141" s="23" t="s">
        <v>288</v>
      </c>
      <c r="G141" s="23" t="s">
        <v>288</v>
      </c>
      <c r="H141" s="13">
        <f t="shared" si="7"/>
        <v>-45.39</v>
      </c>
    </row>
    <row r="142" spans="1:8" x14ac:dyDescent="0.2">
      <c r="A142" t="s">
        <v>241</v>
      </c>
      <c r="B142" s="31">
        <v>5310</v>
      </c>
      <c r="C142" s="92">
        <f>'DOE25'!L269</f>
        <v>47906.25</v>
      </c>
      <c r="D142" s="23" t="s">
        <v>288</v>
      </c>
      <c r="E142" s="92">
        <f>'DOE25'!L350</f>
        <v>0</v>
      </c>
      <c r="F142" s="23" t="s">
        <v>288</v>
      </c>
      <c r="G142" s="23" t="s">
        <v>288</v>
      </c>
      <c r="H142" s="13">
        <f t="shared" si="7"/>
        <v>47906.25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3604737.52</v>
      </c>
      <c r="D144" s="98">
        <f>SUM(D130:D143)</f>
        <v>0</v>
      </c>
      <c r="E144" s="98">
        <f>SUM(E130:E143)</f>
        <v>705309</v>
      </c>
      <c r="F144" s="98">
        <f>SUM(F130:F143)</f>
        <v>1294903.67</v>
      </c>
      <c r="G144" s="98">
        <f>SUM(G130:G143)</f>
        <v>8754.98</v>
      </c>
      <c r="H144" s="98">
        <f t="shared" si="7"/>
        <v>5613705.1699999999</v>
      </c>
    </row>
    <row r="145" spans="1:9" ht="12.75" thickTop="1" thickBot="1" x14ac:dyDescent="0.25">
      <c r="A145" s="32" t="s">
        <v>244</v>
      </c>
      <c r="C145" s="68">
        <f>(C115+C128+C144)</f>
        <v>82187542.459999993</v>
      </c>
      <c r="D145" s="68">
        <f>(D115+D128+D144)</f>
        <v>2048334.3399999999</v>
      </c>
      <c r="E145" s="68">
        <f>(E115+E128+E144)</f>
        <v>2192424.09</v>
      </c>
      <c r="F145" s="68">
        <f>(F115+F128+F144)</f>
        <v>1294903.67</v>
      </c>
      <c r="G145" s="68">
        <f>(G115+G128+G144)</f>
        <v>8754.98</v>
      </c>
      <c r="H145" s="68">
        <f t="shared" si="7"/>
        <v>87731959.540000007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15</v>
      </c>
      <c r="D151" s="110">
        <f>'DOE25'!H491</f>
        <v>20</v>
      </c>
      <c r="E151" s="110">
        <f>'DOE25'!I491</f>
        <v>20</v>
      </c>
      <c r="F151" s="110">
        <f>'DOE25'!J491</f>
        <v>0</v>
      </c>
      <c r="G151" s="23" t="s">
        <v>288</v>
      </c>
    </row>
    <row r="152" spans="1:9" x14ac:dyDescent="0.2">
      <c r="A152" s="21" t="s">
        <v>28</v>
      </c>
      <c r="B152" s="109" t="str">
        <f>'DOE25'!F492</f>
        <v>06/06</v>
      </c>
      <c r="C152" s="109" t="str">
        <f>'DOE25'!G492</f>
        <v>11/14</v>
      </c>
      <c r="D152" s="109" t="str">
        <f>'DOE25'!H492</f>
        <v>07/22</v>
      </c>
      <c r="E152" s="109" t="str">
        <f>'DOE25'!I492</f>
        <v>07/23</v>
      </c>
      <c r="F152" s="109">
        <f>'DOE25'!J492</f>
        <v>0</v>
      </c>
      <c r="G152" s="23" t="s">
        <v>288</v>
      </c>
    </row>
    <row r="153" spans="1:9" x14ac:dyDescent="0.2">
      <c r="A153" s="21" t="s">
        <v>29</v>
      </c>
      <c r="B153" s="109" t="str">
        <f>'DOE25'!F493</f>
        <v>07/26</v>
      </c>
      <c r="C153" s="109" t="str">
        <f>'DOE25'!G493</f>
        <v>07/29</v>
      </c>
      <c r="D153" s="109" t="str">
        <f>'DOE25'!H493</f>
        <v>08/42</v>
      </c>
      <c r="E153" s="109" t="str">
        <f>'DOE25'!I493</f>
        <v>08/43</v>
      </c>
      <c r="F153" s="109">
        <f>'DOE25'!J493</f>
        <v>0</v>
      </c>
      <c r="G153" s="23" t="s">
        <v>288</v>
      </c>
    </row>
    <row r="154" spans="1:9" x14ac:dyDescent="0.2">
      <c r="A154" s="21" t="s">
        <v>30</v>
      </c>
      <c r="B154" s="19">
        <f>'DOE25'!F494</f>
        <v>800000</v>
      </c>
      <c r="C154" s="19">
        <f>'DOE25'!G494</f>
        <v>32715000</v>
      </c>
      <c r="D154" s="19">
        <f>'DOE25'!H494</f>
        <v>4529300</v>
      </c>
      <c r="E154" s="19">
        <f>'DOE25'!I494</f>
        <v>757671</v>
      </c>
      <c r="F154" s="19">
        <f>'DOE25'!J494</f>
        <v>0</v>
      </c>
      <c r="G154" s="23" t="s">
        <v>288</v>
      </c>
    </row>
    <row r="155" spans="1:9" x14ac:dyDescent="0.2">
      <c r="A155" s="21" t="s">
        <v>31</v>
      </c>
      <c r="B155" s="19">
        <f>'DOE25'!F495</f>
        <v>4.5</v>
      </c>
      <c r="C155" s="19">
        <f>'DOE25'!G495</f>
        <v>2.63</v>
      </c>
      <c r="D155" s="19">
        <f>'DOE25'!H495</f>
        <v>3.38</v>
      </c>
      <c r="E155" s="19">
        <f>'DOE25'!I495</f>
        <v>3.65</v>
      </c>
      <c r="F155" s="19">
        <f>'DOE25'!J495</f>
        <v>0</v>
      </c>
      <c r="G155" s="23" t="s">
        <v>288</v>
      </c>
    </row>
    <row r="156" spans="1:9" x14ac:dyDescent="0.2">
      <c r="A156" s="21" t="s">
        <v>32</v>
      </c>
      <c r="B156" s="19">
        <f>'DOE25'!F496</f>
        <v>160000</v>
      </c>
      <c r="C156" s="19">
        <f>'DOE25'!G496</f>
        <v>17050000</v>
      </c>
      <c r="D156" s="19">
        <f>'DOE25'!H496</f>
        <v>4529300</v>
      </c>
      <c r="E156" s="19">
        <f>'DOE25'!I496</f>
        <v>0</v>
      </c>
      <c r="F156" s="19">
        <f>'DOE25'!J496</f>
        <v>0</v>
      </c>
      <c r="G156" s="96">
        <f>SUM(B156:F156)</f>
        <v>21739300</v>
      </c>
    </row>
    <row r="157" spans="1:9" x14ac:dyDescent="0.2">
      <c r="A157" s="21" t="s">
        <v>33</v>
      </c>
      <c r="B157" s="19">
        <f>'DOE25'!F497</f>
        <v>0</v>
      </c>
      <c r="C157" s="19">
        <f>'DOE25'!G497</f>
        <v>0</v>
      </c>
      <c r="D157" s="19">
        <f>'DOE25'!H497</f>
        <v>0</v>
      </c>
      <c r="E157" s="19">
        <f>'DOE25'!I497</f>
        <v>757671</v>
      </c>
      <c r="F157" s="19">
        <f>'DOE25'!J497</f>
        <v>0</v>
      </c>
      <c r="G157" s="96">
        <f t="shared" ref="G157:G164" si="8">SUM(B157:F157)</f>
        <v>757671</v>
      </c>
    </row>
    <row r="158" spans="1:9" x14ac:dyDescent="0.2">
      <c r="A158" s="21" t="s">
        <v>34</v>
      </c>
      <c r="B158" s="19">
        <f>'DOE25'!F498</f>
        <v>40000</v>
      </c>
      <c r="C158" s="19">
        <f>'DOE25'!G498</f>
        <v>2085000</v>
      </c>
      <c r="D158" s="19">
        <f>'DOE25'!H498</f>
        <v>226500</v>
      </c>
      <c r="E158" s="19">
        <f>'DOE25'!I498</f>
        <v>0</v>
      </c>
      <c r="F158" s="19">
        <f>'DOE25'!J498</f>
        <v>0</v>
      </c>
      <c r="G158" s="96">
        <f t="shared" si="8"/>
        <v>2351500</v>
      </c>
    </row>
    <row r="159" spans="1:9" x14ac:dyDescent="0.2">
      <c r="A159" s="21" t="s">
        <v>35</v>
      </c>
      <c r="B159" s="19">
        <f>'DOE25'!F499</f>
        <v>120000</v>
      </c>
      <c r="C159" s="19">
        <f>'DOE25'!G499</f>
        <v>14965000</v>
      </c>
      <c r="D159" s="19">
        <f>'DOE25'!H499</f>
        <v>4302800</v>
      </c>
      <c r="E159" s="19">
        <f>'DOE25'!I499</f>
        <v>757671</v>
      </c>
      <c r="F159" s="19">
        <f>'DOE25'!J499</f>
        <v>0</v>
      </c>
      <c r="G159" s="96">
        <f t="shared" si="8"/>
        <v>20145471</v>
      </c>
    </row>
    <row r="160" spans="1:9" x14ac:dyDescent="0.2">
      <c r="A160" s="21" t="s">
        <v>36</v>
      </c>
      <c r="B160" s="19">
        <f>'DOE25'!F500</f>
        <v>8325</v>
      </c>
      <c r="C160" s="19">
        <f>'DOE25'!G500</f>
        <v>2197875</v>
      </c>
      <c r="D160" s="19">
        <f>'DOE25'!H500</f>
        <v>1897700</v>
      </c>
      <c r="E160" s="19">
        <f>'DOE25'!I500</f>
        <v>359134</v>
      </c>
      <c r="F160" s="19">
        <f>'DOE25'!J500</f>
        <v>0</v>
      </c>
      <c r="G160" s="96">
        <f t="shared" si="8"/>
        <v>4463034</v>
      </c>
    </row>
    <row r="161" spans="1:7" x14ac:dyDescent="0.2">
      <c r="A161" s="21" t="s">
        <v>37</v>
      </c>
      <c r="B161" s="19">
        <f>'DOE25'!F501</f>
        <v>128325</v>
      </c>
      <c r="C161" s="19">
        <f>'DOE25'!G501</f>
        <v>17162875</v>
      </c>
      <c r="D161" s="19">
        <f>'DOE25'!H501</f>
        <v>6200500</v>
      </c>
      <c r="E161" s="19">
        <f>'DOE25'!I501</f>
        <v>1116805</v>
      </c>
      <c r="F161" s="19">
        <f>'DOE25'!J501</f>
        <v>0</v>
      </c>
      <c r="G161" s="96">
        <f t="shared" si="8"/>
        <v>24608505</v>
      </c>
    </row>
    <row r="162" spans="1:7" x14ac:dyDescent="0.2">
      <c r="A162" s="21" t="s">
        <v>38</v>
      </c>
      <c r="B162" s="19">
        <f>'DOE25'!F502</f>
        <v>40000</v>
      </c>
      <c r="C162" s="19">
        <f>'DOE25'!G502</f>
        <v>2195000</v>
      </c>
      <c r="D162" s="19">
        <f>'DOE25'!H502</f>
        <v>226500</v>
      </c>
      <c r="E162" s="19">
        <f>'DOE25'!I502</f>
        <v>37884</v>
      </c>
      <c r="F162" s="19">
        <f>'DOE25'!J502</f>
        <v>0</v>
      </c>
      <c r="G162" s="96">
        <f t="shared" si="8"/>
        <v>2499384</v>
      </c>
    </row>
    <row r="163" spans="1:7" x14ac:dyDescent="0.2">
      <c r="A163" s="21" t="s">
        <v>39</v>
      </c>
      <c r="B163" s="19">
        <f>'DOE25'!F503</f>
        <v>4625</v>
      </c>
      <c r="C163" s="19">
        <f>'DOE25'!G503</f>
        <v>665375</v>
      </c>
      <c r="D163" s="19">
        <f>'DOE25'!H503</f>
        <v>202348</v>
      </c>
      <c r="E163" s="19">
        <f>'DOE25'!I503</f>
        <v>36160</v>
      </c>
      <c r="F163" s="19">
        <f>'DOE25'!J503</f>
        <v>0</v>
      </c>
      <c r="G163" s="96">
        <f t="shared" si="8"/>
        <v>908508</v>
      </c>
    </row>
    <row r="164" spans="1:7" x14ac:dyDescent="0.2">
      <c r="A164" s="21" t="s">
        <v>246</v>
      </c>
      <c r="B164" s="19">
        <f>'DOE25'!F504</f>
        <v>44625</v>
      </c>
      <c r="C164" s="19">
        <f>'DOE25'!G504</f>
        <v>2860375</v>
      </c>
      <c r="D164" s="19">
        <f>'DOE25'!H504</f>
        <v>428848</v>
      </c>
      <c r="E164" s="19">
        <f>'DOE25'!I504</f>
        <v>74044</v>
      </c>
      <c r="F164" s="19">
        <f>'DOE25'!J504</f>
        <v>0</v>
      </c>
      <c r="G164" s="96">
        <f t="shared" si="8"/>
        <v>3407892</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portrait"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31" t="s">
        <v>736</v>
      </c>
      <c r="B1" s="331"/>
      <c r="C1" s="331"/>
      <c r="D1" s="331"/>
    </row>
    <row r="2" spans="1:4" x14ac:dyDescent="0.2">
      <c r="A2" s="135" t="s">
        <v>713</v>
      </c>
      <c r="B2" s="134" t="str">
        <f>'DOE25'!A2</f>
        <v>Bedford</v>
      </c>
    </row>
    <row r="3" spans="1:4" x14ac:dyDescent="0.2">
      <c r="B3" s="136" t="s">
        <v>1792</v>
      </c>
    </row>
    <row r="4" spans="1:4" x14ac:dyDescent="0.2">
      <c r="B4" t="s">
        <v>61</v>
      </c>
      <c r="C4" s="128">
        <f>IF('DOE25'!F666+'DOE25'!F671=0,0,ROUND('DOE25'!F673,0))</f>
        <v>18680</v>
      </c>
    </row>
    <row r="5" spans="1:4" x14ac:dyDescent="0.2">
      <c r="B5" t="s">
        <v>700</v>
      </c>
      <c r="C5" s="128">
        <f>IF('DOE25'!G666+'DOE25'!G671=0,0,ROUND('DOE25'!G673,0))</f>
        <v>18428</v>
      </c>
    </row>
    <row r="6" spans="1:4" x14ac:dyDescent="0.2">
      <c r="B6" t="s">
        <v>62</v>
      </c>
      <c r="C6" s="128">
        <f>IF('DOE25'!H666+'DOE25'!H671=0,0,ROUND('DOE25'!H673,0))</f>
        <v>18286</v>
      </c>
    </row>
    <row r="7" spans="1:4" x14ac:dyDescent="0.2">
      <c r="B7" t="s">
        <v>701</v>
      </c>
      <c r="C7" s="128">
        <f>IF('DOE25'!I666+'DOE25'!I671=0,0,ROUND('DOE25'!I673,0))</f>
        <v>18498</v>
      </c>
    </row>
    <row r="9" spans="1:4" x14ac:dyDescent="0.2">
      <c r="A9" s="135" t="s">
        <v>94</v>
      </c>
      <c r="B9" s="136" t="s">
        <v>1793</v>
      </c>
      <c r="C9" s="130" t="s">
        <v>720</v>
      </c>
      <c r="D9" s="130" t="s">
        <v>721</v>
      </c>
    </row>
    <row r="10" spans="1:4" x14ac:dyDescent="0.2">
      <c r="A10">
        <v>1100</v>
      </c>
      <c r="B10" t="s">
        <v>702</v>
      </c>
      <c r="C10" s="128">
        <f>ROUND('DOE25'!L198+'DOE25'!L216+'DOE25'!L234+'DOE25'!L277+'DOE25'!L296+'DOE25'!L315,0)</f>
        <v>34563650</v>
      </c>
      <c r="D10" s="131">
        <f>ROUND((C10/$C$28)*100,1)</f>
        <v>42.4</v>
      </c>
    </row>
    <row r="11" spans="1:4" x14ac:dyDescent="0.2">
      <c r="A11">
        <v>1200</v>
      </c>
      <c r="B11" t="s">
        <v>703</v>
      </c>
      <c r="C11" s="128">
        <f>ROUND('DOE25'!L199+'DOE25'!L217+'DOE25'!L235+'DOE25'!L278+'DOE25'!L297+'DOE25'!L316,0)</f>
        <v>16489296</v>
      </c>
      <c r="D11" s="131">
        <f>ROUND((C11/$C$28)*100,1)</f>
        <v>20.2</v>
      </c>
    </row>
    <row r="12" spans="1:4" x14ac:dyDescent="0.2">
      <c r="A12">
        <v>1300</v>
      </c>
      <c r="B12" t="s">
        <v>704</v>
      </c>
      <c r="C12" s="128">
        <f>ROUND('DOE25'!L200+'DOE25'!L218+'DOE25'!L236+'DOE25'!L279+'DOE25'!L298+'DOE25'!L317,0)</f>
        <v>146277</v>
      </c>
      <c r="D12" s="131">
        <f>ROUND((C12/$C$28)*100,1)</f>
        <v>0.2</v>
      </c>
    </row>
    <row r="13" spans="1:4" x14ac:dyDescent="0.2">
      <c r="A13">
        <v>1400</v>
      </c>
      <c r="B13" t="s">
        <v>705</v>
      </c>
      <c r="C13" s="128">
        <f>ROUND('DOE25'!L201+'DOE25'!L219+'DOE25'!L237+'DOE25'!L280+'DOE25'!L299+'DOE25'!L318,0)</f>
        <v>1401886</v>
      </c>
      <c r="D13" s="131">
        <f>ROUND((C13/$C$28)*100,1)</f>
        <v>1.7</v>
      </c>
    </row>
    <row r="14" spans="1:4" x14ac:dyDescent="0.2">
      <c r="D14" s="131"/>
    </row>
    <row r="15" spans="1:4" x14ac:dyDescent="0.2">
      <c r="A15">
        <v>2100</v>
      </c>
      <c r="B15" t="s">
        <v>706</v>
      </c>
      <c r="C15" s="128">
        <f>ROUND('DOE25'!L203+'DOE25'!L221+'DOE25'!L239+'DOE25'!L282+'DOE25'!L301+'DOE25'!L320,0)</f>
        <v>6933105</v>
      </c>
      <c r="D15" s="131">
        <f t="shared" ref="D15:D27" si="0">ROUND((C15/$C$28)*100,1)</f>
        <v>8.5</v>
      </c>
    </row>
    <row r="16" spans="1:4" x14ac:dyDescent="0.2">
      <c r="A16">
        <v>2200</v>
      </c>
      <c r="B16" t="s">
        <v>707</v>
      </c>
      <c r="C16" s="128">
        <f>ROUND('DOE25'!L204+'DOE25'!L222+'DOE25'!L240+'DOE25'!L283+'DOE25'!L302+'DOE25'!L321,0)</f>
        <v>1771355</v>
      </c>
      <c r="D16" s="131">
        <f t="shared" si="0"/>
        <v>2.2000000000000002</v>
      </c>
    </row>
    <row r="17" spans="1:4" x14ac:dyDescent="0.2">
      <c r="A17" s="132" t="s">
        <v>723</v>
      </c>
      <c r="B17" t="s">
        <v>738</v>
      </c>
      <c r="C17" s="128">
        <f>ROUND('DOE25'!L205+'DOE25'!L210+'DOE25'!L223+'DOE25'!L228+'DOE25'!L241+'DOE25'!L246+'DOE25'!L284+'DOE25'!L289+'DOE25'!L303+'DOE25'!L308+'DOE25'!L322+'DOE25'!L327,0)</f>
        <v>2141054</v>
      </c>
      <c r="D17" s="131">
        <f t="shared" si="0"/>
        <v>2.6</v>
      </c>
    </row>
    <row r="18" spans="1:4" x14ac:dyDescent="0.2">
      <c r="A18">
        <v>2400</v>
      </c>
      <c r="B18" t="s">
        <v>711</v>
      </c>
      <c r="C18" s="128">
        <f>ROUND('DOE25'!L206+'DOE25'!L224+'DOE25'!L242+'DOE25'!L285+'DOE25'!L304+'DOE25'!L323,0)</f>
        <v>5625087</v>
      </c>
      <c r="D18" s="131">
        <f t="shared" si="0"/>
        <v>6.9</v>
      </c>
    </row>
    <row r="19" spans="1:4" x14ac:dyDescent="0.2">
      <c r="A19">
        <v>2500</v>
      </c>
      <c r="B19" t="s">
        <v>708</v>
      </c>
      <c r="C19" s="128">
        <f>ROUND('DOE25'!L207+'DOE25'!L225+'DOE25'!L243+'DOE25'!L286+'DOE25'!L305+'DOE25'!L324,0)</f>
        <v>999893</v>
      </c>
      <c r="D19" s="131">
        <f t="shared" si="0"/>
        <v>1.2</v>
      </c>
    </row>
    <row r="20" spans="1:4" x14ac:dyDescent="0.2">
      <c r="A20">
        <v>2600</v>
      </c>
      <c r="B20" t="s">
        <v>709</v>
      </c>
      <c r="C20" s="128">
        <f>ROUND('DOE25'!L208+'DOE25'!L226+'DOE25'!L244+'DOE25'!L287+'DOE25'!L306+'DOE25'!L325,0)</f>
        <v>5846348</v>
      </c>
      <c r="D20" s="131">
        <f t="shared" si="0"/>
        <v>7.2</v>
      </c>
    </row>
    <row r="21" spans="1:4" x14ac:dyDescent="0.2">
      <c r="A21">
        <v>2700</v>
      </c>
      <c r="B21" t="s">
        <v>710</v>
      </c>
      <c r="C21" s="128">
        <f>ROUND('DOE25'!L209+'DOE25'!L227+'DOE25'!L245+'DOE25'!L288+'DOE25'!L307+'DOE25'!L326,0)</f>
        <v>4113799</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38170</v>
      </c>
      <c r="D24" s="131">
        <f t="shared" si="0"/>
        <v>0</v>
      </c>
    </row>
    <row r="25" spans="1:4" x14ac:dyDescent="0.2">
      <c r="A25">
        <v>5120</v>
      </c>
      <c r="B25" t="s">
        <v>716</v>
      </c>
      <c r="C25" s="128">
        <f>ROUND('DOE25'!L262+'DOE25'!L343,0)</f>
        <v>1011926</v>
      </c>
      <c r="D25" s="131">
        <f t="shared" si="0"/>
        <v>1.2</v>
      </c>
    </row>
    <row r="26" spans="1:4" x14ac:dyDescent="0.2">
      <c r="A26" s="132" t="s">
        <v>717</v>
      </c>
      <c r="B26" t="s">
        <v>718</v>
      </c>
      <c r="C26" s="128">
        <f>'DOE25'!L269+'DOE25'!L270+'DOE25'!L350+'DOE25'!L351</f>
        <v>47906.25</v>
      </c>
      <c r="D26" s="131">
        <f t="shared" si="0"/>
        <v>0.1</v>
      </c>
    </row>
    <row r="27" spans="1:4" x14ac:dyDescent="0.2">
      <c r="A27">
        <v>3100</v>
      </c>
      <c r="B27" t="s">
        <v>11</v>
      </c>
      <c r="C27" s="128">
        <f>ROUND('DOE25'!L363-'DOE25'!L362,0)-SUM('DOE25'!G97:G110)</f>
        <v>428754.99</v>
      </c>
      <c r="D27" s="131">
        <f t="shared" si="0"/>
        <v>0.5</v>
      </c>
    </row>
    <row r="28" spans="1:4" x14ac:dyDescent="0.2">
      <c r="B28" s="135" t="s">
        <v>719</v>
      </c>
      <c r="C28" s="129">
        <f>SUM(C10:C27)</f>
        <v>81558507.239999995</v>
      </c>
      <c r="D28" s="133">
        <f>ROUND(SUM(D10:D27),0)</f>
        <v>100</v>
      </c>
    </row>
    <row r="29" spans="1:4" x14ac:dyDescent="0.2">
      <c r="A29">
        <v>4000</v>
      </c>
      <c r="B29" t="s">
        <v>724</v>
      </c>
      <c r="C29" s="128">
        <f>ROUND('DOE25'!L256+'DOE25'!L337+'DOE25'!L375+'DOE25'!L376+'DOE25'!L377+'DOE25'!L378+'DOE25'!L379+'DOE25'!L380+'DOE25'!L381,0)</f>
        <v>2193618</v>
      </c>
    </row>
    <row r="30" spans="1:4" x14ac:dyDescent="0.2">
      <c r="B30" s="135" t="s">
        <v>725</v>
      </c>
      <c r="C30" s="129">
        <f>SUM(C28:C29)</f>
        <v>83752125.239999995</v>
      </c>
    </row>
    <row r="31" spans="1:4" x14ac:dyDescent="0.2">
      <c r="B31" s="32"/>
      <c r="C31" s="129"/>
    </row>
    <row r="32" spans="1:4" x14ac:dyDescent="0.2">
      <c r="A32">
        <v>5100</v>
      </c>
      <c r="B32" s="32" t="s">
        <v>726</v>
      </c>
      <c r="C32" s="129">
        <f>ROUND('DOE25'!L261+'DOE25'!L342,0)</f>
        <v>2351500</v>
      </c>
    </row>
    <row r="34" spans="1:4" x14ac:dyDescent="0.2">
      <c r="A34" s="135" t="s">
        <v>94</v>
      </c>
      <c r="B34" s="136" t="s">
        <v>1794</v>
      </c>
      <c r="C34" s="130" t="s">
        <v>720</v>
      </c>
      <c r="D34" s="130" t="s">
        <v>721</v>
      </c>
    </row>
    <row r="35" spans="1:4" x14ac:dyDescent="0.2">
      <c r="A35">
        <v>1100</v>
      </c>
      <c r="B35" s="71" t="s">
        <v>727</v>
      </c>
      <c r="C35" s="128">
        <f>ROUND('DOE25'!F60+'DOE25'!G60+'DOE25'!H60+'DOE25'!I60+'DOE25'!J60,0)</f>
        <v>57454959</v>
      </c>
      <c r="D35" s="131">
        <f t="shared" ref="D35:D40" si="1">ROUND((C35/$C$41)*100,1)</f>
        <v>68.7</v>
      </c>
    </row>
    <row r="36" spans="1:4" x14ac:dyDescent="0.2">
      <c r="B36" s="71" t="s">
        <v>739</v>
      </c>
      <c r="C36" s="128">
        <f>SUM('DOE25'!F112:J112)-SUM('DOE25'!G97:G110)+('DOE25'!F175+'DOE25'!F176+'DOE25'!I175+'DOE25'!I176)-C35</f>
        <v>2898045</v>
      </c>
      <c r="D36" s="131">
        <f t="shared" si="1"/>
        <v>3.5</v>
      </c>
    </row>
    <row r="37" spans="1:4" x14ac:dyDescent="0.2">
      <c r="A37" s="132" t="s">
        <v>831</v>
      </c>
      <c r="B37" s="71" t="s">
        <v>728</v>
      </c>
      <c r="C37" s="128">
        <f>ROUND('DOE25'!F117+'DOE25'!F118,0)</f>
        <v>18299600</v>
      </c>
      <c r="D37" s="131">
        <f t="shared" si="1"/>
        <v>21.9</v>
      </c>
    </row>
    <row r="38" spans="1:4" x14ac:dyDescent="0.2">
      <c r="A38" s="132" t="s">
        <v>734</v>
      </c>
      <c r="B38" s="71" t="s">
        <v>729</v>
      </c>
      <c r="C38" s="128">
        <f>ROUND(SUM('DOE25'!F140:J140)-SUM('DOE25'!F117:F119),0)</f>
        <v>2169033</v>
      </c>
      <c r="D38" s="131">
        <f t="shared" si="1"/>
        <v>2.6</v>
      </c>
    </row>
    <row r="39" spans="1:4" x14ac:dyDescent="0.2">
      <c r="A39">
        <v>4000</v>
      </c>
      <c r="B39" s="71" t="s">
        <v>730</v>
      </c>
      <c r="C39" s="128">
        <f>ROUND('DOE25'!F170+'DOE25'!G170+'DOE25'!H170+'DOE25'!I170,0)</f>
        <v>2778684</v>
      </c>
      <c r="D39" s="131">
        <f t="shared" si="1"/>
        <v>3.3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83600321</v>
      </c>
      <c r="D41" s="133">
        <f>SUM(D35:D40)</f>
        <v>99.999999999999986</v>
      </c>
    </row>
    <row r="42" spans="1:4" x14ac:dyDescent="0.2">
      <c r="A42" s="132" t="s">
        <v>737</v>
      </c>
      <c r="B42" s="71" t="s">
        <v>733</v>
      </c>
      <c r="C42" s="128">
        <f>ROUND('DOE25'!F174+'DOE25'!I174+'DOE25'!F177+'DOE25'!I177,0)</f>
        <v>757671</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pageSetUpPr fitToPage="1"/>
  </sheetPr>
  <dimension ref="A1:IV90"/>
  <sheetViews>
    <sheetView zoomScaleNormal="100" workbookViewId="0">
      <selection activeCell="C11" sqref="C11:M11"/>
    </sheetView>
  </sheetViews>
  <sheetFormatPr defaultColWidth="8.6640625" defaultRowHeight="11.25" x14ac:dyDescent="0.2"/>
  <cols>
    <col min="1" max="1" width="10.16406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Bedford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2</v>
      </c>
      <c r="B4" s="149">
        <v>17</v>
      </c>
      <c r="C4" s="332" t="s">
        <v>1854</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v>3</v>
      </c>
      <c r="B6" s="149">
        <v>24</v>
      </c>
      <c r="C6" s="332" t="s">
        <v>1841</v>
      </c>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v>5</v>
      </c>
      <c r="B8" s="149">
        <v>15</v>
      </c>
      <c r="C8" s="332" t="s">
        <v>1842</v>
      </c>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v>3</v>
      </c>
      <c r="B10" s="149">
        <v>24</v>
      </c>
      <c r="C10" s="332" t="s">
        <v>1853</v>
      </c>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v>4</v>
      </c>
      <c r="B12" s="149">
        <v>4</v>
      </c>
      <c r="C12" s="332" t="s">
        <v>1851</v>
      </c>
      <c r="D12" s="332"/>
      <c r="E12" s="332"/>
      <c r="F12" s="332"/>
      <c r="G12" s="332"/>
      <c r="H12" s="332"/>
      <c r="I12" s="332"/>
      <c r="J12" s="332"/>
      <c r="K12" s="332"/>
      <c r="L12" s="332"/>
      <c r="M12" s="334"/>
    </row>
    <row r="13" spans="1:13" x14ac:dyDescent="0.2">
      <c r="A13" s="158"/>
      <c r="B13" s="149"/>
      <c r="C13" s="332" t="s">
        <v>1852</v>
      </c>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3"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ColWidth="8.6640625" defaultRowHeight="11.25" x14ac:dyDescent="0.2"/>
  <cols>
    <col min="2" max="2" width="35.1640625" customWidth="1"/>
    <col min="3" max="3" width="46.6640625" customWidth="1"/>
    <col min="4" max="4" width="10.16406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1640625" customWidth="1"/>
    <col min="18" max="21" width="17.5" customWidth="1"/>
    <col min="22" max="22" width="13" customWidth="1"/>
    <col min="24" max="24" width="17.6640625" customWidth="1"/>
    <col min="25" max="25" width="31.6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6"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191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63</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4</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192</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243</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260</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f>IF('School Level Expenditures'!$B$2='School Tables'!W7,'School Tables'!AD7,"")</f>
        <v>4</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f>IF('School Level Expenditures'!$B$2='School Tables'!L66,'School Tables'!S66,"")</f>
        <v>63</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f>IF('School Level Expenditures'!$B$2=A194,'School Tables'!H194,"")</f>
        <v>191</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f>IF('School Level Expenditures'!$B$2=A195,'School Tables'!H195,"")</f>
        <v>192</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f>IF('School Level Expenditures'!$B$2=A246,'School Tables'!H246,"")</f>
        <v>243</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f>IF('School Level Expenditures'!$B$2=A263,'School Tables'!H263,"")</f>
        <v>260</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2024-09-20T18:52:01Z</cp:lastPrinted>
  <dcterms:created xsi:type="dcterms:W3CDTF">1997-12-04T19:04:30Z</dcterms:created>
  <dcterms:modified xsi:type="dcterms:W3CDTF">2025-01-16T19:52:38Z</dcterms:modified>
</cp:coreProperties>
</file>