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73B21DA6-DFE9-4878-AF62-0F4640380DDC}"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3" l="1"/>
  <c r="J594" i="1"/>
  <c r="H401" i="1"/>
  <c r="K241" i="1"/>
  <c r="H612" i="1"/>
  <c r="H532" i="1"/>
  <c r="H524" i="1"/>
  <c r="J466" i="1"/>
  <c r="G460" i="1"/>
  <c r="H241" i="1"/>
  <c r="H235" i="1"/>
  <c r="H223" i="1"/>
  <c r="F205" i="1"/>
  <c r="H205" i="1"/>
  <c r="J96" i="1"/>
  <c r="F50" i="1"/>
  <c r="F9"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H125" i="2" s="1"/>
  <c r="G5" i="13"/>
  <c r="H5" i="13"/>
  <c r="L198" i="1"/>
  <c r="L199" i="1"/>
  <c r="L200" i="1"/>
  <c r="L201" i="1"/>
  <c r="L216" i="1"/>
  <c r="L217" i="1"/>
  <c r="L218" i="1"/>
  <c r="L219" i="1"/>
  <c r="C13" i="10"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H59" i="2" s="1"/>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J111" i="1"/>
  <c r="F121" i="1"/>
  <c r="F136" i="1"/>
  <c r="G121" i="1"/>
  <c r="G136" i="1"/>
  <c r="H121" i="1"/>
  <c r="H136" i="1"/>
  <c r="I121" i="1"/>
  <c r="I136" i="1"/>
  <c r="J121" i="1"/>
  <c r="J136" i="1"/>
  <c r="J140" i="1" s="1"/>
  <c r="F147" i="1"/>
  <c r="F170" i="1" s="1"/>
  <c r="G147" i="1"/>
  <c r="D85" i="2" s="1"/>
  <c r="H147" i="1"/>
  <c r="H170" i="1" s="1"/>
  <c r="I147" i="1"/>
  <c r="I170" i="1"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C87" i="2"/>
  <c r="E87" i="2"/>
  <c r="F87" i="2"/>
  <c r="C89" i="2"/>
  <c r="D89" i="2"/>
  <c r="E89" i="2"/>
  <c r="F89" i="2"/>
  <c r="C90" i="2"/>
  <c r="H90" i="2" s="1"/>
  <c r="C93" i="2"/>
  <c r="F93" i="2"/>
  <c r="C94" i="2"/>
  <c r="F94" i="2"/>
  <c r="D96" i="2"/>
  <c r="E96" i="2"/>
  <c r="F96" i="2"/>
  <c r="G96" i="2"/>
  <c r="H96" i="2" s="1"/>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E112" i="2"/>
  <c r="D115" i="2"/>
  <c r="F115" i="2"/>
  <c r="G11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2" i="1"/>
  <c r="H653" i="1"/>
  <c r="G654" i="1"/>
  <c r="H654" i="1"/>
  <c r="H655" i="1"/>
  <c r="H656" i="1"/>
  <c r="H97" i="2" l="1"/>
  <c r="H93" i="2"/>
  <c r="H87" i="2"/>
  <c r="H61" i="2"/>
  <c r="H26" i="2"/>
  <c r="H22" i="2"/>
  <c r="H140" i="1"/>
  <c r="G62" i="2"/>
  <c r="H62" i="2" s="1"/>
  <c r="D29" i="13"/>
  <c r="E13" i="13"/>
  <c r="C13" i="13" s="1"/>
  <c r="F85" i="2"/>
  <c r="H35" i="2"/>
  <c r="I409" i="1"/>
  <c r="H85" i="2"/>
  <c r="H69" i="2"/>
  <c r="H47" i="2"/>
  <c r="H30" i="2"/>
  <c r="H28" i="2"/>
  <c r="H25" i="2"/>
  <c r="H17" i="2"/>
  <c r="C119" i="2"/>
  <c r="H131" i="2"/>
  <c r="H102" i="2"/>
  <c r="H100" i="2"/>
  <c r="H98" i="2"/>
  <c r="H15" i="2"/>
  <c r="H11" i="2"/>
  <c r="G663" i="1"/>
  <c r="H80" i="2"/>
  <c r="H77" i="2"/>
  <c r="K36" i="14"/>
  <c r="K37" i="14" s="1"/>
  <c r="D18" i="13"/>
  <c r="C18" i="13" s="1"/>
  <c r="I112" i="1"/>
  <c r="H13" i="2"/>
  <c r="H89" i="2"/>
  <c r="H34" i="2"/>
  <c r="H9" i="2"/>
  <c r="H132" i="2"/>
  <c r="G662" i="1"/>
  <c r="H36" i="2"/>
  <c r="H44" i="2"/>
  <c r="H48" i="2"/>
  <c r="H58" i="2"/>
  <c r="H94" i="2"/>
  <c r="H29" i="2"/>
  <c r="H27" i="2"/>
  <c r="H24" i="2"/>
  <c r="H12" i="2"/>
  <c r="H8" i="2"/>
  <c r="H113" i="2"/>
  <c r="J112" i="1"/>
  <c r="J652" i="1"/>
  <c r="H23" i="2"/>
  <c r="G409" i="1"/>
  <c r="H646" i="1" s="1"/>
  <c r="C12" i="10"/>
  <c r="D15" i="13"/>
  <c r="C15" i="13" s="1"/>
  <c r="G651" i="1"/>
  <c r="C112" i="2"/>
  <c r="H112" i="2" s="1"/>
  <c r="C120" i="2"/>
  <c r="H120" i="2"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I662" i="1" s="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F194" i="1" s="1"/>
  <c r="J619" i="1"/>
  <c r="G42" i="2"/>
  <c r="G50" i="2" s="1"/>
  <c r="J51" i="1"/>
  <c r="G16" i="2"/>
  <c r="G18" i="2" s="1"/>
  <c r="J19" i="1"/>
  <c r="G622" i="1" s="1"/>
  <c r="F546" i="1"/>
  <c r="H435" i="1"/>
  <c r="D103" i="2"/>
  <c r="I140" i="1"/>
  <c r="A22" i="12"/>
  <c r="J653" i="1"/>
  <c r="G572" i="1"/>
  <c r="I435" i="1"/>
  <c r="G435" i="1"/>
  <c r="I664" i="1"/>
  <c r="H57" i="2" l="1"/>
  <c r="H31" i="2"/>
  <c r="H16" i="2"/>
  <c r="H123" i="2"/>
  <c r="H91" i="2"/>
  <c r="H114" i="2"/>
  <c r="H42" i="2"/>
  <c r="H21" i="2"/>
  <c r="G63" i="2"/>
  <c r="D128" i="2"/>
  <c r="D145" i="2" s="1"/>
  <c r="H127" i="2"/>
  <c r="H78" i="2"/>
  <c r="H50" i="2"/>
  <c r="G144" i="2"/>
  <c r="G145" i="2" s="1"/>
  <c r="H134" i="2"/>
  <c r="I663" i="1"/>
  <c r="H103" i="2"/>
  <c r="C81" i="2"/>
  <c r="H81" i="2" s="1"/>
  <c r="E5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C104" i="2"/>
  <c r="H104" i="2" s="1"/>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<sst xmlns="http://schemas.openxmlformats.org/spreadsheetml/2006/main" count="6638" uniqueCount="1841">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</sst>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2" zoomScale="130" zoomScaleNormal="130" workbookViewId="0">
      <selection activeCell="H227" sqref="H22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1740</v>
      </c>
      <c r="B2">
        <f>INDEX('School Tables'!$AH$3:$AH$213,MATCH('DOE25'!A2,'School Tables'!$AJ$3:$AJ$213,0))</f>
        <v>47</v>
      </c>
      <c r="C2">
        <f>INDEX('School Tables'!$AI$3:$AI$213,MATCH('DOE25'!A2,'School Tables'!$AJ$3:$AJ$213,0))</f>
        <v>47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67249-1</f>
        <v>67248</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297358</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1108</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36498</v>
      </c>
      <c r="G14" s="18"/>
      <c r="H14" s="18">
        <v>1108</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104854</v>
      </c>
      <c r="G19" s="38">
        <f>SUM(G9:G18)</f>
        <v>0</v>
      </c>
      <c r="H19" s="38">
        <f>SUM(H9:H18)</f>
        <v>1108</v>
      </c>
      <c r="I19" s="38">
        <f>SUM(I9:I18)</f>
        <v>0</v>
      </c>
      <c r="J19" s="38">
        <f>SUM(J9:J18)</f>
        <v>297358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v>1108</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104854</v>
      </c>
      <c r="G24" s="18"/>
      <c r="H24" s="18"/>
      <c r="I24" s="18"/>
      <c r="J24" s="13">
        <f>SUM(I451)</f>
        <v>28553</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104854</v>
      </c>
      <c r="G32" s="38">
        <f>SUM(G22:G31)</f>
        <v>0</v>
      </c>
      <c r="H32" s="38">
        <f>SUM(H22:H31)</f>
        <v>1108</v>
      </c>
      <c r="I32" s="38">
        <f>SUM(I22:I31)</f>
        <v>0</v>
      </c>
      <c r="J32" s="38">
        <f>SUM(J22:J31)</f>
        <v>28553</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268805</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65144+654444-719588</f>
        <v>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0</v>
      </c>
      <c r="G51" s="38">
        <f>SUM(G35:G50)</f>
        <v>0</v>
      </c>
      <c r="H51" s="38">
        <f>SUM(H35:H50)</f>
        <v>0</v>
      </c>
      <c r="I51" s="38">
        <f>SUM(I35:I50)</f>
        <v>0</v>
      </c>
      <c r="J51" s="38">
        <f>SUM(J35:J50)</f>
        <v>268805</v>
      </c>
      <c r="K51" s="42" t="s">
        <v>288</v>
      </c>
      <c r="L51" s="42" t="s">
        <v>288</v>
      </c>
      <c r="N51" s="130"/>
    </row>
    <row r="52" spans="1:14" s="3" customFormat="1" ht="12.2" customHeight="1" thickTop="1" x14ac:dyDescent="0.15">
      <c r="A52" s="35" t="s">
        <v>455</v>
      </c>
      <c r="B52" s="36" t="s">
        <v>289</v>
      </c>
      <c r="C52" s="6">
        <v>37</v>
      </c>
      <c r="D52" s="36" t="s">
        <v>653</v>
      </c>
      <c r="E52" s="36"/>
      <c r="F52" s="38">
        <f>F51+F32</f>
        <v>104854</v>
      </c>
      <c r="G52" s="38">
        <f>G51+G32</f>
        <v>0</v>
      </c>
      <c r="H52" s="38">
        <f>H51+H32</f>
        <v>1108</v>
      </c>
      <c r="I52" s="38">
        <f>I51+I32</f>
        <v>0</v>
      </c>
      <c r="J52" s="38">
        <f>J51+J32</f>
        <v>297358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375019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375019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c r="G96" s="18"/>
      <c r="H96" s="18"/>
      <c r="I96" s="18"/>
      <c r="J96" s="18">
        <f>14526+1</f>
        <v>14527</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0</v>
      </c>
      <c r="G111" s="38">
        <f>SUM(G96:G110)</f>
        <v>0</v>
      </c>
      <c r="H111" s="38">
        <f>SUM(H96:H110)</f>
        <v>0</v>
      </c>
      <c r="I111" s="38">
        <f>SUM(I96:I110)</f>
        <v>0</v>
      </c>
      <c r="J111" s="38">
        <f>SUM(J96:J110)</f>
        <v>14527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375019</v>
      </c>
      <c r="G112" s="38">
        <f>G60+G111</f>
        <v>0</v>
      </c>
      <c r="H112" s="38">
        <f>H60+H79+H94+H111</f>
        <v>0</v>
      </c>
      <c r="I112" s="38">
        <f>I60+I111</f>
        <v>0</v>
      </c>
      <c r="J112" s="38">
        <f>J60+J111</f>
        <v>14527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145055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47739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192794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5418</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3314</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441</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9173</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201967</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5328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36949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36949</v>
      </c>
      <c r="G163" s="38">
        <f>SUM(G150:G162)</f>
        <v>0</v>
      </c>
      <c r="H163" s="38">
        <f>SUM(H150:H162)</f>
        <v>5328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11956</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48905</v>
      </c>
      <c r="G170" s="38">
        <f>G147+G163+SUM(G164:G169)</f>
        <v>0</v>
      </c>
      <c r="H170" s="38">
        <f>H147+H163+SUM(H164:H169)</f>
        <v>5328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65144</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65144</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28553</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28553</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28553</v>
      </c>
      <c r="G193" s="38">
        <f>G184+SUM(G189:G192)</f>
        <v>0</v>
      </c>
      <c r="H193" s="38">
        <f>+H184+SUM(H189:H192)</f>
        <v>0</v>
      </c>
      <c r="I193" s="38">
        <f>I178+I184+SUM(I189:I192)</f>
        <v>0</v>
      </c>
      <c r="J193" s="38">
        <f>J184</f>
        <v>65144</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654444</v>
      </c>
      <c r="G194" s="38">
        <f>G112+G140+G170+G193</f>
        <v>0</v>
      </c>
      <c r="H194" s="38">
        <f>H112+H140+H170+H193</f>
        <v>5328</v>
      </c>
      <c r="I194" s="38">
        <f>I112+I140+I170+I193</f>
        <v>0</v>
      </c>
      <c r="J194" s="38">
        <f>J112+J140+J193</f>
        <v>79671</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v>58097</v>
      </c>
      <c r="I198" s="18"/>
      <c r="J198" s="18"/>
      <c r="K198" s="18"/>
      <c r="L198" s="13">
        <f>SUM(F198:K198)</f>
        <v>58097</v>
      </c>
      <c r="M198" s="8"/>
      <c r="N198" s="164"/>
    </row>
    <row r="199" spans="1:14" s="3" customFormat="1" ht="12.2" customHeight="1" x14ac:dyDescent="0.15">
      <c r="A199" s="1" t="s">
        <v>439</v>
      </c>
      <c r="B199" s="2" t="s">
        <v>341</v>
      </c>
      <c r="C199" s="2" t="s">
        <v>291</v>
      </c>
      <c r="D199" s="2" t="s">
        <v>431</v>
      </c>
      <c r="E199" s="6">
        <v>1200</v>
      </c>
      <c r="F199" s="18"/>
      <c r="G199" s="18"/>
      <c r="H199" s="18">
        <v>82236</v>
      </c>
      <c r="I199" s="18"/>
      <c r="J199" s="18"/>
      <c r="K199" s="18"/>
      <c r="L199" s="13">
        <f>SUM(F199:K199)</f>
        <v>82236</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v>15895</v>
      </c>
      <c r="I203" s="18"/>
      <c r="J203" s="18"/>
      <c r="K203" s="18"/>
      <c r="L203" s="13">
        <f t="shared" ref="L203:L209" si="0">SUM(F203:K203)</f>
        <v>15895</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f>148-1</f>
        <v>147</v>
      </c>
      <c r="G205" s="18">
        <v>123</v>
      </c>
      <c r="H205" s="18">
        <f>9642+1420</f>
        <v>11062</v>
      </c>
      <c r="I205" s="18">
        <v>540</v>
      </c>
      <c r="J205" s="18"/>
      <c r="K205" s="18"/>
      <c r="L205" s="13">
        <f t="shared" si="0"/>
        <v>11872</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v>14165</v>
      </c>
      <c r="I209" s="18"/>
      <c r="J209" s="18"/>
      <c r="K209" s="18"/>
      <c r="L209" s="13">
        <f t="shared" si="0"/>
        <v>14165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147</v>
      </c>
      <c r="G212" s="38">
        <f t="shared" si="1"/>
        <v>123</v>
      </c>
      <c r="H212" s="38">
        <f t="shared" si="1"/>
        <v>181455</v>
      </c>
      <c r="I212" s="38">
        <f t="shared" si="1"/>
        <v>540</v>
      </c>
      <c r="J212" s="38">
        <f t="shared" si="1"/>
        <v>0</v>
      </c>
      <c r="K212" s="38">
        <f t="shared" si="1"/>
        <v>0</v>
      </c>
      <c r="L212" s="38">
        <f t="shared" si="1"/>
        <v>182265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98216</v>
      </c>
      <c r="I216" s="18"/>
      <c r="J216" s="18"/>
      <c r="K216" s="18"/>
      <c r="L216" s="13">
        <f>SUM(F216:K216)</f>
        <v>98216</v>
      </c>
      <c r="M216" s="8"/>
      <c r="N216" s="164"/>
    </row>
    <row r="217" spans="1:14" s="3" customFormat="1" ht="12.2" customHeight="1" x14ac:dyDescent="0.15">
      <c r="A217" s="1" t="s">
        <v>439</v>
      </c>
      <c r="B217" s="2" t="s">
        <v>346</v>
      </c>
      <c r="C217" s="2" t="s">
        <v>291</v>
      </c>
      <c r="D217" s="2" t="s">
        <v>431</v>
      </c>
      <c r="E217" s="6">
        <v>1200</v>
      </c>
      <c r="F217" s="18"/>
      <c r="G217" s="18"/>
      <c r="H217" s="18">
        <v>52727</v>
      </c>
      <c r="I217" s="18"/>
      <c r="J217" s="18">
        <v>100</v>
      </c>
      <c r="K217" s="18"/>
      <c r="L217" s="13">
        <f>SUM(F217:K217)</f>
        <v>52827</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v>5452</v>
      </c>
      <c r="I219" s="18"/>
      <c r="J219" s="18"/>
      <c r="K219" s="18"/>
      <c r="L219" s="13">
        <f>SUM(F219:K219)</f>
        <v>5452</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v>3279</v>
      </c>
      <c r="I221" s="18"/>
      <c r="J221" s="18"/>
      <c r="K221" s="18"/>
      <c r="L221" s="13">
        <f t="shared" ref="L221:L227" si="2">SUM(F221:K221)</f>
        <v>3279</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v>100</v>
      </c>
      <c r="G223" s="18">
        <v>140</v>
      </c>
      <c r="H223" s="18">
        <f>6514+959</f>
        <v>7473</v>
      </c>
      <c r="I223" s="18"/>
      <c r="J223" s="18"/>
      <c r="K223" s="18">
        <v>365</v>
      </c>
      <c r="L223" s="13">
        <f t="shared" si="2"/>
        <v>8078</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v>9172</v>
      </c>
      <c r="I227" s="18"/>
      <c r="J227" s="18"/>
      <c r="K227" s="18"/>
      <c r="L227" s="13">
        <f t="shared" si="2"/>
        <v>9172</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100</v>
      </c>
      <c r="G230" s="38">
        <f>SUM(G216:G229)</f>
        <v>140</v>
      </c>
      <c r="H230" s="38">
        <f>SUM(H216:H229)</f>
        <v>176319</v>
      </c>
      <c r="I230" s="38">
        <f>SUM(I216:I229)</f>
        <v>0</v>
      </c>
      <c r="J230" s="38">
        <f>SUM(J216:J229)</f>
        <v>100</v>
      </c>
      <c r="K230" s="38">
        <f t="shared" si="3"/>
        <v>365</v>
      </c>
      <c r="L230" s="38">
        <f t="shared" si="3"/>
        <v>177024</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135206</v>
      </c>
      <c r="I234" s="18"/>
      <c r="J234" s="18"/>
      <c r="K234" s="18"/>
      <c r="L234" s="13">
        <f>SUM(F234:K234)</f>
        <v>135206</v>
      </c>
      <c r="M234" s="8"/>
      <c r="N234" s="164"/>
    </row>
    <row r="235" spans="1:14" s="3" customFormat="1" ht="12.2" customHeight="1" x14ac:dyDescent="0.15">
      <c r="A235" s="1" t="s">
        <v>439</v>
      </c>
      <c r="B235" s="2" t="s">
        <v>350</v>
      </c>
      <c r="C235" s="2" t="s">
        <v>291</v>
      </c>
      <c r="D235" s="2" t="s">
        <v>431</v>
      </c>
      <c r="E235" s="6">
        <v>1200</v>
      </c>
      <c r="F235" s="18"/>
      <c r="G235" s="18"/>
      <c r="H235" s="18">
        <f>109445</f>
        <v>109445</v>
      </c>
      <c r="I235" s="18"/>
      <c r="J235" s="18"/>
      <c r="K235" s="18"/>
      <c r="L235" s="13">
        <f>SUM(F235:K235)</f>
        <v>109445</v>
      </c>
      <c r="M235" s="8"/>
      <c r="N235" s="164"/>
    </row>
    <row r="236" spans="1:14" s="3" customFormat="1" ht="12.2" customHeight="1" x14ac:dyDescent="0.15">
      <c r="A236" s="1" t="s">
        <v>440</v>
      </c>
      <c r="B236" s="2" t="s">
        <v>350</v>
      </c>
      <c r="C236" s="2" t="s">
        <v>292</v>
      </c>
      <c r="D236" s="2" t="s">
        <v>431</v>
      </c>
      <c r="E236" s="6">
        <v>1300</v>
      </c>
      <c r="F236" s="18"/>
      <c r="G236" s="18"/>
      <c r="H236" s="18">
        <v>11031</v>
      </c>
      <c r="I236" s="18"/>
      <c r="J236" s="18"/>
      <c r="K236" s="18"/>
      <c r="L236" s="13">
        <f>SUM(F236:K236)</f>
        <v>11031</v>
      </c>
      <c r="M236" s="8"/>
      <c r="N236" s="164"/>
    </row>
    <row r="237" spans="1:14" s="3" customFormat="1" ht="12.2" customHeight="1" x14ac:dyDescent="0.15">
      <c r="A237" s="1" t="s">
        <v>441</v>
      </c>
      <c r="B237" s="2" t="s">
        <v>350</v>
      </c>
      <c r="C237" s="2" t="s">
        <v>293</v>
      </c>
      <c r="D237" s="2" t="s">
        <v>431</v>
      </c>
      <c r="E237" s="6">
        <v>1400</v>
      </c>
      <c r="F237" s="18"/>
      <c r="G237" s="18"/>
      <c r="H237" s="18">
        <v>5177</v>
      </c>
      <c r="I237" s="18"/>
      <c r="J237" s="18"/>
      <c r="K237" s="18"/>
      <c r="L237" s="13">
        <f>SUM(F237:K237)</f>
        <v>5177</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v>981</v>
      </c>
      <c r="I239" s="18"/>
      <c r="J239" s="18"/>
      <c r="K239" s="18"/>
      <c r="L239" s="13">
        <f t="shared" ref="L239:L245" si="4">SUM(F239:K239)</f>
        <v>981</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v>152</v>
      </c>
      <c r="G241" s="18">
        <v>168</v>
      </c>
      <c r="H241" s="18">
        <f>9901+1458</f>
        <v>11359</v>
      </c>
      <c r="I241" s="18"/>
      <c r="J241" s="18"/>
      <c r="K241" s="18">
        <f>554+2</f>
        <v>556</v>
      </c>
      <c r="L241" s="13">
        <f t="shared" si="4"/>
        <v>12235</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21080</v>
      </c>
      <c r="I245" s="18"/>
      <c r="J245" s="18"/>
      <c r="K245" s="18"/>
      <c r="L245" s="13">
        <f t="shared" si="4"/>
        <v>21080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152</v>
      </c>
      <c r="G248" s="38">
        <f t="shared" si="5"/>
        <v>168</v>
      </c>
      <c r="H248" s="38">
        <f t="shared" si="5"/>
        <v>294279</v>
      </c>
      <c r="I248" s="38">
        <f t="shared" si="5"/>
        <v>0</v>
      </c>
      <c r="J248" s="38">
        <f t="shared" si="5"/>
        <v>0</v>
      </c>
      <c r="K248" s="38">
        <f t="shared" si="5"/>
        <v>556</v>
      </c>
      <c r="L248" s="38">
        <f t="shared" si="5"/>
        <v>295155</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399</v>
      </c>
      <c r="G258" s="38">
        <f t="shared" si="8"/>
        <v>431</v>
      </c>
      <c r="H258" s="38">
        <f t="shared" si="8"/>
        <v>652053</v>
      </c>
      <c r="I258" s="38">
        <f t="shared" si="8"/>
        <v>540</v>
      </c>
      <c r="J258" s="38">
        <f t="shared" si="8"/>
        <v>100</v>
      </c>
      <c r="K258" s="38">
        <f t="shared" si="8"/>
        <v>921</v>
      </c>
      <c r="L258" s="38">
        <f t="shared" si="8"/>
        <v>654444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65144</v>
      </c>
      <c r="L267" s="13">
        <f t="shared" si="9"/>
        <v>65144</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65144</v>
      </c>
      <c r="L271" s="38">
        <f t="shared" si="9"/>
        <v>65144</v>
      </c>
      <c r="M271" s="8"/>
      <c r="N271" s="164"/>
    </row>
    <row r="272" spans="1:14" s="33" customFormat="1" ht="12.2" customHeight="1" thickTop="1" x14ac:dyDescent="0.2">
      <c r="A272" s="40" t="s">
        <v>464</v>
      </c>
      <c r="B272" s="37">
        <v>10</v>
      </c>
      <c r="C272" s="37">
        <v>18</v>
      </c>
      <c r="D272" s="36" t="s">
        <v>431</v>
      </c>
      <c r="E272" s="37"/>
      <c r="F272" s="39">
        <f t="shared" ref="F272:L272" si="11">F258+F271</f>
        <v>399</v>
      </c>
      <c r="G272" s="39">
        <f t="shared" si="11"/>
        <v>431</v>
      </c>
      <c r="H272" s="39">
        <f t="shared" si="11"/>
        <v>652053</v>
      </c>
      <c r="I272" s="39">
        <f t="shared" si="11"/>
        <v>540</v>
      </c>
      <c r="J272" s="39">
        <f t="shared" si="11"/>
        <v>100</v>
      </c>
      <c r="K272" s="39">
        <f t="shared" si="11"/>
        <v>66065</v>
      </c>
      <c r="L272" s="39">
        <f t="shared" si="11"/>
        <v>719588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v>5328</v>
      </c>
      <c r="I282" s="18"/>
      <c r="J282" s="18"/>
      <c r="K282" s="18"/>
      <c r="L282" s="13">
        <f t="shared" ref="L282:L288" si="12">SUM(F282:K282)</f>
        <v>5328</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5328</v>
      </c>
      <c r="I291" s="39">
        <f t="shared" si="13"/>
        <v>0</v>
      </c>
      <c r="J291" s="39">
        <f t="shared" si="13"/>
        <v>0</v>
      </c>
      <c r="K291" s="39">
        <f t="shared" si="13"/>
        <v>0</v>
      </c>
      <c r="L291" s="38">
        <f t="shared" si="13"/>
        <v>5328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5328</v>
      </c>
      <c r="I339" s="38">
        <f t="shared" si="20"/>
        <v>0</v>
      </c>
      <c r="J339" s="38">
        <f t="shared" si="20"/>
        <v>0</v>
      </c>
      <c r="K339" s="38">
        <f t="shared" si="20"/>
        <v>0</v>
      </c>
      <c r="L339" s="38">
        <f t="shared" si="20"/>
        <v>5328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5328</v>
      </c>
      <c r="I353" s="38">
        <f>I339</f>
        <v>0</v>
      </c>
      <c r="J353" s="38">
        <f>J339</f>
        <v>0</v>
      </c>
      <c r="K353" s="38">
        <f>K339+K352</f>
        <v>0</v>
      </c>
      <c r="L353" s="38">
        <f>L339+L352</f>
        <v>5328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65144</v>
      </c>
      <c r="H401" s="18">
        <f>14526+1</f>
        <v>14527</v>
      </c>
      <c r="I401" s="18"/>
      <c r="J401" s="23" t="s">
        <v>288</v>
      </c>
      <c r="K401" s="23" t="s">
        <v>288</v>
      </c>
      <c r="L401" s="13">
        <f t="shared" si="26"/>
        <v>79671</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65144</v>
      </c>
      <c r="H402" s="38">
        <f>SUM(H396:H401)</f>
        <v>14527</v>
      </c>
      <c r="I402" s="38">
        <f>SUM(I396:I401)</f>
        <v>0</v>
      </c>
      <c r="J402" s="42" t="s">
        <v>288</v>
      </c>
      <c r="K402" s="42" t="s">
        <v>288</v>
      </c>
      <c r="L402" s="38">
        <f>SUM(L396:L401)</f>
        <v>79671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65144</v>
      </c>
      <c r="H409" s="38">
        <f>H394+H402+H408</f>
        <v>14527</v>
      </c>
      <c r="I409" s="38">
        <f>I394+I402+I408</f>
        <v>0</v>
      </c>
      <c r="J409" s="23" t="s">
        <v>288</v>
      </c>
      <c r="K409" s="23" t="s">
        <v>288</v>
      </c>
      <c r="L409" s="38">
        <f>L394+L402+L408</f>
        <v>79671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v>28553</v>
      </c>
      <c r="L427" s="13">
        <f t="shared" si="29"/>
        <v>28553</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28553</v>
      </c>
      <c r="L428" s="38">
        <f t="shared" si="30"/>
        <v>28553</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28553</v>
      </c>
      <c r="L435" s="38">
        <f t="shared" si="32"/>
        <v>28553</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297358</v>
      </c>
      <c r="H441" s="18"/>
      <c r="I441" s="13">
        <f t="shared" si="33"/>
        <v>297358</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297358</v>
      </c>
      <c r="H447" s="13">
        <f>SUM(H440:H446)</f>
        <v>0</v>
      </c>
      <c r="I447" s="13">
        <f>SUM(I440:I446)</f>
        <v>297358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v>28553</v>
      </c>
      <c r="H451" s="18"/>
      <c r="I451" s="13">
        <f>SUM(F451:H451)</f>
        <v>28553</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28553</v>
      </c>
      <c r="H453" s="57">
        <f>SUM(H449:H452)</f>
        <v>0</v>
      </c>
      <c r="I453" s="57">
        <f>SUM(I449:I452)</f>
        <v>28553</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217688+79671-28553-1</f>
        <v>268805</v>
      </c>
      <c r="H460" s="18"/>
      <c r="I460" s="13">
        <f t="shared" si="34"/>
        <v>268805</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268805</v>
      </c>
      <c r="H461" s="65">
        <f>SUM(H455:H460)</f>
        <v>0</v>
      </c>
      <c r="I461" s="65">
        <f>SUM(I455:I460)</f>
        <v>268805</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297358</v>
      </c>
      <c r="H462" s="39">
        <f>H453+H461</f>
        <v>0</v>
      </c>
      <c r="I462" s="39">
        <f>I453+I461</f>
        <v>297358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65144</v>
      </c>
      <c r="G466" s="18"/>
      <c r="H466" s="18">
        <v>0</v>
      </c>
      <c r="I466" s="18"/>
      <c r="J466" s="18">
        <f>217688-1</f>
        <v>217687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654444</v>
      </c>
      <c r="G469" s="18"/>
      <c r="H469" s="18">
        <v>5328</v>
      </c>
      <c r="I469" s="18"/>
      <c r="J469" s="18">
        <v>79671</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654444</v>
      </c>
      <c r="G471" s="19">
        <f>SUM(G469:G470)</f>
        <v>0</v>
      </c>
      <c r="H471" s="19">
        <f>SUM(H469:H470)</f>
        <v>5328</v>
      </c>
      <c r="I471" s="19">
        <f>SUM(I469:I470)</f>
        <v>0</v>
      </c>
      <c r="J471" s="19">
        <f>SUM(J469:J470)</f>
        <v>79671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719588</v>
      </c>
      <c r="G473" s="18"/>
      <c r="H473" s="18">
        <v>5328</v>
      </c>
      <c r="I473" s="18"/>
      <c r="J473" s="18">
        <v>28553</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719588</v>
      </c>
      <c r="G475" s="19">
        <f>SUM(G473:G474)</f>
        <v>0</v>
      </c>
      <c r="H475" s="19">
        <f>SUM(H473:H474)</f>
        <v>5328</v>
      </c>
      <c r="I475" s="19">
        <f>SUM(I473:I474)</f>
        <v>0</v>
      </c>
      <c r="J475" s="19">
        <f>SUM(J473:J474)</f>
        <v>28553</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0</v>
      </c>
      <c r="G477" s="19">
        <f>(G466+G471)- G475</f>
        <v>0</v>
      </c>
      <c r="H477" s="19">
        <f>(H466+H471)- H475</f>
        <v>0</v>
      </c>
      <c r="I477" s="19">
        <f>(I466+I471)- I475</f>
        <v>0</v>
      </c>
      <c r="J477" s="19">
        <f>(J466+J471)- J475</f>
        <v>268805</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v>82236</v>
      </c>
      <c r="I522" s="18"/>
      <c r="J522" s="18"/>
      <c r="K522" s="18"/>
      <c r="L522" s="69">
        <f>SUM(F522:K522)</f>
        <v>82236</v>
      </c>
      <c r="N522" s="130"/>
    </row>
    <row r="523" spans="1:14" ht="12.2" customHeight="1" x14ac:dyDescent="0.2">
      <c r="A523" s="21" t="s">
        <v>634</v>
      </c>
      <c r="B523" s="22">
        <v>21</v>
      </c>
      <c r="C523" s="22">
        <v>2</v>
      </c>
      <c r="D523" s="2" t="s">
        <v>432</v>
      </c>
      <c r="E523" s="22"/>
      <c r="F523" s="18"/>
      <c r="G523" s="18"/>
      <c r="H523" s="18">
        <v>52727</v>
      </c>
      <c r="I523" s="18"/>
      <c r="J523" s="18">
        <v>100</v>
      </c>
      <c r="K523" s="18"/>
      <c r="L523" s="69">
        <f>SUM(F523:K523)</f>
        <v>52827</v>
      </c>
      <c r="N523" s="130"/>
    </row>
    <row r="524" spans="1:14" ht="12.2" customHeight="1" thickBot="1" x14ac:dyDescent="0.25">
      <c r="A524" s="21" t="s">
        <v>635</v>
      </c>
      <c r="B524" s="22">
        <v>21</v>
      </c>
      <c r="C524" s="22">
        <v>3</v>
      </c>
      <c r="D524" s="2" t="s">
        <v>432</v>
      </c>
      <c r="E524" s="22"/>
      <c r="F524" s="18"/>
      <c r="G524" s="18"/>
      <c r="H524" s="18">
        <f>109445</f>
        <v>109445</v>
      </c>
      <c r="I524" s="18"/>
      <c r="J524" s="18"/>
      <c r="K524" s="18"/>
      <c r="L524" s="69">
        <f>SUM(F524:K524)</f>
        <v>109445</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244408</v>
      </c>
      <c r="I525" s="81">
        <f t="shared" si="36"/>
        <v>0</v>
      </c>
      <c r="J525" s="81">
        <f t="shared" si="36"/>
        <v>100</v>
      </c>
      <c r="K525" s="81">
        <f t="shared" si="36"/>
        <v>0</v>
      </c>
      <c r="L525" s="70">
        <f t="shared" si="36"/>
        <v>244508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v>21223</v>
      </c>
      <c r="I527" s="18"/>
      <c r="J527" s="18"/>
      <c r="K527" s="18"/>
      <c r="L527" s="69">
        <f>SUM(F527:K527)</f>
        <v>21223</v>
      </c>
      <c r="M527" s="8"/>
      <c r="N527" s="164"/>
    </row>
    <row r="528" spans="1:14" s="3" customFormat="1" ht="12.2" customHeight="1" x14ac:dyDescent="0.15">
      <c r="A528" s="21" t="s">
        <v>634</v>
      </c>
      <c r="B528" s="22">
        <v>21</v>
      </c>
      <c r="C528" s="22">
        <v>6</v>
      </c>
      <c r="D528" s="2" t="s">
        <v>432</v>
      </c>
      <c r="E528" s="22"/>
      <c r="F528" s="18"/>
      <c r="G528" s="18"/>
      <c r="H528" s="18">
        <v>3279</v>
      </c>
      <c r="I528" s="18"/>
      <c r="J528" s="18"/>
      <c r="K528" s="18"/>
      <c r="L528" s="69">
        <f>SUM(F528:K528)</f>
        <v>3279</v>
      </c>
      <c r="M528" s="8"/>
      <c r="N528" s="164"/>
    </row>
    <row r="529" spans="1:14" s="3" customFormat="1" ht="12.2" customHeight="1" thickBot="1" x14ac:dyDescent="0.2">
      <c r="A529" s="21" t="s">
        <v>635</v>
      </c>
      <c r="B529" s="22">
        <v>21</v>
      </c>
      <c r="C529" s="22">
        <v>7</v>
      </c>
      <c r="D529" s="2" t="s">
        <v>432</v>
      </c>
      <c r="E529" s="22"/>
      <c r="F529" s="18"/>
      <c r="G529" s="18"/>
      <c r="H529" s="18">
        <v>981</v>
      </c>
      <c r="I529" s="18"/>
      <c r="J529" s="18"/>
      <c r="K529" s="18"/>
      <c r="L529" s="69">
        <f>SUM(F529:K529)</f>
        <v>981</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25483</v>
      </c>
      <c r="I530" s="70">
        <f t="shared" si="37"/>
        <v>0</v>
      </c>
      <c r="J530" s="70">
        <f t="shared" si="37"/>
        <v>0</v>
      </c>
      <c r="K530" s="70">
        <f t="shared" si="37"/>
        <v>0</v>
      </c>
      <c r="L530" s="70">
        <f t="shared" si="37"/>
        <v>25483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f>2259</f>
        <v>2259</v>
      </c>
      <c r="I532" s="18"/>
      <c r="J532" s="18"/>
      <c r="K532" s="18"/>
      <c r="L532" s="69">
        <f>SUM(F532:K532)</f>
        <v>2259</v>
      </c>
      <c r="M532" s="8"/>
      <c r="N532" s="164"/>
    </row>
    <row r="533" spans="1:14" s="3" customFormat="1" ht="12.2" customHeight="1" x14ac:dyDescent="0.15">
      <c r="A533" s="21" t="s">
        <v>634</v>
      </c>
      <c r="B533" s="22">
        <v>21</v>
      </c>
      <c r="C533" s="22">
        <v>10</v>
      </c>
      <c r="D533" s="2" t="s">
        <v>432</v>
      </c>
      <c r="E533" s="22"/>
      <c r="F533" s="18"/>
      <c r="G533" s="18"/>
      <c r="H533" s="18">
        <v>1527</v>
      </c>
      <c r="I533" s="18"/>
      <c r="J533" s="18"/>
      <c r="K533" s="18"/>
      <c r="L533" s="69">
        <f>SUM(F533:K533)</f>
        <v>1527</v>
      </c>
      <c r="M533" s="8"/>
      <c r="N533" s="164"/>
    </row>
    <row r="534" spans="1:14" s="3" customFormat="1" ht="12.2" customHeight="1" thickBot="1" x14ac:dyDescent="0.2">
      <c r="A534" s="21" t="s">
        <v>635</v>
      </c>
      <c r="B534" s="22">
        <v>21</v>
      </c>
      <c r="C534" s="22">
        <v>11</v>
      </c>
      <c r="D534" s="2" t="s">
        <v>432</v>
      </c>
      <c r="E534" s="22"/>
      <c r="F534" s="18"/>
      <c r="G534" s="18"/>
      <c r="H534" s="18">
        <v>2320</v>
      </c>
      <c r="I534" s="18"/>
      <c r="J534" s="18"/>
      <c r="K534" s="18"/>
      <c r="L534" s="69">
        <f>SUM(F534:K534)</f>
        <v>2320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6106</v>
      </c>
      <c r="I535" s="70">
        <f t="shared" si="38"/>
        <v>0</v>
      </c>
      <c r="J535" s="70">
        <f t="shared" si="38"/>
        <v>0</v>
      </c>
      <c r="K535" s="70">
        <f t="shared" si="38"/>
        <v>0</v>
      </c>
      <c r="L535" s="70">
        <f t="shared" si="38"/>
        <v>6106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591</v>
      </c>
      <c r="I542" s="18"/>
      <c r="J542" s="18"/>
      <c r="K542" s="18"/>
      <c r="L542" s="69">
        <f>SUM(F542:K542)</f>
        <v>591</v>
      </c>
      <c r="M542" s="8"/>
      <c r="N542" s="164"/>
    </row>
    <row r="543" spans="1:14" s="3" customFormat="1" ht="12.2" customHeight="1" x14ac:dyDescent="0.15">
      <c r="A543" s="21" t="s">
        <v>634</v>
      </c>
      <c r="B543" s="22">
        <v>21</v>
      </c>
      <c r="C543" s="22">
        <v>18</v>
      </c>
      <c r="D543" s="2" t="s">
        <v>432</v>
      </c>
      <c r="E543" s="22"/>
      <c r="F543" s="18"/>
      <c r="G543" s="18"/>
      <c r="H543" s="18">
        <v>0</v>
      </c>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6491</v>
      </c>
      <c r="I544" s="18"/>
      <c r="J544" s="18"/>
      <c r="K544" s="18"/>
      <c r="L544" s="69">
        <f>SUM(F544:K544)</f>
        <v>6491</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7082</v>
      </c>
      <c r="I545" s="140">
        <f t="shared" si="40"/>
        <v>0</v>
      </c>
      <c r="J545" s="140">
        <f t="shared" si="40"/>
        <v>0</v>
      </c>
      <c r="K545" s="140">
        <f t="shared" si="40"/>
        <v>0</v>
      </c>
      <c r="L545" s="140">
        <f t="shared" si="40"/>
        <v>7082</v>
      </c>
      <c r="M545" s="8"/>
      <c r="N545" s="164"/>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283079</v>
      </c>
      <c r="I546" s="70">
        <f t="shared" si="41"/>
        <v>0</v>
      </c>
      <c r="J546" s="70">
        <f t="shared" si="41"/>
        <v>100</v>
      </c>
      <c r="K546" s="70">
        <f t="shared" si="41"/>
        <v>0</v>
      </c>
      <c r="L546" s="70">
        <f t="shared" si="41"/>
        <v>283179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82236</v>
      </c>
      <c r="G550" s="69">
        <f>L527</f>
        <v>21223</v>
      </c>
      <c r="H550" s="69">
        <f>L532</f>
        <v>2259</v>
      </c>
      <c r="I550" s="69">
        <f>L537</f>
        <v>0</v>
      </c>
      <c r="J550" s="69">
        <f>L542</f>
        <v>591</v>
      </c>
      <c r="K550" s="69">
        <f>SUM(F550:J550)</f>
        <v>106309</v>
      </c>
      <c r="L550" s="23" t="s">
        <v>288</v>
      </c>
      <c r="M550" s="8"/>
      <c r="N550" s="164"/>
    </row>
    <row r="551" spans="1:14" s="3" customFormat="1" ht="12.2" customHeight="1" x14ac:dyDescent="0.15">
      <c r="A551" s="21" t="s">
        <v>634</v>
      </c>
      <c r="B551" s="22">
        <v>21</v>
      </c>
      <c r="C551" s="22">
        <v>23</v>
      </c>
      <c r="D551" s="2" t="s">
        <v>432</v>
      </c>
      <c r="E551" s="22"/>
      <c r="F551" s="69">
        <f>L523</f>
        <v>52827</v>
      </c>
      <c r="G551" s="69">
        <f>L528</f>
        <v>3279</v>
      </c>
      <c r="H551" s="69">
        <f>L533</f>
        <v>1527</v>
      </c>
      <c r="I551" s="69">
        <f>L538</f>
        <v>0</v>
      </c>
      <c r="J551" s="69">
        <f>L543</f>
        <v>0</v>
      </c>
      <c r="K551" s="69">
        <f>SUM(F551:J551)</f>
        <v>57633</v>
      </c>
      <c r="L551" s="23" t="s">
        <v>288</v>
      </c>
      <c r="M551" s="8"/>
      <c r="N551" s="164"/>
    </row>
    <row r="552" spans="1:14" s="3" customFormat="1" ht="12.2" customHeight="1" thickBot="1" x14ac:dyDescent="0.2">
      <c r="A552" s="21" t="s">
        <v>635</v>
      </c>
      <c r="B552" s="22">
        <v>21</v>
      </c>
      <c r="C552" s="22">
        <v>24</v>
      </c>
      <c r="D552" s="2" t="s">
        <v>432</v>
      </c>
      <c r="E552" s="22"/>
      <c r="F552" s="69">
        <f>L524</f>
        <v>109445</v>
      </c>
      <c r="G552" s="69">
        <f>L529</f>
        <v>981</v>
      </c>
      <c r="H552" s="69">
        <f>L534</f>
        <v>2320</v>
      </c>
      <c r="I552" s="69">
        <f>L539</f>
        <v>0</v>
      </c>
      <c r="J552" s="69">
        <f>L544</f>
        <v>6491</v>
      </c>
      <c r="K552" s="69">
        <f>SUM(F552:J552)</f>
        <v>119237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244508</v>
      </c>
      <c r="G553" s="70">
        <f t="shared" si="42"/>
        <v>25483</v>
      </c>
      <c r="H553" s="70">
        <f t="shared" si="42"/>
        <v>6106</v>
      </c>
      <c r="I553" s="70">
        <f t="shared" si="42"/>
        <v>0</v>
      </c>
      <c r="J553" s="70">
        <f t="shared" si="42"/>
        <v>7082</v>
      </c>
      <c r="K553" s="70">
        <f t="shared" si="42"/>
        <v>283179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58097</v>
      </c>
      <c r="G576" s="18">
        <v>98216</v>
      </c>
      <c r="H576" s="18">
        <v>135206</v>
      </c>
      <c r="I576" s="69">
        <f>SUM(F576:H576)</f>
        <v>291519</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68061</v>
      </c>
      <c r="G580" s="18">
        <v>29621</v>
      </c>
      <c r="H580" s="18"/>
      <c r="I580" s="69">
        <f t="shared" si="47"/>
        <v>97682</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v>23106</v>
      </c>
      <c r="H583" s="18">
        <v>46212</v>
      </c>
      <c r="I583" s="69">
        <f t="shared" si="47"/>
        <v>69318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v>11031</v>
      </c>
      <c r="I586" s="69">
        <f t="shared" si="47"/>
        <v>11031</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126158</v>
      </c>
      <c r="G589" s="79">
        <f t="shared" ref="G589:I589" si="48">SUM(G576:G588)</f>
        <v>150943</v>
      </c>
      <c r="H589" s="79">
        <f t="shared" si="48"/>
        <v>192449</v>
      </c>
      <c r="I589" s="79">
        <f t="shared" si="48"/>
        <v>469550</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13574</v>
      </c>
      <c r="I592" s="18">
        <v>9172</v>
      </c>
      <c r="J592" s="18">
        <v>13941</v>
      </c>
      <c r="K592" s="80">
        <f t="shared" ref="K592:K598" si="49">SUM(H592:J592)</f>
        <v>36687</v>
      </c>
      <c r="L592" s="23" t="s">
        <v>288</v>
      </c>
      <c r="M592" s="8"/>
      <c r="N592" s="164"/>
    </row>
    <row r="593" spans="1:14" s="3" customFormat="1" ht="12.2" customHeight="1" x14ac:dyDescent="0.15">
      <c r="A593" s="3" t="s">
        <v>638</v>
      </c>
      <c r="B593" s="22">
        <v>23</v>
      </c>
      <c r="C593" s="22">
        <v>2</v>
      </c>
      <c r="D593" s="2" t="s">
        <v>432</v>
      </c>
      <c r="E593" s="22"/>
      <c r="F593" s="78">
        <v>2722</v>
      </c>
      <c r="G593" s="79" t="s">
        <v>97</v>
      </c>
      <c r="H593" s="18">
        <v>591</v>
      </c>
      <c r="I593" s="18"/>
      <c r="J593" s="18">
        <v>6491</v>
      </c>
      <c r="K593" s="80">
        <f t="shared" si="49"/>
        <v>7082</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f>647+1</f>
        <v>648</v>
      </c>
      <c r="K594" s="80">
        <f t="shared" si="49"/>
        <v>648</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14165</v>
      </c>
      <c r="I599" s="81">
        <f>SUM(I592:I598)</f>
        <v>9172</v>
      </c>
      <c r="J599" s="81">
        <f>SUM(J592:J598)</f>
        <v>21080</v>
      </c>
      <c r="K599" s="81">
        <f>SUM(K592:K598)</f>
        <v>44417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v>100</v>
      </c>
      <c r="J605" s="18"/>
      <c r="K605" s="80">
        <f>SUM(H605:J605)</f>
        <v>100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100</v>
      </c>
      <c r="J606" s="81">
        <f>SUM(J603:J605)</f>
        <v>0</v>
      </c>
      <c r="K606" s="81">
        <f>SUM(K603:K605)</f>
        <v>100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f>3724+1727</f>
        <v>5451</v>
      </c>
      <c r="I612" s="18"/>
      <c r="J612" s="18"/>
      <c r="K612" s="18"/>
      <c r="L612" s="69">
        <f>SUM(F612:K612)</f>
        <v>5451</v>
      </c>
      <c r="M612" s="8"/>
      <c r="N612" s="164"/>
    </row>
    <row r="613" spans="1:14" s="3" customFormat="1" ht="12.2" customHeight="1" x14ac:dyDescent="0.15">
      <c r="A613" s="21" t="s">
        <v>634</v>
      </c>
      <c r="B613" s="22">
        <v>23</v>
      </c>
      <c r="C613" s="22">
        <v>14</v>
      </c>
      <c r="D613" s="2" t="s">
        <v>432</v>
      </c>
      <c r="E613" s="22"/>
      <c r="F613" s="18"/>
      <c r="G613" s="18"/>
      <c r="H613" s="18">
        <v>5177</v>
      </c>
      <c r="I613" s="18"/>
      <c r="J613" s="18"/>
      <c r="K613" s="18"/>
      <c r="L613" s="69">
        <f>SUM(F613:K613)</f>
        <v>5177</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10628</v>
      </c>
      <c r="I615" s="81">
        <f t="shared" si="50"/>
        <v>0</v>
      </c>
      <c r="J615" s="81">
        <f t="shared" si="50"/>
        <v>0</v>
      </c>
      <c r="K615" s="81">
        <f t="shared" si="50"/>
        <v>0</v>
      </c>
      <c r="L615" s="70">
        <f t="shared" si="50"/>
        <v>10628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104854</v>
      </c>
      <c r="H618" s="80">
        <f>SUM(F52)</f>
        <v>104854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1108</v>
      </c>
      <c r="H620" s="80">
        <f>SUM(H52)</f>
        <v>1108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297358</v>
      </c>
      <c r="H622" s="80">
        <f>SUM(J52)</f>
        <v>297358</v>
      </c>
      <c r="I622" s="87" t="s">
        <v>875</v>
      </c>
      <c r="J622" s="80">
        <f>G622-H622</f>
        <v>0</v>
      </c>
      <c r="K622" s="80"/>
      <c r="L622" s="80"/>
      <c r="M622" s="8"/>
    </row>
    <row r="623" spans="1:14" s="3" customFormat="1" ht="12.2" customHeight="1" x14ac:dyDescent="0.15">
      <c r="A623" s="74"/>
      <c r="B623" s="22"/>
      <c r="C623" s="22"/>
      <c r="D623" s="22"/>
      <c r="E623" s="22"/>
      <c r="F623" s="87" t="s">
        <v>861</v>
      </c>
      <c r="G623" s="80">
        <f>F51</f>
        <v>0</v>
      </c>
      <c r="H623" s="80">
        <f>F477</f>
        <v>0</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268805</v>
      </c>
      <c r="H627" s="80">
        <f>J477</f>
        <v>268805</v>
      </c>
      <c r="I627" s="87" t="s">
        <v>105</v>
      </c>
      <c r="J627" s="80">
        <f t="shared" si="51"/>
        <v>0</v>
      </c>
      <c r="K627" s="67"/>
      <c r="L627" s="69"/>
      <c r="M627" s="8"/>
    </row>
    <row r="628" spans="1:13" s="3" customFormat="1" ht="12.2" customHeight="1" x14ac:dyDescent="0.15">
      <c r="A628" s="21"/>
      <c r="B628" s="22"/>
      <c r="C628" s="22"/>
      <c r="D628" s="22"/>
      <c r="E628" s="22"/>
      <c r="F628" s="86" t="s">
        <v>658</v>
      </c>
      <c r="G628" s="80">
        <f>F194</f>
        <v>654444</v>
      </c>
      <c r="H628" s="80">
        <f>SUM(F469)</f>
        <v>654444</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5328</v>
      </c>
      <c r="H630" s="80">
        <f>SUM(H469)</f>
        <v>5328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79671</v>
      </c>
      <c r="H632" s="80">
        <f>SUM(J469)</f>
        <v>79671</v>
      </c>
      <c r="I632" s="87" t="s">
        <v>110</v>
      </c>
      <c r="J632" s="80">
        <f>G632-H632</f>
        <v>0</v>
      </c>
      <c r="K632" s="67"/>
      <c r="L632" s="69"/>
      <c r="M632" s="8"/>
    </row>
    <row r="633" spans="1:13" s="3" customFormat="1" ht="12.2" customHeight="1" x14ac:dyDescent="0.15">
      <c r="A633" s="21"/>
      <c r="B633" s="22"/>
      <c r="C633" s="22"/>
      <c r="D633" s="22"/>
      <c r="E633" s="22"/>
      <c r="F633" s="86" t="s">
        <v>394</v>
      </c>
      <c r="G633" s="80">
        <f>SUM(L272)</f>
        <v>719588</v>
      </c>
      <c r="H633" s="80">
        <f>SUM(F473)</f>
        <v>719588</v>
      </c>
      <c r="I633" s="87" t="s">
        <v>111</v>
      </c>
      <c r="J633" s="80">
        <f t="shared" si="51"/>
        <v>0</v>
      </c>
      <c r="K633" s="67"/>
      <c r="L633" s="69"/>
      <c r="M633" s="8"/>
    </row>
    <row r="634" spans="1:13" s="3" customFormat="1" ht="12.2" customHeight="1" x14ac:dyDescent="0.15">
      <c r="A634" s="21"/>
      <c r="B634" s="22"/>
      <c r="C634" s="22"/>
      <c r="D634" s="22"/>
      <c r="E634" s="22"/>
      <c r="F634" s="86" t="s">
        <v>395</v>
      </c>
      <c r="G634" s="80">
        <f>SUM(L353)</f>
        <v>5328</v>
      </c>
      <c r="H634" s="80">
        <f>SUM(H473)</f>
        <v>5328</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79671</v>
      </c>
      <c r="H638" s="108">
        <f>SUM(J469)</f>
        <v>79671</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28553</v>
      </c>
      <c r="H639" s="108">
        <f>SUM(J473)</f>
        <v>28553</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297358</v>
      </c>
      <c r="H641" s="80">
        <f>SUM(G462)</f>
        <v>297358</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297358</v>
      </c>
      <c r="H643" s="80">
        <f>SUM(I462)</f>
        <v>297358</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14527</v>
      </c>
      <c r="H645" s="80">
        <f>H409</f>
        <v>14527</v>
      </c>
      <c r="I645" s="87" t="s">
        <v>480</v>
      </c>
      <c r="J645" s="80">
        <f t="shared" si="51"/>
        <v>0</v>
      </c>
      <c r="K645" s="67"/>
      <c r="L645" s="69"/>
      <c r="M645" s="8"/>
    </row>
    <row r="646" spans="1:13" s="3" customFormat="1" ht="12.2" customHeight="1" x14ac:dyDescent="0.15">
      <c r="A646" s="21"/>
      <c r="B646" s="22"/>
      <c r="C646" s="22"/>
      <c r="D646" s="22"/>
      <c r="E646" s="22"/>
      <c r="F646" s="86" t="s">
        <v>664</v>
      </c>
      <c r="G646" s="80">
        <f>J184</f>
        <v>65144</v>
      </c>
      <c r="H646" s="80">
        <f>G409</f>
        <v>65144</v>
      </c>
      <c r="I646" s="87" t="s">
        <v>481</v>
      </c>
      <c r="J646" s="80">
        <f t="shared" si="51"/>
        <v>0</v>
      </c>
      <c r="K646" s="67"/>
      <c r="L646" s="69"/>
      <c r="M646" s="8"/>
    </row>
    <row r="647" spans="1:13" s="3" customFormat="1" ht="12.2" customHeight="1" x14ac:dyDescent="0.15">
      <c r="A647" s="21"/>
      <c r="B647" s="22"/>
      <c r="C647" s="22"/>
      <c r="D647" s="22"/>
      <c r="E647" s="22"/>
      <c r="F647" s="86" t="s">
        <v>662</v>
      </c>
      <c r="G647" s="80">
        <f>J194</f>
        <v>79671</v>
      </c>
      <c r="H647" s="80">
        <f>L409</f>
        <v>79671</v>
      </c>
      <c r="I647" s="87" t="s">
        <v>477</v>
      </c>
      <c r="J647" s="80">
        <f t="shared" si="51"/>
        <v>0</v>
      </c>
      <c r="K647" s="67"/>
      <c r="L647" s="69"/>
      <c r="M647" s="8"/>
    </row>
    <row r="648" spans="1:13" s="3" customFormat="1" ht="12.2" customHeight="1" x14ac:dyDescent="0.15">
      <c r="A648" s="21"/>
      <c r="B648" s="22"/>
      <c r="C648" s="22"/>
      <c r="D648" s="22"/>
      <c r="E648" s="22"/>
      <c r="F648" s="86" t="s">
        <v>51</v>
      </c>
      <c r="G648" s="80">
        <f>K599</f>
        <v>44417</v>
      </c>
      <c r="H648" s="80">
        <f>L209+L227+L245</f>
        <v>44417</v>
      </c>
      <c r="I648" s="87" t="s">
        <v>396</v>
      </c>
      <c r="J648" s="80">
        <f t="shared" si="51"/>
        <v>0</v>
      </c>
      <c r="K648" s="67"/>
      <c r="L648" s="69"/>
      <c r="M648" s="8"/>
    </row>
    <row r="649" spans="1:13" s="3" customFormat="1" ht="12.2" customHeight="1" x14ac:dyDescent="0.15">
      <c r="A649" s="21"/>
      <c r="B649" s="22"/>
      <c r="C649" s="22"/>
      <c r="D649" s="22"/>
      <c r="E649" s="22"/>
      <c r="F649" s="86" t="s">
        <v>52</v>
      </c>
      <c r="G649" s="80">
        <f>K606</f>
        <v>100</v>
      </c>
      <c r="H649" s="80">
        <f>(J258+J339)-(J256+J337)</f>
        <v>100</v>
      </c>
      <c r="I649" s="87" t="s">
        <v>699</v>
      </c>
      <c r="J649" s="80">
        <f t="shared" si="51"/>
        <v>0</v>
      </c>
      <c r="K649" s="67"/>
      <c r="L649" s="69"/>
      <c r="M649" s="8"/>
    </row>
    <row r="650" spans="1:13" s="3" customFormat="1" ht="12.2" customHeight="1" x14ac:dyDescent="0.15">
      <c r="A650" s="21"/>
      <c r="B650" s="22"/>
      <c r="C650" s="22"/>
      <c r="D650" s="22"/>
      <c r="E650" s="22"/>
      <c r="F650" s="86" t="s">
        <v>387</v>
      </c>
      <c r="G650" s="80">
        <f>L209</f>
        <v>14165</v>
      </c>
      <c r="H650" s="80">
        <f>H599</f>
        <v>14165</v>
      </c>
      <c r="I650" s="87" t="s">
        <v>388</v>
      </c>
      <c r="J650" s="80">
        <f t="shared" si="51"/>
        <v>0</v>
      </c>
      <c r="K650" s="67"/>
      <c r="L650" s="69"/>
      <c r="M650" s="8"/>
    </row>
    <row r="651" spans="1:13" s="3" customFormat="1" ht="12.2" customHeight="1" x14ac:dyDescent="0.15">
      <c r="A651" s="21"/>
      <c r="B651" s="22"/>
      <c r="C651" s="22"/>
      <c r="D651" s="22"/>
      <c r="E651" s="22"/>
      <c r="F651" s="86" t="s">
        <v>392</v>
      </c>
      <c r="G651" s="80">
        <f>L227</f>
        <v>9172</v>
      </c>
      <c r="H651" s="80">
        <f>I599</f>
        <v>9172</v>
      </c>
      <c r="I651" s="87" t="s">
        <v>389</v>
      </c>
      <c r="J651" s="80">
        <f t="shared" si="51"/>
        <v>0</v>
      </c>
      <c r="K651" s="67"/>
      <c r="L651" s="69"/>
      <c r="M651" s="8"/>
    </row>
    <row r="652" spans="1:13" s="3" customFormat="1" ht="12.2" customHeight="1" x14ac:dyDescent="0.15">
      <c r="A652" s="21"/>
      <c r="B652" s="22"/>
      <c r="C652" s="22"/>
      <c r="D652" s="22"/>
      <c r="E652" s="22"/>
      <c r="F652" s="86" t="s">
        <v>393</v>
      </c>
      <c r="G652" s="80">
        <f>L245</f>
        <v>21080</v>
      </c>
      <c r="H652" s="80">
        <f>J599</f>
        <v>21080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65144</v>
      </c>
      <c r="H656" s="80">
        <f>K267+K348</f>
        <v>65144</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187593</v>
      </c>
      <c r="G661" s="13">
        <f>(L230+L310+L360)</f>
        <v>177024</v>
      </c>
      <c r="H661" s="13">
        <f>(L248+L329+L361)</f>
        <v>295155</v>
      </c>
      <c r="I661" s="13">
        <f>SUM(F661:H661)</f>
        <v>659772</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14165</v>
      </c>
      <c r="G663" s="13">
        <f>(L227+L307)-(J227+J307)</f>
        <v>9172</v>
      </c>
      <c r="H663" s="13">
        <f>(L245+L326)-(J245+J326)</f>
        <v>21080</v>
      </c>
      <c r="I663" s="13">
        <f>SUM(F663:H663)</f>
        <v>44417</v>
      </c>
      <c r="J663"/>
      <c r="K663" s="13"/>
      <c r="L663" s="13"/>
      <c r="M663" s="9"/>
    </row>
    <row r="664" spans="1:13" s="3" customFormat="1" ht="12.2" customHeight="1" x14ac:dyDescent="0.15">
      <c r="A664" s="141" t="s">
        <v>129</v>
      </c>
      <c r="B664" s="124"/>
      <c r="C664" s="124"/>
      <c r="D664" s="124"/>
      <c r="E664" s="124"/>
      <c r="F664" s="142">
        <f>SUM(F576:F588)+SUM(H603:H605)+SUM(L612)</f>
        <v>131609</v>
      </c>
      <c r="G664" s="142">
        <f>SUM(G576:G588)+SUM(I603:I605)+L613</f>
        <v>156220</v>
      </c>
      <c r="H664" s="142">
        <f>SUM(H576:H588)+SUM(J603:J605)+L614</f>
        <v>192449</v>
      </c>
      <c r="I664" s="13">
        <f>SUM(F664:H664)</f>
        <v>480278</v>
      </c>
      <c r="J664" s="13"/>
      <c r="K664" s="13"/>
      <c r="L664" s="13"/>
      <c r="M664" s="9"/>
    </row>
    <row r="665" spans="1:13" s="3" customFormat="1" ht="12.2" customHeight="1" x14ac:dyDescent="0.15">
      <c r="A665" s="1" t="s">
        <v>130</v>
      </c>
      <c r="F665" s="13">
        <f>F661-SUM(F662:F664)</f>
        <v>41819</v>
      </c>
      <c r="G665" s="13">
        <f>G661-SUM(G662:G664)</f>
        <v>11632</v>
      </c>
      <c r="H665" s="13">
        <f>H661-SUM(H662:H664)</f>
        <v>81626</v>
      </c>
      <c r="I665" s="13">
        <f>I661-SUM(I662:I664)</f>
        <v>135077</v>
      </c>
      <c r="J665" s="13"/>
      <c r="K665" s="13"/>
      <c r="L665" s="13"/>
      <c r="M665" s="8"/>
    </row>
    <row r="666" spans="1:13" s="3" customFormat="1" ht="12.2" customHeight="1" x14ac:dyDescent="0.2">
      <c r="A666" s="1" t="s">
        <v>131</v>
      </c>
      <c r="F666" s="182"/>
      <c r="G666" s="183"/>
      <c r="H666" s="183"/>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2">IF(AND(F666=0,F665&gt;0),F665*-1,"")</f>
        <v>-41819</v>
      </c>
      <c r="G670" s="73">
        <f t="shared" si="52"/>
        <v>-11632</v>
      </c>
      <c r="H670" s="73">
        <f t="shared" si="52"/>
        <v>-81626</v>
      </c>
      <c r="I670" s="13">
        <f>SUM(F670:H670)</f>
        <v>-135077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0</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0</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c r="C3" s="242"/>
      <c r="D3" s="242"/>
      <c r="E3" s="242"/>
      <c r="F3" s="242"/>
      <c r="G3" s="242"/>
      <c r="H3" s="242"/>
      <c r="I3" t="s">
        <v>1593</v>
      </c>
    </row>
    <row r="4" spans="1:9" x14ac:dyDescent="0.2">
      <c r="I4" t="s">
        <v>1594</v>
      </c>
    </row>
    <row r="5" spans="1:9" ht="15.75" x14ac:dyDescent="0.25">
      <c r="A5" s="238" t="s">
        <v>897</v>
      </c>
      <c r="B5" s="320" t="str">
        <f>'DOE25'!A2</f>
        <v>Benton</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6" zoomScale="140" zoomScaleNormal="140" workbookViewId="0">
      <selection activeCell="A42" sqref="A42"/>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Benton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0</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0</v>
      </c>
      <c r="C13" s="168">
        <f>SUM(C10:C12)</f>
        <v>0</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0" zoomScaleNormal="120" workbookViewId="0">
      <pane ySplit="4" topLeftCell="A17"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Benton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557687</v>
      </c>
      <c r="D5" s="19">
        <f>SUM('DOE25'!L198:L201)+SUM('DOE25'!L216:L219)+SUM('DOE25'!L234:L237)-F5-G5-H5</f>
        <v>557587</v>
      </c>
      <c r="E5" s="179"/>
      <c r="F5" s="180"/>
      <c r="G5" s="19">
        <f>SUM('DOE25'!J198:J201)+SUM('DOE25'!J216:J219)+SUM('DOE25'!J234:J237)</f>
        <v>100</v>
      </c>
      <c r="H5" s="19">
        <f>SUM('DOE25'!K198:K201)+SUM('DOE25'!K216:K219)+SUM('DOE25'!K234:K237)</f>
        <v>0</v>
      </c>
      <c r="I5" s="191"/>
    </row>
    <row r="6" spans="1:9" x14ac:dyDescent="0.2">
      <c r="A6" s="31">
        <v>2100</v>
      </c>
      <c r="B6" t="s">
        <v>793</v>
      </c>
      <c r="C6" s="205">
        <f t="shared" si="0"/>
        <v>20155</v>
      </c>
      <c r="D6" s="19">
        <f>'DOE25'!L203+'DOE25'!L221+'DOE25'!L239-F6-G6-H6</f>
        <v>20155</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26394</v>
      </c>
      <c r="D8" s="179"/>
      <c r="E8" s="19">
        <f>'DOE25'!L205+'DOE25'!L223+'DOE25'!L241-F8-G8-H8-D9-D11</f>
        <v>25473</v>
      </c>
      <c r="F8" s="180"/>
      <c r="G8" s="19">
        <f>'DOE25'!J205+'DOE25'!J223+'DOE25'!J241</f>
        <v>0</v>
      </c>
      <c r="H8" s="19">
        <f>'DOE25'!K205+'DOE25'!K223+'DOE25'!K241</f>
        <v>921</v>
      </c>
      <c r="I8" s="191"/>
    </row>
    <row r="9" spans="1:9" ht="14.25" x14ac:dyDescent="0.2">
      <c r="A9" s="31">
        <v>2310</v>
      </c>
      <c r="B9" s="71" t="s">
        <v>884</v>
      </c>
      <c r="C9" s="205">
        <f t="shared" si="0"/>
        <v>5791</v>
      </c>
      <c r="D9" s="180">
        <v>5791</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0</v>
      </c>
      <c r="D12" s="19">
        <f>'DOE25'!L206+'DOE25'!L224+'DOE25'!L242-F12-G12-H12</f>
        <v>0</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44417</v>
      </c>
      <c r="D15" s="19">
        <f>'DOE25'!L209+'DOE25'!L227+'DOE25'!L245-F15-G15-H15</f>
        <v>32729</v>
      </c>
      <c r="E15" s="179"/>
      <c r="F15" s="180">
        <f>36688-25000</f>
        <v>11688</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5328</v>
      </c>
      <c r="D31" s="19">
        <f>'DOE25'!L291+'DOE25'!L310+'DOE25'!L329+'DOE25'!L334+'DOE25'!L335+'DOE25'!L336-F31-G31-H31</f>
        <v>5328</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621590</v>
      </c>
      <c r="E33" s="181">
        <f t="shared" si="1"/>
        <v>25473</v>
      </c>
      <c r="F33" s="181">
        <f t="shared" si="1"/>
        <v>11688</v>
      </c>
      <c r="G33" s="181">
        <f t="shared" si="1"/>
        <v>100</v>
      </c>
      <c r="H33" s="181">
        <f t="shared" si="1"/>
        <v>921</v>
      </c>
      <c r="I33" s="181">
        <f t="shared" si="1"/>
        <v>0</v>
      </c>
    </row>
    <row r="34" spans="1:9" ht="12" thickBot="1" x14ac:dyDescent="0.25"/>
    <row r="35" spans="1:9" ht="12" thickBot="1" x14ac:dyDescent="0.25">
      <c r="B35" s="187" t="s">
        <v>827</v>
      </c>
      <c r="D35" s="188">
        <f>E33</f>
        <v>25473</v>
      </c>
      <c r="E35" s="184"/>
      <c r="F35" s="294" t="s">
        <v>1596</v>
      </c>
      <c r="G35" s="295"/>
      <c r="H35" s="295"/>
      <c r="I35" s="296"/>
    </row>
    <row r="36" spans="1:9" ht="12" thickTop="1" x14ac:dyDescent="0.2">
      <c r="B36" t="s">
        <v>807</v>
      </c>
      <c r="D36" s="19">
        <f>D33</f>
        <v>621590</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4" zoomScale="110" zoomScaleNormal="110" workbookViewId="0">
      <selection activeCell="A32" sqref="A3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Benton</v>
      </c>
      <c r="B2">
        <f>'DOE25'!B2</f>
        <v>47</v>
      </c>
      <c r="J2" s="223" t="s">
        <v>1799</v>
      </c>
      <c r="K2" s="308">
        <f>SUM('DOE25'!L198:L201)+SUM('DOE25'!L277:L280)</f>
        <v>140333</v>
      </c>
      <c r="L2" s="308">
        <f>'DOE25'!L203+'DOE25'!L282</f>
        <v>21223</v>
      </c>
      <c r="M2" s="308">
        <f>'DOE25'!L204+'DOE25'!L283</f>
        <v>0</v>
      </c>
      <c r="N2" s="308">
        <f>'DOE25'!L206+'DOE25'!L285</f>
        <v>0</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187593</v>
      </c>
      <c r="G4" s="228">
        <f>'DOE25'!L212+'DOE25'!L291</f>
        <v>187593</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182265</v>
      </c>
      <c r="E5" s="219">
        <v>5328</v>
      </c>
      <c r="F5" s="231">
        <f>D5+E5</f>
        <v>187593</v>
      </c>
      <c r="G5" s="222"/>
      <c r="H5" s="222"/>
      <c r="J5" s="71" t="s">
        <v>1840</v>
      </c>
      <c r="K5" s="20">
        <v>140333</v>
      </c>
      <c r="L5" s="20">
        <v>21223</v>
      </c>
      <c r="M5" s="20">
        <v>0</v>
      </c>
      <c r="N5" s="20">
        <v>0</v>
      </c>
      <c r="O5" s="20">
        <v>0</v>
      </c>
      <c r="P5" s="20">
        <v>0</v>
      </c>
      <c r="Q5" s="20">
        <v>0</v>
      </c>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182265</v>
      </c>
      <c r="E21" s="261">
        <f>SUM(E5:E20)</f>
        <v>5328</v>
      </c>
      <c r="F21" s="216"/>
      <c r="G21" s="216"/>
      <c r="H21" s="216"/>
      <c r="K21" s="262">
        <f t="shared" ref="K21:Q21" si="4">SUM(K5:K20)</f>
        <v>140333</v>
      </c>
      <c r="L21" s="262">
        <f t="shared" si="4"/>
        <v>21223</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156495</v>
      </c>
      <c r="L23" s="19">
        <f>'DOE25'!L221+'DOE25'!L301</f>
        <v>3279</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177024</v>
      </c>
      <c r="G25" s="228">
        <f>'DOE25'!L230+'DOE25'!L310</f>
        <v>177024</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177024</v>
      </c>
      <c r="E26" s="219">
        <v>0</v>
      </c>
      <c r="F26" s="231">
        <f>D26+E26</f>
        <v>177024</v>
      </c>
      <c r="G26" s="222"/>
      <c r="H26" s="222"/>
      <c r="J26" s="71" t="s">
        <v>1840</v>
      </c>
      <c r="K26" s="315">
        <v>156495</v>
      </c>
      <c r="L26" s="315">
        <v>3279</v>
      </c>
      <c r="M26" s="315">
        <v>0</v>
      </c>
      <c r="N26" s="315">
        <v>0</v>
      </c>
      <c r="O26" s="315">
        <v>0</v>
      </c>
      <c r="P26" s="315">
        <v>0</v>
      </c>
      <c r="Q26" s="315">
        <v>0</v>
      </c>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177024</v>
      </c>
      <c r="E34" s="261">
        <f>SUM(E26:E33)</f>
        <v>0</v>
      </c>
      <c r="F34" s="216"/>
      <c r="G34" s="216"/>
      <c r="H34" s="216"/>
      <c r="K34" s="262">
        <f t="shared" ref="K34:Q34" si="8">SUM(K26:K33)</f>
        <v>156495</v>
      </c>
      <c r="L34" s="262">
        <f t="shared" si="8"/>
        <v>3279</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260859</v>
      </c>
      <c r="L36" s="19">
        <f>'DOE25'!L239+'DOE25'!L320</f>
        <v>981</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295155</v>
      </c>
      <c r="G38" s="228">
        <f>'DOE25'!L248+'DOE25'!L329</f>
        <v>295155</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295155</v>
      </c>
      <c r="E39" s="219">
        <v>0</v>
      </c>
      <c r="F39" s="231">
        <f t="shared" ref="F39:F44" si="10">D39+E39</f>
        <v>295155</v>
      </c>
      <c r="G39" s="222"/>
      <c r="H39" s="222"/>
      <c r="J39" s="71" t="s">
        <v>1840</v>
      </c>
      <c r="K39" s="315">
        <v>260859</v>
      </c>
      <c r="L39" s="315">
        <v>981</v>
      </c>
      <c r="M39" s="315">
        <v>0</v>
      </c>
      <c r="N39" s="315">
        <v>0</v>
      </c>
      <c r="O39" s="315">
        <v>0</v>
      </c>
      <c r="P39" s="315">
        <v>0</v>
      </c>
      <c r="Q39" s="315">
        <v>0</v>
      </c>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295155</v>
      </c>
      <c r="E45" s="262">
        <f>SUM(E39:E44)</f>
        <v>0</v>
      </c>
      <c r="K45" s="262">
        <f t="shared" ref="K45:Q45" si="11">SUM(K39:K44)</f>
        <v>260859</v>
      </c>
      <c r="L45" s="262">
        <f t="shared" si="11"/>
        <v>981</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58"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Benton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67248</v>
      </c>
      <c r="D8" s="73">
        <f>'DOE25'!G9</f>
        <v>0</v>
      </c>
      <c r="E8" s="73">
        <f>'DOE25'!H9</f>
        <v>0</v>
      </c>
      <c r="F8" s="73">
        <f>'DOE25'!I9</f>
        <v>0</v>
      </c>
      <c r="G8" s="73">
        <f>'DOE25'!J9</f>
        <v>0</v>
      </c>
      <c r="H8" s="13">
        <f>SUM(C8:G8)</f>
        <v>67248</v>
      </c>
      <c r="I8" s="90"/>
    </row>
    <row r="9" spans="1:9" x14ac:dyDescent="0.2">
      <c r="A9" s="1" t="s">
        <v>140</v>
      </c>
      <c r="B9" s="6">
        <v>110</v>
      </c>
      <c r="C9" s="73">
        <f>'DOE25'!F10</f>
        <v>0</v>
      </c>
      <c r="D9" s="73">
        <f>'DOE25'!G10</f>
        <v>0</v>
      </c>
      <c r="E9" s="73">
        <f>'DOE25'!H10</f>
        <v>0</v>
      </c>
      <c r="F9" s="73">
        <f>'DOE25'!I10</f>
        <v>0</v>
      </c>
      <c r="G9" s="73">
        <f>'DOE25'!J10</f>
        <v>297358</v>
      </c>
      <c r="H9" s="13">
        <f t="shared" ref="H9:H18" si="0">SUM(C9:G9)</f>
        <v>297358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1108</v>
      </c>
      <c r="D11" s="73">
        <f>'DOE25'!G12</f>
        <v>0</v>
      </c>
      <c r="E11" s="73">
        <f>'DOE25'!H12</f>
        <v>0</v>
      </c>
      <c r="F11" s="73">
        <f>'DOE25'!I12</f>
        <v>0</v>
      </c>
      <c r="G11" s="73">
        <f>'DOE25'!J12</f>
        <v>0</v>
      </c>
      <c r="H11" s="13">
        <f t="shared" si="0"/>
        <v>1108</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36498</v>
      </c>
      <c r="D13" s="73">
        <f>'DOE25'!G14</f>
        <v>0</v>
      </c>
      <c r="E13" s="73">
        <f>'DOE25'!H14</f>
        <v>1108</v>
      </c>
      <c r="F13" s="73">
        <f>'DOE25'!I14</f>
        <v>0</v>
      </c>
      <c r="G13" s="73">
        <f>'DOE25'!J14</f>
        <v>0</v>
      </c>
      <c r="H13" s="13">
        <f t="shared" si="0"/>
        <v>37606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104854</v>
      </c>
      <c r="D18" s="38">
        <f>SUM(D8:D17)</f>
        <v>0</v>
      </c>
      <c r="E18" s="38">
        <f>SUM(E8:E17)</f>
        <v>1108</v>
      </c>
      <c r="F18" s="38">
        <f>SUM(F8:F17)</f>
        <v>0</v>
      </c>
      <c r="G18" s="38">
        <f>SUM(G8:G17)</f>
        <v>297358</v>
      </c>
      <c r="H18" s="38">
        <f t="shared" si="0"/>
        <v>403320</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1108</v>
      </c>
      <c r="F21" s="73">
        <f>'DOE25'!I22</f>
        <v>0</v>
      </c>
      <c r="G21" s="73">
        <f>'DOE25'!J22</f>
        <v>0</v>
      </c>
      <c r="H21" s="13">
        <f t="shared" ref="H21:H31" si="1">SUM(C21:G21)</f>
        <v>1108</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104854</v>
      </c>
      <c r="D23" s="73">
        <f>'DOE25'!G24</f>
        <v>0</v>
      </c>
      <c r="E23" s="73">
        <f>'DOE25'!H24</f>
        <v>0</v>
      </c>
      <c r="F23" s="73">
        <f>'DOE25'!I24</f>
        <v>0</v>
      </c>
      <c r="G23" s="73">
        <f>'DOE25'!J24</f>
        <v>28553</v>
      </c>
      <c r="H23" s="13">
        <f t="shared" si="1"/>
        <v>133407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104854</v>
      </c>
      <c r="D31" s="38">
        <f>SUM(D21:D30)</f>
        <v>0</v>
      </c>
      <c r="E31" s="38">
        <f>SUM(E21:E30)</f>
        <v>1108</v>
      </c>
      <c r="F31" s="38">
        <f>SUM(F21:F30)</f>
        <v>0</v>
      </c>
      <c r="G31" s="38">
        <f>SUM(G21:G30)</f>
        <v>28553</v>
      </c>
      <c r="H31" s="38">
        <f t="shared" si="1"/>
        <v>134515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268805</v>
      </c>
      <c r="H47" s="13">
        <f t="shared" si="2"/>
        <v>268805</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0</v>
      </c>
      <c r="D50" s="38">
        <f>SUM(D34:D49)</f>
        <v>0</v>
      </c>
      <c r="E50" s="38">
        <f>SUM(E34:E49)</f>
        <v>0</v>
      </c>
      <c r="F50" s="38">
        <f>SUM(F34:F49)</f>
        <v>0</v>
      </c>
      <c r="G50" s="38">
        <f>SUM(G34:G49)</f>
        <v>268805</v>
      </c>
      <c r="H50" s="38">
        <f t="shared" si="2"/>
        <v>268805</v>
      </c>
      <c r="I50" s="90"/>
    </row>
    <row r="51" spans="1:9" ht="12" thickTop="1" x14ac:dyDescent="0.2">
      <c r="A51" s="35" t="s">
        <v>881</v>
      </c>
      <c r="B51" s="2"/>
      <c r="C51" s="38">
        <f>C50+C31</f>
        <v>104854</v>
      </c>
      <c r="D51" s="38">
        <f>D50+D31</f>
        <v>0</v>
      </c>
      <c r="E51" s="38">
        <f>E50+E31</f>
        <v>1108</v>
      </c>
      <c r="F51" s="38">
        <f>F50+F31</f>
        <v>0</v>
      </c>
      <c r="G51" s="38">
        <f>G50+G31</f>
        <v>297358</v>
      </c>
      <c r="H51" s="38">
        <f t="shared" si="2"/>
        <v>403320</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375019</v>
      </c>
      <c r="D56" s="73">
        <f>'DOE25'!G60</f>
        <v>0</v>
      </c>
      <c r="E56" s="73">
        <f>'DOE25'!H60</f>
        <v>0</v>
      </c>
      <c r="F56" s="73">
        <f>'DOE25'!I60</f>
        <v>0</v>
      </c>
      <c r="G56" s="73">
        <f>'DOE25'!J60</f>
        <v>0</v>
      </c>
      <c r="H56" s="13">
        <f t="shared" ref="H56:H63" si="3">SUM(C56:G56)</f>
        <v>375019</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14527</v>
      </c>
      <c r="H59" s="13">
        <f t="shared" si="3"/>
        <v>14527</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0</v>
      </c>
      <c r="D62" s="93">
        <f>SUM(D57:D61)</f>
        <v>0</v>
      </c>
      <c r="E62" s="93">
        <f>SUM(E57:E61)</f>
        <v>0</v>
      </c>
      <c r="F62" s="93">
        <f>SUM(F57:F61)</f>
        <v>0</v>
      </c>
      <c r="G62" s="93">
        <f>SUM(G57:G61)</f>
        <v>14527</v>
      </c>
      <c r="H62" s="13">
        <f t="shared" si="3"/>
        <v>14527</v>
      </c>
      <c r="I62"/>
    </row>
    <row r="63" spans="1:9" ht="12" thickTop="1" x14ac:dyDescent="0.2">
      <c r="A63" s="28" t="s">
        <v>175</v>
      </c>
      <c r="B63" s="6"/>
      <c r="C63" s="21">
        <f>C56+C62</f>
        <v>375019</v>
      </c>
      <c r="D63" s="21">
        <f>D56+D62</f>
        <v>0</v>
      </c>
      <c r="E63" s="21">
        <f>E56+E62</f>
        <v>0</v>
      </c>
      <c r="F63" s="21">
        <f>F56+F62</f>
        <v>0</v>
      </c>
      <c r="G63" s="21">
        <f>G56+G62</f>
        <v>14527</v>
      </c>
      <c r="H63" s="13">
        <f t="shared" si="3"/>
        <v>389546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145055</v>
      </c>
      <c r="D66" s="23" t="s">
        <v>288</v>
      </c>
      <c r="E66" s="23" t="s">
        <v>288</v>
      </c>
      <c r="F66" s="23" t="s">
        <v>288</v>
      </c>
      <c r="G66" s="23" t="s">
        <v>288</v>
      </c>
      <c r="H66" s="13">
        <f t="shared" ref="H66:H81" si="4">SUM(C66:G66)</f>
        <v>145055</v>
      </c>
      <c r="I66"/>
    </row>
    <row r="67" spans="1:9" x14ac:dyDescent="0.2">
      <c r="A67" s="1" t="s">
        <v>767</v>
      </c>
      <c r="B67" s="6">
        <v>3112</v>
      </c>
      <c r="C67" s="73">
        <f>'DOE25'!F118</f>
        <v>47739</v>
      </c>
      <c r="D67" s="23"/>
      <c r="E67" s="23"/>
      <c r="F67" s="23"/>
      <c r="G67" s="23"/>
      <c r="H67" s="13">
        <f t="shared" si="4"/>
        <v>47739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192794</v>
      </c>
      <c r="D70" s="97">
        <f>D69</f>
        <v>0</v>
      </c>
      <c r="E70" s="97">
        <f>E69</f>
        <v>0</v>
      </c>
      <c r="F70" s="97">
        <f>F69</f>
        <v>0</v>
      </c>
      <c r="G70" s="97">
        <f>G69</f>
        <v>0</v>
      </c>
      <c r="H70" s="13">
        <f t="shared" si="4"/>
        <v>192794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5418</v>
      </c>
      <c r="D75" s="23" t="s">
        <v>288</v>
      </c>
      <c r="E75" s="23" t="s">
        <v>288</v>
      </c>
      <c r="F75" s="23" t="s">
        <v>288</v>
      </c>
      <c r="G75" s="23" t="s">
        <v>288</v>
      </c>
      <c r="H75" s="13">
        <f t="shared" si="4"/>
        <v>5418</v>
      </c>
      <c r="I75"/>
    </row>
    <row r="76" spans="1:9" x14ac:dyDescent="0.2">
      <c r="A76" s="1" t="s">
        <v>257</v>
      </c>
      <c r="B76" s="6" t="s">
        <v>179</v>
      </c>
      <c r="C76" s="73">
        <f>SUM('DOE25'!F127:F130)</f>
        <v>3755</v>
      </c>
      <c r="D76" s="23" t="s">
        <v>288</v>
      </c>
      <c r="E76" s="73">
        <f>SUM('DOE25'!H127:H130)</f>
        <v>0</v>
      </c>
      <c r="F76" s="73">
        <f>SUM('DOE25'!I127:I130)</f>
        <v>0</v>
      </c>
      <c r="G76" s="23" t="s">
        <v>288</v>
      </c>
      <c r="H76" s="13">
        <f t="shared" si="4"/>
        <v>3755</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9173</v>
      </c>
      <c r="D78" s="93">
        <f>SUM(D72:D77)</f>
        <v>0</v>
      </c>
      <c r="E78" s="93">
        <f>SUM(E72:E77)</f>
        <v>0</v>
      </c>
      <c r="F78" s="93">
        <f>SUM(F72:F77)</f>
        <v>0</v>
      </c>
      <c r="G78" s="93">
        <f>SUM(G72:G77)</f>
        <v>0</v>
      </c>
      <c r="H78" s="13">
        <f t="shared" si="4"/>
        <v>9173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201967</v>
      </c>
      <c r="D81" s="93">
        <f>SUM(D79:D80)+D78+D70</f>
        <v>0</v>
      </c>
      <c r="E81" s="93">
        <f>SUM(E79:E80)+E78+E70</f>
        <v>0</v>
      </c>
      <c r="F81" s="93">
        <f>SUM(F79:F80)+F78+F70</f>
        <v>0</v>
      </c>
      <c r="G81" s="93">
        <f>SUM(G79:G80)+G78+G70</f>
        <v>0</v>
      </c>
      <c r="H81" s="93">
        <f t="shared" si="4"/>
        <v>201967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36949</v>
      </c>
      <c r="D88" s="252">
        <f>SUM('DOE25'!G153:G162)</f>
        <v>0</v>
      </c>
      <c r="E88" s="252">
        <f>SUM('DOE25'!H153:H162)</f>
        <v>5328</v>
      </c>
      <c r="F88" s="252">
        <f>SUM('DOE25'!I153:I162)</f>
        <v>0</v>
      </c>
      <c r="G88" s="23" t="s">
        <v>288</v>
      </c>
      <c r="H88" s="13">
        <f t="shared" si="5"/>
        <v>42277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11956</v>
      </c>
      <c r="D90" s="23" t="s">
        <v>288</v>
      </c>
      <c r="E90" s="23" t="s">
        <v>288</v>
      </c>
      <c r="F90" s="23" t="s">
        <v>288</v>
      </c>
      <c r="G90" s="23" t="s">
        <v>288</v>
      </c>
      <c r="H90" s="13">
        <f t="shared" si="5"/>
        <v>11956</v>
      </c>
    </row>
    <row r="91" spans="1:9" ht="12.75" thickTop="1" thickBot="1" x14ac:dyDescent="0.25">
      <c r="A91" s="32" t="s">
        <v>747</v>
      </c>
      <c r="C91" s="94">
        <f>SUM(C85:C90)</f>
        <v>48905</v>
      </c>
      <c r="D91" s="94">
        <f>SUM(D85:D90)</f>
        <v>0</v>
      </c>
      <c r="E91" s="94">
        <f>SUM(E85:E90)</f>
        <v>5328</v>
      </c>
      <c r="F91" s="94">
        <f>SUM(F85:F90)</f>
        <v>0</v>
      </c>
      <c r="G91" s="23" t="s">
        <v>288</v>
      </c>
      <c r="H91" s="13">
        <f t="shared" si="5"/>
        <v>54233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65144</v>
      </c>
      <c r="H96" s="13">
        <f t="shared" si="5"/>
        <v>65144</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28553</v>
      </c>
      <c r="D100" s="73">
        <f>SUM('DOE25'!G187:G188)</f>
        <v>0</v>
      </c>
      <c r="E100" s="73">
        <f>SUM('DOE25'!H187:H188)</f>
        <v>0</v>
      </c>
      <c r="F100" s="73">
        <f>SUM('DOE25'!I187:I188)</f>
        <v>0</v>
      </c>
      <c r="G100" s="23" t="s">
        <v>288</v>
      </c>
      <c r="H100" s="13">
        <f t="shared" si="5"/>
        <v>28553</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28553</v>
      </c>
      <c r="D103" s="68">
        <f>SUM(D93:D102)</f>
        <v>0</v>
      </c>
      <c r="E103" s="68">
        <f>SUM(E93:E102)</f>
        <v>0</v>
      </c>
      <c r="F103" s="68">
        <f>SUM(F93:F102)</f>
        <v>0</v>
      </c>
      <c r="G103" s="68">
        <f>SUM(G93:G102)</f>
        <v>65144</v>
      </c>
      <c r="H103" s="68">
        <f t="shared" si="5"/>
        <v>93697</v>
      </c>
    </row>
    <row r="104" spans="1:8" ht="12.75" thickTop="1" thickBot="1" x14ac:dyDescent="0.25">
      <c r="A104" s="32" t="s">
        <v>758</v>
      </c>
      <c r="C104" s="68">
        <f>C63+C81+C91+C103</f>
        <v>654444</v>
      </c>
      <c r="D104" s="68">
        <f>D63+D81+D91+D103</f>
        <v>0</v>
      </c>
      <c r="E104" s="68">
        <f>E63+E81+E91+E103</f>
        <v>5328</v>
      </c>
      <c r="F104" s="68">
        <f>F63+F81+F91+F103</f>
        <v>0</v>
      </c>
      <c r="G104" s="68">
        <f>G63+G81+G103</f>
        <v>79671</v>
      </c>
      <c r="H104" s="68">
        <f t="shared" si="5"/>
        <v>739443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291519</v>
      </c>
      <c r="D109" s="23" t="s">
        <v>288</v>
      </c>
      <c r="E109" s="73">
        <f>('DOE25'!L277)+('DOE25'!L296)+('DOE25'!L315)</f>
        <v>0</v>
      </c>
      <c r="F109" s="23" t="s">
        <v>288</v>
      </c>
      <c r="G109" s="23" t="s">
        <v>288</v>
      </c>
      <c r="H109" s="13">
        <f t="shared" ref="H109:H115" si="6">SUM(C109:G109)</f>
        <v>291519</v>
      </c>
    </row>
    <row r="110" spans="1:8" x14ac:dyDescent="0.2">
      <c r="A110" t="s">
        <v>198</v>
      </c>
      <c r="B110" s="31" t="s">
        <v>199</v>
      </c>
      <c r="C110" s="73">
        <f>('DOE25'!L199)+('DOE25'!L217)+('DOE25'!L235)</f>
        <v>244508</v>
      </c>
      <c r="D110" s="23" t="s">
        <v>288</v>
      </c>
      <c r="E110" s="73">
        <f>('DOE25'!L278)+('DOE25'!L297)+('DOE25'!L316)</f>
        <v>0</v>
      </c>
      <c r="F110" s="23" t="s">
        <v>288</v>
      </c>
      <c r="G110" s="23" t="s">
        <v>288</v>
      </c>
      <c r="H110" s="13">
        <f t="shared" si="6"/>
        <v>244508</v>
      </c>
    </row>
    <row r="111" spans="1:8" x14ac:dyDescent="0.2">
      <c r="A111" t="s">
        <v>200</v>
      </c>
      <c r="B111" s="31" t="s">
        <v>165</v>
      </c>
      <c r="C111" s="73">
        <f>('DOE25'!L200)+('DOE25'!L218)+('DOE25'!L236)</f>
        <v>11031</v>
      </c>
      <c r="D111" s="23" t="s">
        <v>288</v>
      </c>
      <c r="E111" s="73">
        <f>('DOE25'!L279)+('DOE25'!L298)+('DOE25'!L317)</f>
        <v>0</v>
      </c>
      <c r="F111" s="23" t="s">
        <v>288</v>
      </c>
      <c r="G111" s="23" t="s">
        <v>288</v>
      </c>
      <c r="H111" s="13">
        <f t="shared" si="6"/>
        <v>11031</v>
      </c>
    </row>
    <row r="112" spans="1:8" x14ac:dyDescent="0.2">
      <c r="A112" t="s">
        <v>201</v>
      </c>
      <c r="B112" s="31" t="s">
        <v>167</v>
      </c>
      <c r="C112" s="73">
        <f>('DOE25'!L201)+('DOE25'!L219)+('DOE25'!L237)</f>
        <v>10629</v>
      </c>
      <c r="D112" s="23" t="s">
        <v>288</v>
      </c>
      <c r="E112" s="73">
        <f>+('DOE25'!L280)+('DOE25'!L299)+('DOE25'!L318)</f>
        <v>0</v>
      </c>
      <c r="F112" s="23" t="s">
        <v>288</v>
      </c>
      <c r="G112" s="23" t="s">
        <v>288</v>
      </c>
      <c r="H112" s="13">
        <f t="shared" si="6"/>
        <v>10629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557687</v>
      </c>
      <c r="D115" s="68">
        <f>SUM(D109:D114)</f>
        <v>0</v>
      </c>
      <c r="E115" s="68">
        <f>SUM(E109:E114)</f>
        <v>0</v>
      </c>
      <c r="F115" s="68">
        <f>SUM(F109:F114)</f>
        <v>0</v>
      </c>
      <c r="G115" s="68">
        <f>SUM(G109:G114)</f>
        <v>0</v>
      </c>
      <c r="H115" s="68">
        <f t="shared" si="6"/>
        <v>557687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20155</v>
      </c>
      <c r="D118" s="23" t="s">
        <v>288</v>
      </c>
      <c r="E118" s="73">
        <f>+('DOE25'!L282)+('DOE25'!L301)+('DOE25'!L320)</f>
        <v>5328</v>
      </c>
      <c r="F118" s="23" t="s">
        <v>288</v>
      </c>
      <c r="G118" s="23" t="s">
        <v>288</v>
      </c>
      <c r="H118" s="13">
        <f t="shared" ref="H118:H145" si="7">SUM(C118:G118)</f>
        <v>25483</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32185</v>
      </c>
      <c r="D120" s="23" t="s">
        <v>288</v>
      </c>
      <c r="E120" s="73">
        <f>+('DOE25'!L284)+('DOE25'!L303)+('DOE25'!L322)</f>
        <v>0</v>
      </c>
      <c r="F120" s="23" t="s">
        <v>288</v>
      </c>
      <c r="G120" s="23" t="s">
        <v>288</v>
      </c>
      <c r="H120" s="13">
        <f t="shared" si="7"/>
        <v>32185</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44417</v>
      </c>
      <c r="D124" s="23" t="s">
        <v>288</v>
      </c>
      <c r="E124" s="73">
        <f>+('DOE25'!L288)+('DOE25'!L307)+('DOE25'!L326)</f>
        <v>0</v>
      </c>
      <c r="F124" s="23" t="s">
        <v>288</v>
      </c>
      <c r="G124" s="23" t="s">
        <v>288</v>
      </c>
      <c r="H124" s="13">
        <f t="shared" si="7"/>
        <v>44417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96757</v>
      </c>
      <c r="D128" s="68">
        <f>SUM(D118:D127)</f>
        <v>0</v>
      </c>
      <c r="E128" s="68">
        <f>SUM(E118:E127)</f>
        <v>5328</v>
      </c>
      <c r="F128" s="68">
        <f>SUM(F118:F127)</f>
        <v>0</v>
      </c>
      <c r="G128" s="68">
        <f>SUM(G118:G127)</f>
        <v>0</v>
      </c>
      <c r="H128" s="68">
        <f t="shared" si="7"/>
        <v>102085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28553</v>
      </c>
      <c r="H134" s="13">
        <f t="shared" si="7"/>
        <v>28553</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79671</v>
      </c>
      <c r="D139" s="23" t="s">
        <v>288</v>
      </c>
      <c r="E139" s="23" t="s">
        <v>288</v>
      </c>
      <c r="F139" s="23" t="s">
        <v>288</v>
      </c>
      <c r="G139" s="23" t="s">
        <v>288</v>
      </c>
      <c r="H139" s="13">
        <f t="shared" si="7"/>
        <v>79671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-14527</v>
      </c>
      <c r="D141" s="23" t="s">
        <v>288</v>
      </c>
      <c r="E141" s="23" t="s">
        <v>288</v>
      </c>
      <c r="F141" s="23" t="s">
        <v>288</v>
      </c>
      <c r="G141" s="23" t="s">
        <v>288</v>
      </c>
      <c r="H141" s="13">
        <f t="shared" si="7"/>
        <v>-14527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65144</v>
      </c>
      <c r="D144" s="98">
        <f>SUM(D130:D143)</f>
        <v>0</v>
      </c>
      <c r="E144" s="98">
        <f>SUM(E130:E143)</f>
        <v>0</v>
      </c>
      <c r="F144" s="98">
        <f>SUM(F130:F143)</f>
        <v>0</v>
      </c>
      <c r="G144" s="98">
        <f>SUM(G130:G143)</f>
        <v>28553</v>
      </c>
      <c r="H144" s="98">
        <f t="shared" si="7"/>
        <v>93697</v>
      </c>
    </row>
    <row r="145" spans="1:9" ht="12.75" thickTop="1" thickBot="1" x14ac:dyDescent="0.25">
      <c r="A145" s="32" t="s">
        <v>244</v>
      </c>
      <c r="C145" s="68">
        <f>(C115+C128+C144)</f>
        <v>719588</v>
      </c>
      <c r="D145" s="68">
        <f>(D115+D128+D144)</f>
        <v>0</v>
      </c>
      <c r="E145" s="68">
        <f>(E115+E128+E144)</f>
        <v>5328</v>
      </c>
      <c r="F145" s="68">
        <f>(F115+F128+F144)</f>
        <v>0</v>
      </c>
      <c r="G145" s="68">
        <f>(G115+G128+G144)</f>
        <v>28553</v>
      </c>
      <c r="H145" s="68">
        <f t="shared" si="7"/>
        <v>753469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35" sqref="D3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Benton</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291519</v>
      </c>
      <c r="D10" s="131">
        <f>ROUND((C10/$C$28)*100,1)</f>
        <v>44.2</v>
      </c>
    </row>
    <row r="11" spans="1:4" x14ac:dyDescent="0.2">
      <c r="A11">
        <v>1200</v>
      </c>
      <c r="B11" t="s">
        <v>703</v>
      </c>
      <c r="C11" s="128">
        <f>ROUND('DOE25'!L199+'DOE25'!L217+'DOE25'!L235+'DOE25'!L278+'DOE25'!L297+'DOE25'!L316,0)</f>
        <v>244508</v>
      </c>
      <c r="D11" s="131">
        <f>ROUND((C11/$C$28)*100,1)</f>
        <v>37.1</v>
      </c>
    </row>
    <row r="12" spans="1:4" x14ac:dyDescent="0.2">
      <c r="A12">
        <v>1300</v>
      </c>
      <c r="B12" t="s">
        <v>704</v>
      </c>
      <c r="C12" s="128">
        <f>ROUND('DOE25'!L200+'DOE25'!L218+'DOE25'!L236+'DOE25'!L279+'DOE25'!L298+'DOE25'!L317,0)</f>
        <v>11031</v>
      </c>
      <c r="D12" s="131">
        <f>ROUND((C12/$C$28)*100,1)</f>
        <v>1.7</v>
      </c>
    </row>
    <row r="13" spans="1:4" x14ac:dyDescent="0.2">
      <c r="A13">
        <v>1400</v>
      </c>
      <c r="B13" t="s">
        <v>705</v>
      </c>
      <c r="C13" s="128">
        <f>ROUND('DOE25'!L201+'DOE25'!L219+'DOE25'!L237+'DOE25'!L280+'DOE25'!L299+'DOE25'!L318,0)</f>
        <v>10629</v>
      </c>
      <c r="D13" s="131">
        <f>ROUND((C13/$C$28)*100,1)</f>
        <v>1.6</v>
      </c>
    </row>
    <row r="14" spans="1:4" x14ac:dyDescent="0.2">
      <c r="D14" s="131"/>
    </row>
    <row r="15" spans="1:4" x14ac:dyDescent="0.2">
      <c r="A15">
        <v>2100</v>
      </c>
      <c r="B15" t="s">
        <v>706</v>
      </c>
      <c r="C15" s="128">
        <f>ROUND('DOE25'!L203+'DOE25'!L221+'DOE25'!L239+'DOE25'!L282+'DOE25'!L301+'DOE25'!L320,0)</f>
        <v>25483</v>
      </c>
      <c r="D15" s="131">
        <f t="shared" ref="D15:D27" si="0">ROUND((C15/$C$28)*100,1)</f>
        <v>3.9</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32185</v>
      </c>
      <c r="D17" s="131">
        <f t="shared" si="0"/>
        <v>4.9000000000000004</v>
      </c>
    </row>
    <row r="18" spans="1:4" x14ac:dyDescent="0.2">
      <c r="A18">
        <v>2400</v>
      </c>
      <c r="B18" t="s">
        <v>711</v>
      </c>
      <c r="C18" s="128">
        <f>ROUND('DOE25'!L206+'DOE25'!L224+'DOE25'!L242+'DOE25'!L285+'DOE25'!L304+'DOE25'!L323,0)</f>
        <v>0</v>
      </c>
      <c r="D18" s="131">
        <f t="shared" si="0"/>
        <v>0</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0</v>
      </c>
      <c r="D20" s="131">
        <f t="shared" si="0"/>
        <v>0</v>
      </c>
    </row>
    <row r="21" spans="1:4" x14ac:dyDescent="0.2">
      <c r="A21">
        <v>2700</v>
      </c>
      <c r="B21" t="s">
        <v>710</v>
      </c>
      <c r="C21" s="128">
        <f>ROUND('DOE25'!L209+'DOE25'!L227+'DOE25'!L245+'DOE25'!L288+'DOE25'!L307+'DOE25'!L326,0)</f>
        <v>44417</v>
      </c>
      <c r="D21" s="131">
        <f t="shared" si="0"/>
        <v>6.7</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659772</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659772</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375019</v>
      </c>
      <c r="D35" s="131">
        <f t="shared" ref="D35:D40" si="1">ROUND((C35/$C$41)*100,1)</f>
        <v>58.1</v>
      </c>
    </row>
    <row r="36" spans="1:4" x14ac:dyDescent="0.2">
      <c r="B36" s="71" t="s">
        <v>739</v>
      </c>
      <c r="C36" s="128">
        <f>SUM('DOE25'!F112:J112)-SUM('DOE25'!G97:G110)+('DOE25'!F175+'DOE25'!F176+'DOE25'!I175+'DOE25'!I176)-C35</f>
        <v>14527</v>
      </c>
      <c r="D36" s="131">
        <f t="shared" si="1"/>
        <v>2.2000000000000002</v>
      </c>
    </row>
    <row r="37" spans="1:4" x14ac:dyDescent="0.2">
      <c r="A37" s="132" t="s">
        <v>831</v>
      </c>
      <c r="B37" s="71" t="s">
        <v>728</v>
      </c>
      <c r="C37" s="128">
        <f>ROUND('DOE25'!F117+'DOE25'!F118,0)</f>
        <v>192794</v>
      </c>
      <c r="D37" s="131">
        <f t="shared" si="1"/>
        <v>29.9</v>
      </c>
    </row>
    <row r="38" spans="1:4" x14ac:dyDescent="0.2">
      <c r="A38" s="132" t="s">
        <v>734</v>
      </c>
      <c r="B38" s="71" t="s">
        <v>729</v>
      </c>
      <c r="C38" s="128">
        <f>ROUND(SUM('DOE25'!F140:J140)-SUM('DOE25'!F117:F119),0)</f>
        <v>9173</v>
      </c>
      <c r="D38" s="131">
        <f t="shared" si="1"/>
        <v>1.4</v>
      </c>
    </row>
    <row r="39" spans="1:4" x14ac:dyDescent="0.2">
      <c r="A39">
        <v>4000</v>
      </c>
      <c r="B39" s="71" t="s">
        <v>730</v>
      </c>
      <c r="C39" s="128">
        <f>ROUND('DOE25'!F170+'DOE25'!G170+'DOE25'!H170+'DOE25'!I170,0)</f>
        <v>54233</v>
      </c>
      <c r="D39" s="131">
        <f t="shared" si="1"/>
        <v>8.4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645746</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24" sqref="A24"/>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Benton</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IFERROR(SMALL($I$4:$I$325,ROWS($I$4:I4)),"")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2024-08-04T18:21:45Z</cp:lastPrinted>
  <dcterms:created xsi:type="dcterms:W3CDTF">1997-12-04T19:04:30Z</dcterms:created>
  <dcterms:modified xsi:type="dcterms:W3CDTF">2024-09-03T18:01:28Z</dcterms:modified>
</cp:coreProperties>
</file>