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9A2F927A-158E-4B16-B908-3501F538FC72}"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activeTab="7"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0" l="1"/>
  <c r="K40" i="14" l="1"/>
  <c r="K27" i="14"/>
  <c r="K6" i="14"/>
  <c r="D40" i="14" l="1"/>
  <c r="D27" i="14"/>
  <c r="D6" i="14"/>
  <c r="F31" i="13" l="1"/>
  <c r="F57" i="1" l="1"/>
  <c r="F120" i="1"/>
  <c r="K227" i="1" l="1"/>
  <c r="J592" i="1" l="1"/>
  <c r="H162" i="1" l="1"/>
  <c r="H159" i="1"/>
  <c r="H155" i="1"/>
  <c r="H560" i="1" l="1"/>
  <c r="J605" i="1" l="1"/>
  <c r="I605" i="1"/>
  <c r="H605" i="1"/>
  <c r="G524" i="1" l="1"/>
  <c r="G523" i="1"/>
  <c r="G522" i="1"/>
  <c r="F524" i="1"/>
  <c r="F523" i="1"/>
  <c r="F522" i="1"/>
  <c r="I523" i="1"/>
  <c r="H523" i="1"/>
  <c r="H522" i="1"/>
  <c r="I528" i="1"/>
  <c r="H528" i="1"/>
  <c r="G528" i="1"/>
  <c r="F528" i="1"/>
  <c r="G544" i="1"/>
  <c r="I524" i="1"/>
  <c r="H524" i="1"/>
  <c r="F527" i="1"/>
  <c r="I522" i="1"/>
  <c r="G542" i="1"/>
  <c r="H527" i="1"/>
  <c r="G527" i="1"/>
  <c r="H529" i="1"/>
  <c r="I529" i="1"/>
  <c r="I527" i="1"/>
  <c r="G529" i="1"/>
  <c r="F529" i="1"/>
  <c r="C12" i="12" l="1"/>
  <c r="C11" i="12"/>
  <c r="C19" i="12"/>
  <c r="B19" i="12"/>
  <c r="F278" i="1"/>
  <c r="F277" i="1"/>
  <c r="G277" i="1"/>
  <c r="F199" i="1"/>
  <c r="F198" i="1"/>
  <c r="C38" i="12"/>
  <c r="C39" i="12"/>
  <c r="B39" i="12"/>
  <c r="F241" i="1"/>
  <c r="F234" i="1"/>
  <c r="F243" i="1"/>
  <c r="F223" i="1"/>
  <c r="F216" i="1"/>
  <c r="F225" i="1"/>
  <c r="F205" i="1"/>
  <c r="F207" i="1"/>
  <c r="F242" i="1"/>
  <c r="F235" i="1"/>
  <c r="F239" i="1"/>
  <c r="F203" i="1"/>
  <c r="F206" i="1"/>
  <c r="H156" i="1" l="1"/>
  <c r="G209" i="1" l="1"/>
  <c r="I592" i="1"/>
  <c r="H592" i="1"/>
  <c r="G245" i="1" l="1"/>
  <c r="G227" i="1" l="1"/>
  <c r="I208" i="1"/>
  <c r="I209" i="1"/>
  <c r="I596" i="1"/>
  <c r="H596" i="1"/>
  <c r="G359" i="1"/>
  <c r="F359" i="1"/>
  <c r="G246" i="1" l="1"/>
  <c r="G244" i="1"/>
  <c r="G243" i="1"/>
  <c r="G242" i="1"/>
  <c r="G241" i="1"/>
  <c r="G240" i="1"/>
  <c r="G239" i="1"/>
  <c r="G237" i="1"/>
  <c r="G236" i="1"/>
  <c r="G235" i="1"/>
  <c r="G234" i="1"/>
  <c r="G226" i="1"/>
  <c r="G225" i="1"/>
  <c r="G224" i="1"/>
  <c r="G223" i="1"/>
  <c r="G221" i="1"/>
  <c r="G219" i="1"/>
  <c r="G217" i="1"/>
  <c r="G216" i="1"/>
  <c r="G210" i="1"/>
  <c r="G208" i="1"/>
  <c r="G207" i="1"/>
  <c r="G206" i="1"/>
  <c r="G205" i="1"/>
  <c r="G204" i="1"/>
  <c r="G203" i="1"/>
  <c r="G201" i="1"/>
  <c r="G199" i="1"/>
  <c r="G198" i="1"/>
  <c r="I315" i="1" l="1"/>
  <c r="G320" i="1"/>
  <c r="F320" i="1"/>
  <c r="H325" i="1"/>
  <c r="H321" i="1"/>
  <c r="F315" i="1"/>
  <c r="I296" i="1"/>
  <c r="H306" i="1"/>
  <c r="H302" i="1"/>
  <c r="G301" i="1"/>
  <c r="G299" i="1"/>
  <c r="F296" i="1"/>
  <c r="G278" i="1"/>
  <c r="I280" i="1"/>
  <c r="G280" i="1"/>
  <c r="F280" i="1"/>
  <c r="I278" i="1"/>
  <c r="H287" i="1"/>
  <c r="H283" i="1"/>
  <c r="G282" i="1"/>
  <c r="F245" i="1"/>
  <c r="I244" i="1"/>
  <c r="H244" i="1"/>
  <c r="F244" i="1"/>
  <c r="K241" i="1"/>
  <c r="H241" i="1"/>
  <c r="J241" i="1"/>
  <c r="I241" i="1"/>
  <c r="H240" i="1"/>
  <c r="I239" i="1"/>
  <c r="H239" i="1"/>
  <c r="F237" i="1"/>
  <c r="K237" i="1"/>
  <c r="I237" i="1"/>
  <c r="H235" i="1"/>
  <c r="I235" i="1"/>
  <c r="F227" i="1"/>
  <c r="J234" i="1" l="1"/>
  <c r="I234" i="1"/>
  <c r="H234" i="1"/>
  <c r="J244" i="1" l="1"/>
  <c r="H226" i="1" l="1"/>
  <c r="F226" i="1"/>
  <c r="I223" i="1"/>
  <c r="I221" i="1"/>
  <c r="G222" i="1"/>
  <c r="H222" i="1"/>
  <c r="H221" i="1"/>
  <c r="F221" i="1"/>
  <c r="I219" i="1"/>
  <c r="K219" i="1"/>
  <c r="F219" i="1"/>
  <c r="I217" i="1"/>
  <c r="F217" i="1"/>
  <c r="H217" i="1"/>
  <c r="H216" i="1"/>
  <c r="J216" i="1"/>
  <c r="I216" i="1"/>
  <c r="J226" i="1" l="1"/>
  <c r="K223" i="1"/>
  <c r="J223" i="1"/>
  <c r="H223" i="1"/>
  <c r="I199" i="1"/>
  <c r="H199" i="1"/>
  <c r="F209" i="1"/>
  <c r="H208" i="1"/>
  <c r="F208" i="1"/>
  <c r="I204" i="1"/>
  <c r="I203" i="1"/>
  <c r="H203" i="1"/>
  <c r="F201" i="1"/>
  <c r="H198" i="1"/>
  <c r="J198" i="1"/>
  <c r="I198" i="1"/>
  <c r="J208" i="1" l="1"/>
  <c r="K205" i="1"/>
  <c r="J205" i="1"/>
  <c r="I205" i="1"/>
  <c r="H205"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D101" i="2"/>
  <c r="E101" i="2"/>
  <c r="F101" i="2"/>
  <c r="C102" i="2"/>
  <c r="D102" i="2"/>
  <c r="E102" i="2"/>
  <c r="F102" i="2"/>
  <c r="E111"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H653" i="1"/>
  <c r="G654" i="1"/>
  <c r="H654" i="1"/>
  <c r="H655" i="1"/>
  <c r="H656" i="1"/>
  <c r="G409" i="1" l="1"/>
  <c r="H646" i="1" s="1"/>
  <c r="H93" i="2"/>
  <c r="H26" i="2"/>
  <c r="H22" i="2"/>
  <c r="H132" i="2"/>
  <c r="F85" i="2"/>
  <c r="F91" i="2" s="1"/>
  <c r="G477" i="1"/>
  <c r="J140" i="1"/>
  <c r="D18" i="13"/>
  <c r="C18" i="13" s="1"/>
  <c r="I409" i="1"/>
  <c r="H43" i="2"/>
  <c r="H69" i="2"/>
  <c r="H30" i="2"/>
  <c r="H25" i="2"/>
  <c r="H102" i="2"/>
  <c r="H98" i="2"/>
  <c r="H15" i="2"/>
  <c r="H11" i="2"/>
  <c r="H89" i="2"/>
  <c r="H36" i="2"/>
  <c r="H44" i="2"/>
  <c r="D144" i="2"/>
  <c r="H29" i="2"/>
  <c r="H24" i="2"/>
  <c r="H97" i="2"/>
  <c r="H87" i="2"/>
  <c r="H35" i="2"/>
  <c r="H13" i="2"/>
  <c r="H9" i="2"/>
  <c r="H38" i="2"/>
  <c r="H28" i="2"/>
  <c r="H17" i="2"/>
  <c r="H143" i="2"/>
  <c r="H101" i="2"/>
  <c r="H100" i="2"/>
  <c r="H96" i="2"/>
  <c r="H80" i="2"/>
  <c r="H59" i="2"/>
  <c r="H34" i="2"/>
  <c r="H48" i="2"/>
  <c r="H23" i="2"/>
  <c r="H94" i="2"/>
  <c r="H27" i="2"/>
  <c r="H12" i="2"/>
  <c r="H113" i="2"/>
  <c r="C120" i="2"/>
  <c r="H120" i="2" s="1"/>
  <c r="H477" i="1"/>
  <c r="H625" i="1" s="1"/>
  <c r="H8" i="2"/>
  <c r="H61" i="2"/>
  <c r="H47" i="2"/>
  <c r="D78" i="2"/>
  <c r="D81" i="2" s="1"/>
  <c r="H77" i="2"/>
  <c r="J652" i="1"/>
  <c r="D29" i="13"/>
  <c r="C29" i="13" s="1"/>
  <c r="G662" i="1"/>
  <c r="G663" i="1"/>
  <c r="E112" i="2"/>
  <c r="C12" i="10"/>
  <c r="C119" i="2"/>
  <c r="C125" i="2"/>
  <c r="H125" i="2" s="1"/>
  <c r="D15" i="13"/>
  <c r="C15" i="13" s="1"/>
  <c r="E13" i="13"/>
  <c r="C13" i="13" s="1"/>
  <c r="C13" i="10"/>
  <c r="K2" i="14"/>
  <c r="K3" i="14" s="1"/>
  <c r="K36" i="14"/>
  <c r="K37" i="14" s="1"/>
  <c r="C1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112" i="2"/>
  <c r="H21" i="2"/>
  <c r="H85" i="2"/>
  <c r="H103" i="2"/>
  <c r="H122" i="2"/>
  <c r="H31" i="2"/>
  <c r="H42" i="2"/>
  <c r="H119" i="2"/>
  <c r="H57" i="2"/>
  <c r="H16" i="2"/>
  <c r="H91" i="2"/>
  <c r="H18" i="2"/>
  <c r="D51" i="2"/>
  <c r="E51" i="2"/>
  <c r="H50" i="2"/>
  <c r="H62" i="2"/>
  <c r="C81" i="2"/>
  <c r="H81" i="2" s="1"/>
  <c r="H78" i="2"/>
  <c r="F194" i="1"/>
  <c r="E144" i="2"/>
  <c r="I662" i="1"/>
  <c r="D128" i="2"/>
  <c r="D145" i="2" s="1"/>
  <c r="H127" i="2"/>
  <c r="I663"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H5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that amount raise from the Statewide Property  Tax.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G132" authorId="0" shapeId="0" xr:uid="{00000000-0006-0000-0000-000006000000}">
      <text>
        <r>
          <rPr>
            <sz val="8"/>
            <color indexed="81"/>
            <rFont val="Tahoma"/>
            <family val="2"/>
          </rPr>
          <t xml:space="preserve">Only report the state’s share of the revenue on this page.  Do not lump sum the state and federal revenues.
</t>
        </r>
      </text>
    </comment>
    <comment ref="G158" authorId="0" shapeId="0" xr:uid="{00000000-0006-0000-0000-000007000000}">
      <text>
        <r>
          <rPr>
            <sz val="8"/>
            <color indexed="81"/>
            <rFont val="Tahoma"/>
            <family val="2"/>
          </rPr>
          <t xml:space="preserve">Only report the federal share of the revenue on this page.  Do not lump sum the 
 federal and state revenues. 
</t>
        </r>
      </text>
    </comment>
    <comment ref="A492" authorId="0" shapeId="0" xr:uid="{00000000-0006-0000-0000-000008000000}">
      <text>
        <r>
          <rPr>
            <sz val="8"/>
            <color indexed="81"/>
            <rFont val="Tahoma"/>
            <family val="2"/>
          </rPr>
          <t xml:space="preserve">Please use the Month slash Year Format.  For example: July 2001 = 07/01
</t>
        </r>
      </text>
    </comment>
    <comment ref="A578" authorId="1" shapeId="0" xr:uid="{00000000-0006-0000-0000-000009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B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C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D000000}">
      <text>
        <r>
          <rPr>
            <b/>
            <sz val="9"/>
            <color indexed="81"/>
            <rFont val="Tahoma"/>
            <family val="2"/>
          </rPr>
          <t>Total Current Assets equal Total Liabilities &amp; Equity for General Fund 10</t>
        </r>
      </text>
    </comment>
    <comment ref="J619" authorId="1" shapeId="0" xr:uid="{00000000-0006-0000-0000-00000E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F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0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1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2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3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4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5000000}">
      <text>
        <r>
          <rPr>
            <b/>
            <sz val="9"/>
            <color indexed="81"/>
            <rFont val="Tahoma"/>
            <family val="2"/>
          </rPr>
          <t>Total Fund Equity on Balance Sheet equals ending fund balance on page 19 for Capital Projects Fund 30</t>
        </r>
      </text>
    </comment>
    <comment ref="J627" authorId="1" shapeId="0" xr:uid="{00000000-0006-0000-0000-000016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7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8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9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A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B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C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D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E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F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0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1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2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3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4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5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6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7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8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9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A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B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C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D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E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F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0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1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2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3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4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<sst xmlns="http://schemas.openxmlformats.org/spreadsheetml/2006/main" count="6643" uniqueCount="1845">
  <si>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</si>
  <si>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</si>
  <si>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</si>
  <si>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</si>
  <si>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</si>
  <si>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</si>
  <si>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</si>
  <si>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</si>
  <si>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</si>
  <si>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</si>
  <si>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</si>
  <si>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</si>
  <si>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</si>
  <si>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</si>
  <si>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</si>
  <si>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</si>
  <si>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</si>
  <si>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</si>
  <si>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</si>
  <si>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</si>
  <si>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</si>
  <si>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</si>
  <si>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</si>
  <si>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</si>
  <si>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</si>
  <si>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</si>
  <si>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</si>
  <si>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</si>
  <si>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</si>
  <si>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</si>
  <si>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</si>
  <si>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</si>
  <si>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</si>
  <si>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</si>
  <si>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</si>
  <si>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</si>
  <si>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</si>
  <si>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</si>
  <si>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</si>
  <si>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</si>
  <si>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</si>
  <si>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</si>
  <si>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</si>
  <si>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</si>
  <si>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</si>
  <si>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</si>
  <si>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</si>
  <si>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</si>
  <si>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</si>
  <si>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</si>
  <si>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</si>
  <si>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</si>
  <si>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</si>
  <si>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</si>
  <si>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</si>
  <si>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</si>
  <si>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</si>
  <si>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</si>
  <si>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</si>
  <si>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</si>
  <si>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</si>
  <si>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</si>
  <si>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</si>
  <si>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</si>
  <si>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</si>
  <si>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</si>
  <si>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</si>
  <si>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</si>
  <si>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</si>
  <si>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</si>
  <si>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</si>
  <si>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</si>
  <si>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</si>
  <si>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</si>
  <si>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</si>
  <si>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</si>
  <si>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</si>
  <si>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</si>
  <si>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</si>
  <si>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</si>
  <si>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</si>
  <si>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</si>
  <si>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</si>
  <si>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</si>
  <si>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</si>
  <si>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</si>
  <si>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</si>
  <si>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</si>
  <si>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</si>
  <si>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</si>
  <si>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</si>
  <si>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</si>
  <si>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</si>
  <si>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</si>
  <si>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</si>
  <si>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</si>
  <si>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</si>
  <si>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</si>
  <si>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</si>
  <si>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</si>
  <si>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</si>
  <si>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</si>
  <si>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</si>
  <si>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</si>
  <si>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</si>
  <si>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</si>
  <si>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</si>
  <si>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</si>
  <si>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</si>
  <si>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</si>
  <si>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</si>
  <si>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</si>
  <si>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</si>
  <si>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</si>
  <si>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</si>
  <si>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</si>
  <si>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</si>
  <si>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</si>
  <si>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</si>
  <si>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</si>
  <si>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</si>
  <si>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</si>
  <si>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</si>
  <si>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</si>
  <si>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</si>
  <si>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</si>
  <si>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</si>
  <si>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</si>
  <si>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</si>
  <si>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</si>
  <si>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</si>
  <si>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</si>
  <si>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</si>
  <si>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</si>
  <si>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</si>
  <si>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</si>
  <si>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</si>
  <si>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</si>
  <si>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</si>
  <si>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</si>
  <si>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</si>
  <si>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</si>
  <si>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</si>
  <si>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</si>
  <si>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</si>
  <si>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</si>
  <si>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</si>
  <si>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</si>
  <si>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</si>
  <si>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</si>
  <si>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</si>
  <si>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</si>
  <si>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</si>
  <si>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</si>
  <si>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</si>
  <si>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</si>
  <si>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</si>
  <si>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</si>
  <si>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</si>
  <si>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</si>
  <si>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</si>
  <si>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</si>
  <si>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</si>
  <si>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</si>
  <si>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</si>
  <si>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</si>
  <si>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</si>
  <si>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</si>
  <si>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</si>
  <si>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</si>
  <si>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</si>
  <si>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</si>
  <si>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</si>
  <si>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</si>
  <si>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</si>
  <si>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</si>
  <si>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</si>
  <si>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</si>
  <si>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</si>
  <si>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</si>
  <si>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</si>
  <si>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</si>
  <si>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</si>
  <si>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</si>
  <si>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</si>
  <si>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</si>
  <si>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</si>
  <si>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</si>
  <si>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</si>
  <si>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</si>
  <si>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</si>
  <si>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</si>
  <si>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</si>
  <si>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</si>
  <si>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</si>
  <si>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</si>
  <si>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</si>
  <si>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</si>
  <si>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</si>
  <si>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</si>
  <si>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</si>
  <si>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</si>
  <si>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</si>
  <si>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</si>
  <si>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</si>
  <si>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</si>
  <si>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</si>
  <si>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</si>
  <si>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</si>
  <si>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</si>
  <si>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</si>
  <si>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</si>
  <si>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</si>
  <si>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</si>
  <si>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</si>
  <si>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</si>
  <si>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</si>
  <si>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</si>
  <si>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</si>
  <si>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</si>
  <si>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</si>
  <si>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</si>
  <si>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</si>
  <si>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</si>
  <si>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</si>
  <si>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</si>
  <si>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</si>
  <si>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</si>
  <si>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</si>
  <si>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</si>
  <si>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</si>
  <si>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</si>
  <si>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</si>
  <si>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</si>
  <si>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</si>
  <si>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</si>
  <si>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</si>
  <si>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</si>
  <si>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</si>
  <si>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</si>
  <si>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</si>
  <si>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</si>
  <si>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</si>
  <si>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</si>
  <si>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</si>
  <si>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</si>
  <si>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</si>
  <si>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</si>
  <si>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</si>
  <si>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</si>
  <si>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</si>
  <si>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</si>
  <si>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</si>
  <si>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</si>
  <si>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</si>
  <si>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</si>
  <si>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</si>
  <si>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</si>
  <si>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</si>
  <si>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</si>
  <si>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</si>
  <si>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</si>
  <si>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</si>
  <si>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</si>
  <si>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</si>
  <si>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</si>
  <si>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</si>
  <si>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</si>
  <si>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</si>
  <si>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</si>
  <si>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</si>
  <si>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</si>
  <si>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</si>
  <si>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</si>
  <si>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</si>
  <si>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</si>
  <si>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</si>
  <si>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</si>
  <si>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</si>
  <si>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</si>
  <si>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</si>
  <si>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</si>
  <si>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</si>
  <si>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</si>
  <si>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</si>
  <si>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</si>
  <si>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</si>
  <si>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</si>
  <si>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</si>
  <si>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</si>
  <si>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</si>
  <si>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</si>
  <si>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</si>
  <si>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</si>
  <si>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</si>
  <si>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</si>
  <si>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</si>
  <si>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</si>
  <si>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</si>
  <si>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</si>
  <si>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</si>
  <si>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</si>
  <si>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</si>
  <si>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</si>
  <si>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</si>
  <si>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</si>
  <si>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</si>
  <si>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</si>
  <si>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</si>
  <si>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</si>
  <si>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</si>
  <si>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</si>
  <si>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</si>
  <si>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</si>
  <si>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</si>
  <si>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</si>
  <si>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</si>
  <si>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</si>
  <si>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</si>
  <si>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</si>
  <si>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</si>
  <si>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</si>
  <si>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</si>
  <si>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</si>
  <si>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</si>
  <si>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</si>
  <si>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</si>
  <si>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</si>
  <si>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</si>
  <si>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</si>
  <si>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</si>
  <si>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</si>
  <si>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</si>
  <si>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</si>
  <si>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</si>
  <si>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</si>
  <si>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</si>
  <si>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</si>
  <si>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</si>
  <si>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</si>
  <si>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</si>
  <si>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</si>
  <si>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</si>
  <si>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</si>
  <si>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</si>
  <si>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</si>
  <si>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</si>
  <si>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</si>
  <si>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</si>
  <si>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</si>
  <si>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</si>
  <si>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</si>
  <si>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</si>
  <si>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</si>
  <si>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</si>
  <si>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</si>
  <si>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</si>
  <si>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</si>
  <si>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</si>
  <si>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</si>
  <si>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</si>
  <si>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</si>
  <si>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</si>
  <si>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</si>
  <si>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</si>
  <si>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</si>
  <si>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</si>
  <si>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</si>
  <si>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</si>
  <si>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</si>
  <si>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</si>
  <si>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</si>
  <si>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</si>
  <si>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</si>
  <si>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</si>
  <si>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</si>
  <si>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</si>
  <si>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</si>
  <si>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</si>
  <si>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</si>
  <si>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</si>
  <si>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</si>
  <si>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</si>
  <si>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</si>
  <si>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</si>
  <si>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</si>
  <si>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</si>
  <si>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</si>
  <si>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</si>
  <si>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</si>
  <si>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</si>
  <si>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</si>
  <si>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</si>
  <si>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</si>
  <si>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</si>
  <si>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</si>
  <si>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</si>
  <si>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</si>
  <si>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</si>
  <si>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</si>
  <si>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</si>
  <si>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</si>
  <si>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</si>
  <si>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</si>
  <si>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</si>
  <si>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</si>
  <si>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</si>
  <si>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</si>
  <si>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</si>
  <si>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</si>
  <si>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</si>
  <si>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</si>
  <si>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</si>
  <si>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</si>
  <si>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</si>
  <si>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</si>
  <si>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</si>
  <si>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</si>
  <si>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</si>
  <si>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</si>
  <si>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</si>
  <si>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</si>
  <si>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</si>
  <si>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</si>
  <si>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</si>
  <si>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</si>
  <si>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</si>
  <si>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</si>
  <si>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</si>
  <si>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</si>
  <si>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</si>
  <si>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</si>
  <si>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</si>
  <si>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</si>
  <si>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</si>
  <si>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</si>
  <si>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</si>
  <si>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</si>
  <si>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</si>
  <si>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</si>
  <si>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</si>
  <si>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</si>
  <si>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</si>
  <si>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</si>
  <si>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</si>
  <si>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</si>
  <si>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</si>
  <si>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</si>
  <si>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</si>
  <si>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</si>
  <si>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</si>
  <si>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</si>
  <si>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</si>
  <si>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</si>
  <si>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</si>
  <si>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</si>
  <si>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</si>
  <si>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</si>
  <si>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</si>
  <si>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</si>
  <si>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</si>
  <si>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</si>
  <si>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</si>
  <si>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</si>
  <si>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</si>
  <si>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</si>
  <si>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</si>
  <si>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</si>
  <si>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</si>
  <si>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</si>
  <si>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</si>
  <si>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</si>
  <si>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</si>
  <si>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</si>
  <si>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</si>
  <si>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</si>
  <si>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</si>
  <si>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</si>
  <si>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</si>
  <si>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</si>
  <si>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</si>
  <si>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</si>
  <si>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</si>
  <si>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</si>
  <si>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</si>
  <si>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</si>
  <si>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</si>
  <si>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</si>
  <si>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</si>
  <si>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</si>
  <si>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</si>
  <si>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</si>
  <si>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</si>
  <si>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</si>
  <si>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</si>
  <si>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</si>
  <si>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</si>
  <si>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</si>
  <si>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</si>
  <si>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</si>
  <si>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</si>
  <si>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</si>
  <si>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</si>
  <si>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</si>
  <si>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</si>
  <si>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</si>
  <si>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</si>
  <si>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</si>
  <si>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</si>
  <si>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</si>
  <si>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</si>
  <si>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</si>
  <si>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</si>
  <si>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</si>
  <si>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</si>
  <si>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</si>
  <si>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</si>
  <si>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</si>
  <si>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</si>
  <si>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</si>
  <si>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</si>
  <si>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</si>
  <si>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</si>
  <si>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</si>
  <si>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</si>
  <si>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</si>
  <si>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</si>
  <si>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</si>
  <si>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</si>
  <si>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</si>
  <si>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</si>
  <si>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</si>
  <si>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</si>
  <si>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</si>
  <si>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</si>
  <si>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</si>
  <si>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</si>
  <si>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</si>
  <si>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</si>
  <si>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</si>
  <si>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</si>
  <si>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</si>
  <si>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</si>
  <si>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</si>
  <si>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</si>
  <si>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</si>
  <si>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</si>
  <si>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</si>
  <si>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</si>
  <si>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</si>
  <si>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</si>
  <si>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</si>
  <si>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</si>
  <si>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</si>
  <si>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</si>
  <si>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</si>
  <si>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</si>
  <si>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</si>
  <si>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</si>
  <si>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</si>
  <si>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</si>
  <si>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</si>
  <si>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</si>
  <si>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</si>
  <si>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</si>
  <si>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</si>
  <si>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</si>
  <si>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</si>
  <si>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</si>
  <si>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</si>
  <si>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</si>
  <si>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</si>
  <si>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</si>
  <si>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</si>
  <si>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</si>
  <si>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</si>
  <si>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</si>
  <si>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</si>
  <si>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</si>
  <si>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</si>
  <si>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</si>
  <si>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</si>
  <si>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</si>
  <si>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</si>
  <si>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</si>
  <si>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</si>
  <si>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</si>
  <si>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</si>
  <si>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</si>
  <si>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</si>
  <si>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</si>
  <si>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</si>
  <si>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</si>
  <si>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</si>
  <si>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</si>
  <si>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</si>
  <si>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</si>
  <si>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</si>
  <si>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</si>
  <si>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</si>
  <si>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</si>
  <si>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</si>
  <si>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</si>
  <si>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</si>
  <si>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</si>
  <si>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</si>
  <si>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</si>
  <si>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</si>
  <si>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</si>
  <si>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</si>
  <si>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</si>
  <si>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</si>
  <si>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</si>
  <si>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</si>
  <si>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</si>
  <si>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</si>
  <si>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</si>
  <si>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</si>
  <si>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</si>
  <si>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</si>
  <si>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</si>
  <si>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</si>
  <si>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</si>
  <si>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</si>
  <si>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</si>
  <si>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</si>
  <si>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</si>
  <si>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</si>
  <si>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</si>
  <si>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</si>
  <si>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</si>
  <si>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</si>
  <si>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</si>
  <si>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</si>
  <si>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</si>
  <si>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</si>
  <si>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</si>
  <si>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</si>
  <si>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</si>
  <si>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</si>
  <si>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</si>
  <si>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</si>
  <si>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</si>
  <si>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</si>
  <si>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</si>
  <si>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</si>
  <si>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</si>
  <si>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</si>
  <si>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</si>
  <si>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</si>
  <si>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</si>
  <si>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</si>
  <si>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</si>
  <si>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</si>
  <si>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</si>
  <si>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</si>
  <si>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</si>
  <si>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</si>
  <si>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</si>
  <si>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</si>
  <si>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</si>
  <si>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</si>
  <si>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</si>
  <si>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</si>
  <si>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</si>
  <si>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</si>
  <si>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</si>
  <si>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</si>
  <si>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</si>
  <si>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</si>
  <si>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</si>
  <si>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</si>
  <si>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</si>
  <si>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</si>
  <si>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</si>
  <si>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</si>
  <si>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</si>
  <si>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</si>
  <si>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</si>
  <si>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</si>
  <si>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</si>
  <si>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</si>
  <si>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</si>
  <si>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</si>
  <si>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</si>
  <si>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</si>
  <si>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</si>
  <si>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</si>
  <si>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</si>
  <si>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</si>
  <si>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</si>
  <si>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</si>
  <si>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</si>
  <si>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</si>
  <si>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</si>
  <si>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</si>
  <si>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</si>
  <si>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</si>
  <si>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</si>
  <si>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</si>
  <si>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</si>
  <si>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</si>
  <si>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</si>
  <si>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</si>
  <si>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</si>
  <si>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</si>
  <si>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</si>
  <si>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</si>
  <si>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</si>
  <si>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</si>
  <si>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</si>
  <si>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</si>
  <si>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</si>
  <si>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</si>
  <si>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</si>
  <si>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</si>
  <si>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</si>
  <si>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</si>
  <si>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</si>
  <si>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</si>
  <si>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</si>
  <si>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</si>
  <si>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</si>
  <si>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</si>
  <si>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</si>
  <si>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</si>
  <si>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</si>
  <si>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</si>
  <si>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</si>
  <si>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</si>
  <si>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</si>
  <si>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</si>
  <si>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</si>
  <si>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</si>
  <si>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</si>
  <si>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</si>
  <si>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</si>
  <si>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</si>
  <si>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</si>
  <si>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</si>
  <si>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</si>
  <si>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</si>
  <si>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</si>
  <si>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</si>
  <si>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</si>
  <si>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</si>
  <si>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</si>
  <si>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</si>
  <si>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</si>
  <si>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</si>
  <si>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</si>
  <si>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</si>
  <si>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</si>
  <si>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</si>
  <si>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</si>
  <si>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</si>
  <si>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</si>
  <si>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</si>
  <si>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</si>
  <si>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</si>
  <si>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</si>
  <si>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</si>
  <si>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</si>
  <si>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</si>
  <si>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</si>
  <si>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</si>
  <si>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</si>
  <si>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</si>
  <si>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</si>
  <si>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</si>
  <si>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</si>
  <si>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</si>
  <si>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</si>
  <si>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</si>
  <si>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</si>
  <si>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</si>
  <si>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</si>
  <si>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</si>
  <si>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</si>
  <si>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</si>
  <si>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</si>
  <si>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</si>
  <si>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</si>
  <si>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</si>
  <si>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</si>
  <si>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</si>
  <si>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</si>
  <si>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</si>
  <si>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</si>
  <si>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</si>
  <si>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</si>
  <si>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</si>
  <si>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</si>
  <si>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</si>
  <si>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</si>
  <si>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</si>
  <si>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</si>
  <si>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</si>
  <si>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</si>
  <si>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</si>
  <si>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</si>
  <si>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</si>
  <si>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</si>
  <si>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</si>
  <si>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</si>
  <si>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</si>
  <si>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</si>
  <si>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</si>
  <si>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</si>
  <si>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</si>
  <si>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</si>
  <si>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</si>
  <si>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</si>
  <si>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</si>
  <si>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</si>
  <si>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</si>
  <si>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</si>
  <si>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</si>
  <si>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</si>
  <si>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</si>
  <si>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</si>
  <si>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</si>
  <si>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</si>
  <si>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</si>
  <si>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</si>
  <si>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</si>
  <si>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</si>
  <si>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</si>
  <si>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</si>
  <si>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</si>
  <si>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</si>
  <si>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</si>
  <si>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</si>
  <si>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</si>
  <si>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</si>
  <si>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</si>
  <si>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</si>
  <si>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</si>
  <si>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</si>
  <si>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</si>
  <si>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</si>
  <si>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</si>
  <si>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</si>
  <si>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</si>
  <si>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</si>
  <si>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</si>
  <si>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</si>
  <si>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</si>
  <si>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</si>
  <si>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</si>
  <si>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</si>
  <si>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</si>
  <si>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</si>
  <si>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</si>
  <si>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</si>
  <si>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</si>
  <si>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</si>
  <si>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</si>
  <si>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</si>
  <si>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</si>
  <si>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</si>
  <si>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</si>
  <si>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</si>
  <si>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</si>
  <si>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</si>
  <si>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</si>
  <si>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</si>
  <si>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</si>
  <si>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</si>
  <si>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</si>
  <si>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</si>
  <si>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</si>
  <si>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</si>
  <si>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</si>
  <si>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</si>
  <si>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</si>
  <si>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</si>
  <si>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</si>
  <si>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</si>
  <si>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</si>
  <si>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</si>
  <si>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</si>
  <si>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</si>
  <si>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</si>
  <si>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</si>
  <si>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</si>
  <si>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</si>
  <si>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</si>
  <si>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</si>
  <si>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</si>
  <si>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</si>
  <si>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</si>
  <si>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</si>
  <si>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</si>
  <si>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</si>
  <si>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</si>
  <si>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</si>
  <si>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</si>
  <si>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</si>
  <si>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</si>
  <si>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</si>
  <si>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</si>
  <si>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</si>
  <si>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</si>
  <si>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</si>
  <si>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</si>
  <si>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</si>
  <si>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</si>
  <si>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</si>
  <si>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</si>
  <si>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</si>
  <si>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</si>
  <si>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</si>
  <si>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</si>
  <si>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</si>
  <si>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</si>
  <si>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</si>
  <si>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</si>
  <si>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</si>
  <si>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</si>
  <si>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</si>
  <si>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</si>
  <si>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</si>
  <si>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</si>
  <si>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</si>
  <si>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</si>
  <si>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</si>
  <si>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</si>
  <si>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</si>
  <si>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</si>
  <si>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</si>
  <si>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</si>
  <si>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</si>
  <si>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</si>
  <si>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</si>
  <si>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</si>
  <si>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</si>
  <si>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</si>
  <si>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</si>
  <si>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</si>
  <si>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</si>
  <si>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</si>
  <si>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</si>
  <si>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</si>
  <si>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</si>
  <si>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</si>
  <si>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</si>
  <si>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</si>
  <si>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</si>
  <si>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</si>
  <si>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</si>
  <si>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</si>
  <si>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</si>
  <si>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</si>
  <si>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</si>
  <si>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</si>
  <si>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</si>
  <si>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</si>
  <si>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</si>
  <si>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</si>
  <si>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</si>
  <si>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</si>
  <si>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</si>
  <si>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</si>
  <si>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</si>
  <si>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</si>
  <si>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</si>
  <si>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</si>
  <si>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</si>
  <si>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</si>
  <si>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</si>
  <si>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</si>
  <si>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</si>
  <si>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</si>
  <si>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</si>
  <si>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</si>
  <si>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</si>
  <si>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</si>
  <si>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</si>
  <si>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</si>
  <si>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</si>
  <si>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</si>
  <si>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</si>
  <si>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</si>
  <si>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</si>
  <si>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</si>
  <si>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</si>
  <si>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</si>
  <si>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</si>
  <si>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</si>
  <si>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</si>
  <si>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</si>
  <si>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</si>
  <si>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</si>
  <si>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</si>
  <si>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</si>
  <si>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</si>
  <si>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</si>
  <si>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</si>
  <si>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</si>
  <si>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</si>
  <si>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</si>
  <si>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</si>
  <si>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</si>
  <si>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</si>
  <si>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</si>
  <si>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</si>
  <si>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</si>
  <si>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</si>
  <si>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</si>
  <si>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</si>
  <si>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</si>
  <si>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</si>
  <si>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</si>
  <si>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</si>
  <si>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</si>
  <si>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</si>
  <si>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</si>
  <si>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</si>
  <si>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</si>
  <si>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</si>
  <si>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</si>
  <si>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</si>
  <si>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</si>
  <si>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</si>
  <si>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</si>
  <si>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</si>
  <si>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</si>
  <si>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</si>
  <si>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</si>
  <si>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</si>
  <si>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</si>
  <si>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</si>
  <si>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</si>
  <si>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</si>
  <si>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</si>
  <si>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</si>
  <si>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</si>
  <si>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</si>
  <si>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</si>
  <si>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</si>
  <si>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</si>
  <si>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</si>
  <si>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</si>
  <si>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</si>
  <si>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</si>
  <si>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</si>
  <si>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</si>
  <si>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</si>
  <si>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</si>
  <si>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</si>
  <si>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</si>
  <si>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</si>
  <si>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</si>
  <si>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</si>
  <si>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</si>
  <si>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</si>
  <si>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</si>
  <si>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</si>
  <si>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</si>
  <si>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</si>
  <si>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</si>
  <si>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</si>
  <si>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</si>
  <si>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</si>
  <si>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</si>
  <si>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</si>
  <si>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</si>
  <si>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</si>
  <si>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</si>
  <si>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</si>
  <si>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</si>
  <si>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</si>
  <si>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</si>
  <si>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</si>
  <si>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</si>
  <si>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</si>
  <si>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</si>
  <si>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</si>
  <si>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</si>
  <si>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</si>
  <si>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</si>
  <si>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</si>
  <si>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</si>
  <si>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</si>
  <si>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</si>
  <si>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</si>
  <si>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</si>
  <si>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</si>
  <si>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</si>
  <si>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</si>
  <si>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</si>
  <si>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</si>
  <si>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</si>
  <si>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</si>
  <si>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</si>
  <si>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</si>
  <si>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</si>
  <si>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</si>
  <si>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</si>
  <si>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</si>
  <si>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</si>
  <si>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</si>
  <si>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</si>
  <si>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</si>
  <si>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</si>
  <si>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</si>
  <si>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</si>
  <si>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</si>
  <si>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</si>
  <si>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</si>
  <si>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</si>
  <si>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</si>
  <si>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</si>
  <si>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</si>
  <si>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</si>
  <si>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</si>
  <si>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</si>
  <si>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</si>
  <si>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</si>
  <si>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</si>
  <si>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</si>
  <si>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</si>
  <si>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</si>
  <si>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</si>
  <si>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</si>
  <si>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</si>
  <si>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</si>
  <si>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</si>
  <si>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</si>
  <si>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</si>
  <si>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</si>
  <si>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</si>
  <si>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</si>
  <si>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</si>
  <si>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</si>
  <si>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</si>
  <si>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</si>
  <si>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</si>
  <si>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</si>
  <si>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</si>
  <si>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</si>
  <si>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</si>
  <si>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</si>
  <si>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</si>
  <si>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</si>
  <si>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</si>
  <si>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</si>
  <si>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</si>
  <si>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</si>
  <si>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</si>
  <si>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</si>
  <si>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</si>
  <si>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</si>
  <si>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</si>
  <si>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</si>
  <si>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</si>
  <si>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</si>
  <si>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</si>
  <si>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</si>
  <si>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</si>
  <si>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</si>
  <si>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</si>
  <si>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</si>
  <si>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</si>
  <si>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</si>
  <si>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</si>
  <si>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</si>
  <si>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</si>
  <si>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</si>
  <si>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</si>
  <si>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</si>
  <si>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</si>
  <si>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</si>
  <si>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</si>
  <si>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</si>
  <si>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</si>
  <si>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</si>
  <si>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</si>
  <si>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</si>
  <si>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</si>
  <si>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</si>
  <si>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</si>
  <si>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</si>
  <si>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</si>
  <si>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</si>
  <si>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</si>
  <si>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</si>
  <si>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</si>
  <si>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</si>
  <si>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</si>
  <si>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</si>
  <si>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</si>
  <si>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</si>
  <si>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</si>
  <si>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</si>
  <si>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</si>
  <si>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</si>
  <si>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</si>
  <si>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</si>
  <si>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</si>
  <si>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</si>
  <si>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</si>
  <si>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</si>
  <si>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</si>
  <si>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</si>
  <si>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</si>
  <si>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</si>
  <si>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</si>
  <si>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</si>
  <si>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</si>
  <si>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</si>
  <si>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</si>
  <si>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</si>
  <si>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</si>
  <si>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</si>
  <si>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</si>
  <si>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</si>
  <si>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</si>
  <si>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</si>
  <si>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</si>
  <si>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</si>
  <si>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</si>
  <si>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</si>
  <si>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</si>
  <si>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</si>
  <si>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</si>
  <si>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</si>
  <si>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</si>
  <si>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</si>
  <si>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</si>
  <si>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</si>
  <si>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</si>
  <si>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</si>
  <si>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</si>
  <si>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</si>
  <si>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</si>
  <si>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</si>
  <si>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</si>
  <si>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</si>
  <si>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</si>
  <si>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</si>
  <si>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</si>
  <si>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</si>
  <si>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</si>
  <si>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</si>
  <si>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</si>
  <si>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</si>
  <si>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</si>
  <si>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</si>
  <si>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</si>
  <si>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</si>
  <si>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</si>
  <si>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</si>
  <si>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</si>
  <si>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</si>
  <si>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</si>
  <si>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</si>
  <si>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</si>
  <si>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</si>
  <si>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</si>
  <si>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</si>
  <si>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</si>
  <si>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</si>
  <si>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</si>
  <si>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</si>
  <si>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</si>
  <si>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</si>
  <si>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</si>
  <si>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</si>
  <si>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</si>
  <si>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</si>
  <si>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</si>
  <si>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</si>
  <si>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</si>
  <si>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</si>
  <si>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</si>
  <si>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</si>
  <si>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</si>
  <si>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</si>
  <si>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</si>
  <si>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</si>
  <si>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</si>
  <si>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</si>
  <si>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</si>
  <si>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</si>
  <si>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</si>
  <si>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</si>
  <si>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</si>
  <si>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</si>
  <si>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</si>
  <si>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</si>
  <si>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</si>
  <si>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</si>
  <si>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</si>
  <si>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</si>
  <si>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</si>
  <si>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</si>
  <si>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</si>
  <si>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</si>
  <si>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</si>
  <si>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</si>
  <si>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</si>
  <si>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</si>
  <si>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</si>
  <si>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</si>
  <si>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</si>
  <si>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</si>
  <si>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</si>
  <si>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</si>
  <si>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</si>
  <si>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</si>
  <si>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</si>
  <si>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</si>
  <si>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</si>
  <si>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</si>
  <si>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</si>
  <si>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</si>
  <si>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</si>
  <si>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</si>
  <si>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</si>
  <si>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</si>
  <si>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</si>
  <si>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</si>
  <si>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</si>
  <si>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</si>
  <si>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</si>
  <si>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</si>
  <si>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</si>
  <si>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</si>
  <si>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</si>
  <si>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</si>
  <si>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</si>
  <si>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</si>
  <si>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</si>
  <si>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</si>
  <si>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</si>
  <si>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</si>
  <si>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</si>
  <si>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</si>
  <si>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</si>
  <si>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</si>
  <si>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</si>
  <si>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</si>
  <si>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</si>
  <si>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</si>
  <si>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</si>
  <si>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</si>
  <si>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</si>
  <si>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</si>
  <si>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</si>
  <si>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</si>
  <si>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</si>
  <si>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</si>
  <si>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</si>
  <si>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</si>
  <si>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</si>
  <si>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</si>
  <si>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</si>
  <si>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</si>
  <si>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</si>
  <si>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</si>
  <si>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</si>
  <si>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</si>
  <si>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</si>
  <si>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</si>
  <si>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</si>
  <si>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</si>
  <si>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</si>
  <si>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</si>
  <si>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</si>
  <si>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</si>
  <si>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</si>
  <si>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</si>
  <si>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</si>
  <si>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</si>
  <si>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</si>
  <si>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</si>
  <si>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</si>
  <si>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</si>
  <si>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</si>
  <si>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</si>
  <si>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</si>
  <si>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</si>
  <si>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</si>
  <si>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</si>
  <si>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</si>
  <si>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</si>
  <si>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</si>
  <si>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</si>
  <si>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</si>
  <si>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</si>
  <si>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</si>
  <si>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</si>
  <si>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</si>
  <si>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</si>
  <si>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</si>
  <si>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</si>
  <si>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</si>
  <si>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</si>
  <si>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</si>
  <si>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</si>
  <si>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</si>
  <si>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</si>
  <si>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</si>
  <si>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</si>
  <si>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</si>
  <si>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</si>
  <si>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</si>
  <si>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</si>
  <si>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</si>
  <si>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</si>
  <si>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</si>
  <si>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</si>
  <si>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</si>
  <si>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</si>
  <si>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</si>
  <si>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</si>
  <si>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</si>
  <si>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</si>
  <si>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</si>
  <si>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</si>
  <si>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</si>
  <si>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</si>
  <si>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</si>
  <si>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</si>
  <si>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</si>
  <si>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</si>
  <si>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</si>
  <si>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</si>
  <si>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</si>
  <si>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</si>
  <si>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</si>
  <si>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</si>
  <si>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</si>
  <si>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</si>
  <si>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</si>
  <si>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</si>
  <si>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</si>
  <si>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</si>
  <si>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</si>
  <si>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</si>
  <si>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</si>
  <si>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</si>
  <si>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</si>
  <si>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</si>
  <si>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</si>
  <si>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</si>
  <si>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</si>
  <si>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</si>
  <si>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</si>
  <si>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</si>
  <si>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</si>
  <si>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</si>
  <si>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</si>
  <si>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</si>
  <si>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</si>
  <si>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</si>
  <si>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</si>
  <si>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</si>
  <si>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</si>
  <si>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</si>
  <si>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</si>
  <si>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</si>
  <si>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</si>
  <si>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</si>
  <si>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</si>
  <si>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</si>
  <si>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</si>
  <si>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</si>
  <si>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</si>
  <si>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</si>
  <si>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</si>
  <si>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</si>
  <si>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</si>
  <si>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</si>
  <si>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</si>
  <si>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</si>
  <si>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</si>
  <si>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</si>
  <si>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</si>
  <si>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</si>
  <si>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</si>
  <si>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</si>
  <si>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</si>
  <si>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</si>
  <si>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</si>
  <si>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</si>
  <si>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</si>
  <si>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</si>
  <si>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</si>
  <si>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</si>
  <si>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</si>
  <si>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</si>
  <si>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</si>
  <si>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</si>
  <si>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</si>
  <si>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</si>
  <si>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</si>
  <si>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</si>
  <si>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</si>
  <si>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</si>
  <si>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</si>
  <si>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</si>
  <si>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</si>
  <si>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</si>
  <si>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</si>
  <si>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</si>
  <si>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</si>
  <si>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</si>
  <si>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</si>
  <si>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</si>
  <si>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</si>
  <si>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</si>
  <si>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</si>
  <si>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</si>
  <si>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</si>
  <si>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</si>
  <si>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</si>
  <si>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</si>
  <si>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</si>
  <si>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</si>
  <si>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</si>
  <si>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</si>
  <si>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</si>
  <si>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</si>
  <si>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</si>
  <si>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</si>
  <si>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</si>
  <si>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</si>
  <si>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</si>
  <si>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</si>
  <si>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</si>
  <si>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</si>
  <si>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</si>
  <si>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</si>
  <si>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</si>
  <si>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</si>
  <si>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</si>
  <si>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</si>
  <si>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</si>
  <si>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</si>
  <si>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</si>
  <si>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</si>
  <si>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</si>
  <si>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</si>
  <si>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</si>
  <si>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</si>
  <si>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</si>
  <si>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</si>
  <si>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</si>
  <si>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</si>
  <si>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</si>
  <si>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</si>
  <si>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</si>
  <si>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</si>
  <si>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</si>
  <si>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</si>
  <si>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</si>
  <si>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</si>
  <si>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</si>
  <si>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</si>
  <si>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</si>
  <si>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</si>
  <si>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</si>
  <si>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</si>
  <si>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</si>
  <si>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</si>
  <si>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</si>
  <si>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</si>
  <si>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</si>
  <si>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</si>
  <si>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</si>
  <si>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</si>
  <si>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</si>
  <si>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</si>
  <si>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</si>
  <si>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</si>
  <si>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</si>
  <si>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</si>
  <si>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</si>
  <si>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</si>
  <si>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</si>
  <si>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</si>
  <si>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</si>
  <si>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</si>
  <si>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</si>
  <si>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</si>
  <si>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</si>
  <si>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</si>
  <si>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</si>
  <si>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</si>
  <si>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</si>
  <si>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</si>
  <si>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</si>
  <si>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</si>
  <si>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</si>
  <si>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</si>
  <si>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</si>
  <si>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</si>
  <si>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</si>
  <si>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</si>
  <si>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</si>
  <si>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</si>
  <si>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</si>
  <si>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</si>
  <si>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</si>
  <si>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</si>
  <si>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</si>
  <si>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</si>
  <si>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</si>
  <si>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</si>
  <si>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</si>
  <si>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</si>
  <si>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</si>
  <si>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</si>
  <si>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</si>
  <si>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</si>
  <si>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</si>
  <si>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</si>
  <si>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</si>
  <si>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</si>
  <si>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</si>
  <si>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</si>
  <si>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</si>
  <si>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</si>
  <si>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</si>
  <si>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</si>
  <si>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</si>
  <si>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</si>
  <si>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</si>
  <si>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</si>
  <si>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</si>
  <si>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</si>
  <si>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</si>
  <si>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</si>
  <si>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</si>
  <si>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</si>
  <si>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</si>
  <si>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</si>
  <si>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</si>
  <si>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</si>
  <si>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</si>
  <si>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</si>
  <si>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</si>
  <si>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</si>
  <si>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</si>
  <si>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</si>
  <si>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</si>
  <si>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</si>
  <si>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</si>
  <si>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</si>
  <si>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</si>
  <si>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</si>
  <si>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</si>
  <si>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</si>
  <si>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</si>
  <si>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</si>
  <si>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</si>
  <si>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</si>
  <si>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</si>
  <si>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</si>
  <si>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</si>
  <si>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</si>
  <si>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</si>
  <si>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</si>
  <si>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</si>
  <si>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</si>
  <si>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</si>
  <si>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</si>
  <si>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</si>
  <si>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</si>
  <si>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</si>
  <si>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</si>
  <si>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</si>
  <si>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</si>
  <si>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</si>
  <si>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</si>
  <si>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</si>
  <si>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</si>
  <si>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</si>
  <si>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</si>
  <si>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</si>
  <si>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</si>
  <si>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</si>
  <si>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</si>
  <si>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</si>
  <si>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</si>
  <si>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</si>
  <si>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</si>
  <si>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</si>
  <si>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</si>
  <si>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</si>
  <si>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</si>
  <si>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</si>
  <si>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</si>
  <si>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</si>
  <si>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</si>
  <si>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</si>
  <si>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</si>
  <si>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</si>
  <si>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</si>
  <si>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</si>
  <si>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</si>
  <si>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</si>
  <si>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</si>
  <si>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</si>
  <si>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</si>
  <si>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</si>
  <si>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</si>
  <si>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</si>
  <si>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</si>
  <si>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</si>
  <si>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</si>
  <si>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</si>
  <si>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</si>
  <si>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</si>
  <si>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</si>
  <si>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</si>
  <si>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</si>
  <si>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</si>
  <si>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</si>
  <si>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</si>
  <si>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</si>
  <si>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</si>
  <si>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</si>
  <si>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</si>
  <si>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</si>
  <si>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</si>
  <si>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</si>
  <si>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</si>
  <si>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</si>
  <si>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</si>
  <si>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</si>
  <si>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</si>
  <si>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</si>
  <si>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</si>
  <si>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</si>
  <si>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</si>
  <si>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</si>
  <si>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</si>
  <si>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</si>
  <si>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</si>
  <si>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</si>
  <si>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</si>
  <si>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</si>
  <si>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</si>
  <si>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</si>
  <si>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</si>
  <si>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</si>
  <si>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</si>
  <si>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</si>
  <si>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</si>
  <si>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</si>
  <si>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</si>
  <si>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</si>
  <si>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</si>
  <si>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</si>
  <si>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</si>
  <si>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</si>
  <si>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</si>
  <si>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</si>
  <si>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</si>
  <si>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</si>
  <si>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</si>
  <si>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</si>
  <si>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</si>
  <si>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</si>
  <si>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</si>
  <si>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</si>
  <si>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</si>
  <si>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</si>
  <si>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</si>
  <si>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</si>
  <si>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</si>
  <si>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</si>
  <si>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</si>
  <si>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</si>
  <si>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</si>
  <si>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</si>
  <si>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</si>
  <si>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</si>
  <si>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</si>
  <si>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</si>
  <si>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</si>
  <si>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</si>
  <si>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</si>
  <si>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</si>
  <si>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</si>
  <si>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</si>
  <si>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</si>
  <si>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</si>
  <si>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</si>
  <si>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</si>
  <si>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</si>
  <si>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</si>
  <si>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</si>
  <si>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</si>
  <si>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</si>
  <si>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</si>
  <si>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</si>
  <si>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</si>
  <si>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</si>
  <si>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</si>
  <si>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</si>
  <si>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</si>
  <si>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</si>
  <si>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</si>
  <si>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</si>
  <si>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</si>
  <si>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</si>
  <si>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</si>
  <si>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</si>
  <si>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</si>
  <si>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</si>
  <si>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</si>
  <si>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</si>
  <si>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</si>
  <si>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</si>
  <si>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</si>
  <si>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</si>
  <si>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</si>
  <si>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</si>
  <si>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</si>
  <si>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</si>
  <si>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</si>
  <si>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</si>
  <si>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</si>
  <si>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</si>
  <si>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</si>
  <si>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</si>
  <si>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</si>
  <si>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</si>
  <si>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</si>
  <si>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</si>
  <si>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</si>
  <si>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</si>
  <si>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</si>
  <si>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</si>
  <si>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</si>
  <si>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</si>
  <si>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01/10</t>
  </si>
  <si>
    <t>8/25</t>
  </si>
  <si>
    <t>Correction made to Food Services</t>
  </si>
  <si>
    <t>Correction made to Special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</si>
</sst>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89" zoomScale="99" zoomScaleNormal="99" workbookViewId="0">
      <selection activeCell="F117" sqref="F11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929</v>
      </c>
      <c r="B2">
        <f>INDEX('School Tables'!$AH$3:$AH$213,MATCH('DOE25'!A2,'School Tables'!$AJ$3:$AJ$213,0))</f>
        <v>51</v>
      </c>
      <c r="C2">
        <f>INDEX('School Tables'!$AI$3:$AI$213,MATCH('DOE25'!A2,'School Tables'!$AJ$3:$AJ$213,0))</f>
        <v>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v>149237.38</v>
      </c>
      <c r="H9" s="18">
        <v>113753.06</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0</v>
      </c>
      <c r="G19" s="38">
        <f>SUM(G9:G18)</f>
        <v>149237.38</v>
      </c>
      <c r="H19" s="38">
        <f>SUM(H9:H18)</f>
        <v>113753.06</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149237.38</v>
      </c>
      <c r="H48" s="18">
        <v>113753.06</v>
      </c>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149237.38</v>
      </c>
      <c r="H51" s="38">
        <f>SUM(H35:H50)</f>
        <v>113753.06</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0</v>
      </c>
      <c r="G52" s="38">
        <f>G51+G32</f>
        <v>149237.38</v>
      </c>
      <c r="H52" s="38">
        <f>H51+H32</f>
        <v>113753.06</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7996184.6-8878.17</f>
        <v>7987306.4299999997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7987306.4299999997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1515114.25</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53703.07</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7096.02</v>
      </c>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1575913.34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267594.94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292658.94</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14943.59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14943.59</v>
      </c>
      <c r="G111" s="38">
        <f>SUM(G96:G110)</f>
        <v>267594.94</v>
      </c>
      <c r="H111" s="38">
        <f>SUM(H96:H110)</f>
        <v>292658.94</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9578163.3599999994</v>
      </c>
      <c r="G112" s="38">
        <f>G60+G111</f>
        <v>267594.94</v>
      </c>
      <c r="H112" s="38">
        <f>H60+H79+H94+H111</f>
        <v>292658.94</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10871605.58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4">
        <v>658906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158.49+9036.66</f>
        <v>9195.15</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11539706.73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3548.01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65184.88</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10427.620000000001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68732.89</v>
      </c>
      <c r="G136" s="38">
        <f>SUM(G123:G135)</f>
        <v>10427.620000000001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11608439.620000001</v>
      </c>
      <c r="G140" s="38">
        <f>G121+SUM(G136:G137)</f>
        <v>10427.620000000001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868655.66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92754.12+390921.16</f>
        <v>483675.27999999997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4424.5+78198.26+36160.51</f>
        <v>118783.26999999999</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509187.64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436138.85</f>
        <v>436138.85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130492.9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16370.87+2260283.57</f>
        <v>2276654.44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130492.9</v>
      </c>
      <c r="G163" s="38">
        <f>SUM(G150:G162)</f>
        <v>509187.64</v>
      </c>
      <c r="H163" s="38">
        <f>SUM(H150:H162)</f>
        <v>4183907.5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17359.05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147851.94999999998</v>
      </c>
      <c r="G170" s="38">
        <f>G147+G163+SUM(G164:G169)</f>
        <v>509187.64</v>
      </c>
      <c r="H170" s="38">
        <f>H147+H163+SUM(H164:H169)</f>
        <v>4183907.5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21334454.93</v>
      </c>
      <c r="G194" s="38">
        <f>G112+G140+G170+G193</f>
        <v>787210.2</v>
      </c>
      <c r="H194" s="38">
        <f>H112+H140+H170+H193</f>
        <v>4476566.4400000004</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93147.88+2087122.73+2751.76+2751.76+26579.5</f>
        <v>2212353.6299999994</v>
      </c>
      <c r="G198" s="18">
        <f>39560.67+1059792.48+19530.9</f>
        <v>1118884.0499999998</v>
      </c>
      <c r="H198" s="18">
        <f>83272.11+11979.42+352366.53</f>
        <v>447618.06000000006</v>
      </c>
      <c r="I198" s="18">
        <f>7703.09+71131.32</f>
        <v>78834.41</v>
      </c>
      <c r="J198" s="18">
        <f>87614.17+7828.84</f>
        <v>95443.01</v>
      </c>
      <c r="K198" s="18">
        <v>140</v>
      </c>
      <c r="L198" s="13">
        <f>SUM(F198:K198)</f>
        <v>3953273.1599999992</v>
      </c>
      <c r="M198" s="8"/>
      <c r="N198" s="164"/>
    </row>
    <row r="199" spans="1:14" s="3" customFormat="1" ht="12.2" customHeight="1" x14ac:dyDescent="0.15">
      <c r="A199" s="1" t="s">
        <v>439</v>
      </c>
      <c r="B199" s="2" t="s">
        <v>341</v>
      </c>
      <c r="C199" s="2" t="s">
        <v>291</v>
      </c>
      <c r="D199" s="2" t="s">
        <v>431</v>
      </c>
      <c r="E199" s="6">
        <v>1200</v>
      </c>
      <c r="F199" s="18">
        <f>3160.5+990900.6+45025+113920.24+9381</f>
        <v>1162387.3400000001</v>
      </c>
      <c r="G199" s="18">
        <f>241.79+37374.42+332925.19+10661.78+3203.26+8842.87+49143.6+9308.15</f>
        <v>451701.06000000006</v>
      </c>
      <c r="H199" s="18">
        <f>85017.01+37800+2450</f>
        <v>125267.01</v>
      </c>
      <c r="I199" s="18">
        <f>288.12+2178.98+390.6+383.22</f>
        <v>3240.92</v>
      </c>
      <c r="J199" s="18"/>
      <c r="K199" s="18"/>
      <c r="L199" s="13">
        <f>SUM(F199:K199)</f>
        <v>1742596.33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47548.79+13066.27+29507</f>
        <v>90122.06</v>
      </c>
      <c r="G201" s="18">
        <f>21543.09+2757.28+6140.07+807.32</f>
        <v>31247.759999999998</v>
      </c>
      <c r="H201" s="18">
        <v>2195</v>
      </c>
      <c r="I201" s="18">
        <v>3844.37</v>
      </c>
      <c r="J201" s="18"/>
      <c r="K201" s="18">
        <v>566.25</v>
      </c>
      <c r="L201" s="13">
        <f>SUM(F201:K201)</f>
        <v>127975.43999999999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110249.27+203989.39+132930.36+103984.67+74370.62+18762+2605.83</f>
        <v>646892.14</v>
      </c>
      <c r="G203" s="18">
        <f>36935.18+94057.42+34429.08+9359.21+26107.47+77940.02+34684.42+5603.46</f>
        <v>319116.26</v>
      </c>
      <c r="H203" s="18">
        <f>6320.16+107.31+47593.04+56989.73+346.5+2884</f>
        <v>114240.74</v>
      </c>
      <c r="I203" s="18">
        <f>2261.23+2497.29+3343.12+1648.98</f>
        <v>9750.6200000000008</v>
      </c>
      <c r="J203" s="18"/>
      <c r="K203" s="18">
        <v>1132</v>
      </c>
      <c r="L203" s="13">
        <f t="shared" ref="L203:L209" si="0">SUM(F203:K203)</f>
        <v>1091131.7600000002</v>
      </c>
      <c r="M203" s="8"/>
      <c r="N203" s="164"/>
    </row>
    <row r="204" spans="1:14" s="3" customFormat="1" ht="12.2" customHeight="1" x14ac:dyDescent="0.15">
      <c r="A204" s="1" t="s">
        <v>443</v>
      </c>
      <c r="B204" s="2" t="s">
        <v>341</v>
      </c>
      <c r="C204" s="2" t="s">
        <v>295</v>
      </c>
      <c r="D204" s="2" t="s">
        <v>431</v>
      </c>
      <c r="E204" s="6">
        <v>2200</v>
      </c>
      <c r="F204" s="18">
        <v>64037</v>
      </c>
      <c r="G204" s="18">
        <f>633.6+6451.72+20039.36+37965.12+2998.65+573.64</f>
        <v>68662.09</v>
      </c>
      <c r="H204" s="18">
        <v>224.5</v>
      </c>
      <c r="I204" s="18">
        <f>2055.31+8202.46</f>
        <v>10257.769999999999</v>
      </c>
      <c r="J204" s="18"/>
      <c r="K204" s="18"/>
      <c r="L204" s="13">
        <f t="shared" si="0"/>
        <v>143181.35999999999</v>
      </c>
      <c r="M204" s="8"/>
      <c r="N204" s="164"/>
    </row>
    <row r="205" spans="1:14" s="3" customFormat="1" ht="12.2" customHeight="1" x14ac:dyDescent="0.15">
      <c r="A205" s="1" t="s">
        <v>444</v>
      </c>
      <c r="B205" s="2" t="s">
        <v>341</v>
      </c>
      <c r="C205" s="2" t="s">
        <v>296</v>
      </c>
      <c r="D205" s="2" t="s">
        <v>431</v>
      </c>
      <c r="E205" s="6">
        <v>2300</v>
      </c>
      <c r="F205" s="18">
        <f>90369.01+60707.6+2751.76</f>
        <v>153828.37</v>
      </c>
      <c r="G205" s="18">
        <f>25072.4+27485.43+1353.35</f>
        <v>53911.18</v>
      </c>
      <c r="H205" s="18">
        <f>8627.53+17474.84+6248.46</f>
        <v>32350.83</v>
      </c>
      <c r="I205" s="18">
        <f>10402.41+1176.65</f>
        <v>11579.06</v>
      </c>
      <c r="J205" s="18">
        <f>5994.12+3206.35</f>
        <v>9200.4699999999993</v>
      </c>
      <c r="K205" s="18">
        <f>14295.85+14375.74+590.45</f>
        <v>29262.04</v>
      </c>
      <c r="L205" s="13">
        <f t="shared" si="0"/>
        <v>290131.95</v>
      </c>
      <c r="M205" s="8"/>
      <c r="N205" s="164"/>
    </row>
    <row r="206" spans="1:14" s="3" customFormat="1" ht="12.2" customHeight="1" x14ac:dyDescent="0.15">
      <c r="A206" s="1" t="s">
        <v>445</v>
      </c>
      <c r="B206" s="2" t="s">
        <v>341</v>
      </c>
      <c r="C206" s="2" t="s">
        <v>297</v>
      </c>
      <c r="D206" s="2" t="s">
        <v>431</v>
      </c>
      <c r="E206" s="6">
        <v>2400</v>
      </c>
      <c r="F206" s="18">
        <f>373907.59+12508</f>
        <v>386415.59</v>
      </c>
      <c r="G206" s="18">
        <f>128706.71+3349.47</f>
        <v>132056.18</v>
      </c>
      <c r="H206" s="18">
        <v>58203.82</v>
      </c>
      <c r="I206" s="18">
        <v>4502.22</v>
      </c>
      <c r="J206" s="18"/>
      <c r="K206" s="18"/>
      <c r="L206" s="13">
        <f t="shared" si="0"/>
        <v>581177.80999999994</v>
      </c>
      <c r="M206" s="8"/>
      <c r="N206" s="164"/>
    </row>
    <row r="207" spans="1:14" s="3" customFormat="1" ht="12.2" customHeight="1" x14ac:dyDescent="0.15">
      <c r="A207" s="1" t="s">
        <v>446</v>
      </c>
      <c r="B207" s="2" t="s">
        <v>341</v>
      </c>
      <c r="C207" s="2" t="s">
        <v>298</v>
      </c>
      <c r="D207" s="2" t="s">
        <v>431</v>
      </c>
      <c r="E207" s="6">
        <v>2500</v>
      </c>
      <c r="F207" s="18">
        <f>105693.72+2751.76</f>
        <v>108445.48</v>
      </c>
      <c r="G207" s="18">
        <f>31451.85+946.81</f>
        <v>32398.66</v>
      </c>
      <c r="H207" s="18">
        <v>201.17</v>
      </c>
      <c r="I207" s="18"/>
      <c r="J207" s="18"/>
      <c r="K207" s="18">
        <v>4344</v>
      </c>
      <c r="L207" s="13">
        <f t="shared" si="0"/>
        <v>145389.31</v>
      </c>
      <c r="M207" s="8"/>
      <c r="N207" s="164"/>
    </row>
    <row r="208" spans="1:14" s="3" customFormat="1" ht="12.2" customHeight="1" x14ac:dyDescent="0.15">
      <c r="A208" s="1" t="s">
        <v>447</v>
      </c>
      <c r="B208" s="2" t="s">
        <v>341</v>
      </c>
      <c r="C208" s="2" t="s">
        <v>299</v>
      </c>
      <c r="D208" s="2" t="s">
        <v>431</v>
      </c>
      <c r="E208" s="6">
        <v>2600</v>
      </c>
      <c r="F208" s="18">
        <f>91630.41+133490.98</f>
        <v>225121.39</v>
      </c>
      <c r="G208" s="18">
        <f>44015.83+85490.08+2016.64</f>
        <v>131522.55000000002</v>
      </c>
      <c r="H208" s="18">
        <f>151154.81+6494.99+12000+5138</f>
        <v>174787.8</v>
      </c>
      <c r="I208" s="18">
        <f>78128.11+213964.07</f>
        <v>292092.18</v>
      </c>
      <c r="J208" s="18">
        <f>1303.15+47754.11+18768.96</f>
        <v>67826.22</v>
      </c>
      <c r="K208" s="18">
        <v>76.8</v>
      </c>
      <c r="L208" s="13">
        <f t="shared" si="0"/>
        <v>891426.94</v>
      </c>
      <c r="M208" s="8"/>
      <c r="N208" s="164"/>
    </row>
    <row r="209" spans="1:14" s="3" customFormat="1" ht="12.2" customHeight="1" x14ac:dyDescent="0.15">
      <c r="A209" s="1" t="s">
        <v>448</v>
      </c>
      <c r="B209" s="2" t="s">
        <v>341</v>
      </c>
      <c r="C209" s="2" t="s">
        <v>300</v>
      </c>
      <c r="D209" s="2" t="s">
        <v>431</v>
      </c>
      <c r="E209" s="6">
        <v>2700</v>
      </c>
      <c r="F209" s="18">
        <f>124638.75+4521.49+26929.48+2120.88+1092.97</f>
        <v>159303.57</v>
      </c>
      <c r="G209" s="18">
        <f>36900.57+345.7+59.16+2060.3+162.22+83.61+1427.05</f>
        <v>41038.610000000008</v>
      </c>
      <c r="H209" s="18">
        <v>42420</v>
      </c>
      <c r="I209" s="18">
        <f>42768.65</f>
        <v>42768.65</v>
      </c>
      <c r="J209" s="18">
        <v>236.99</v>
      </c>
      <c r="K209" s="18"/>
      <c r="L209" s="13">
        <f t="shared" si="0"/>
        <v>285767.82</v>
      </c>
      <c r="M209" s="8"/>
      <c r="N209" s="164"/>
    </row>
    <row r="210" spans="1:14" s="3" customFormat="1" ht="12.2" customHeight="1" x14ac:dyDescent="0.15">
      <c r="A210" s="1" t="s">
        <v>449</v>
      </c>
      <c r="B210" s="2" t="s">
        <v>341</v>
      </c>
      <c r="C210" s="2" t="s">
        <v>343</v>
      </c>
      <c r="D210" s="2" t="s">
        <v>431</v>
      </c>
      <c r="E210" s="6">
        <v>2800</v>
      </c>
      <c r="F210" s="18">
        <v>993.08</v>
      </c>
      <c r="G210" s="18">
        <f>75.97+8.9</f>
        <v>84.87</v>
      </c>
      <c r="H210" s="18"/>
      <c r="I210" s="18"/>
      <c r="J210" s="18"/>
      <c r="K210" s="18"/>
      <c r="L210" s="13">
        <f>SUM(F210:K210)</f>
        <v>1077.95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5209899.6500000004</v>
      </c>
      <c r="G212" s="38">
        <f t="shared" si="1"/>
        <v>2380623.27</v>
      </c>
      <c r="H212" s="38">
        <f t="shared" si="1"/>
        <v>997508.92999999993</v>
      </c>
      <c r="I212" s="38">
        <f t="shared" si="1"/>
        <v>456870.2</v>
      </c>
      <c r="J212" s="38">
        <f t="shared" si="1"/>
        <v>172706.69</v>
      </c>
      <c r="K212" s="38">
        <f t="shared" si="1"/>
        <v>35521.090000000004</v>
      </c>
      <c r="L212" s="38">
        <f t="shared" si="1"/>
        <v>9253129.8299999982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46573.94+1139594.53+12508+1375.88+1375.88</f>
        <v>1201428.2299999997</v>
      </c>
      <c r="G216" s="18">
        <f>19780.34+631673.77+10625.72</f>
        <v>662079.82999999996</v>
      </c>
      <c r="H216" s="18">
        <f>41636.06+62447.12</f>
        <v>104083.18</v>
      </c>
      <c r="I216" s="18">
        <f>3851.55+24478.05</f>
        <v>28329.599999999999</v>
      </c>
      <c r="J216" s="18">
        <f>43807.09+2258.19</f>
        <v>46065.279999999999</v>
      </c>
      <c r="K216" s="18">
        <v>470</v>
      </c>
      <c r="L216" s="13">
        <f>SUM(F216:K216)</f>
        <v>2042456.1199999996</v>
      </c>
      <c r="M216" s="8"/>
      <c r="N216" s="164"/>
    </row>
    <row r="217" spans="1:14" s="3" customFormat="1" ht="12.2" customHeight="1" x14ac:dyDescent="0.15">
      <c r="A217" s="1" t="s">
        <v>439</v>
      </c>
      <c r="B217" s="2" t="s">
        <v>346</v>
      </c>
      <c r="C217" s="2" t="s">
        <v>291</v>
      </c>
      <c r="D217" s="2" t="s">
        <v>431</v>
      </c>
      <c r="E217" s="6">
        <v>1200</v>
      </c>
      <c r="F217" s="18">
        <f>1354.5+389505.59+65710.69</f>
        <v>456570.78</v>
      </c>
      <c r="G217" s="18">
        <f>103.62+10900.88+123897.29+20843.3+4089.97</f>
        <v>159835.05999999997</v>
      </c>
      <c r="H217" s="18">
        <f>36435.86+425307.51</f>
        <v>461743.37</v>
      </c>
      <c r="I217" s="18">
        <f>84.04+749.07+144.49</f>
        <v>977.6</v>
      </c>
      <c r="J217" s="18">
        <v>766</v>
      </c>
      <c r="K217" s="18"/>
      <c r="L217" s="13">
        <f>SUM(F217:K217)</f>
        <v>1079892.81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5876.82+17427.77+40930</f>
        <v>64234.59</v>
      </c>
      <c r="G219" s="18">
        <f>2662.63+4078.74+8421.11+575.41</f>
        <v>15737.89</v>
      </c>
      <c r="H219" s="18">
        <v>1777.5</v>
      </c>
      <c r="I219" s="18">
        <f>4413.6+13.77</f>
        <v>4427.3700000000008</v>
      </c>
      <c r="J219" s="18">
        <v>570.26</v>
      </c>
      <c r="K219" s="18">
        <f>770+400</f>
        <v>1170</v>
      </c>
      <c r="L219" s="13">
        <f>SUM(F219:K219)</f>
        <v>87917.609999999986</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37954.67+92432.69+16429.6+62122.41+50404.94</f>
        <v>259344.31</v>
      </c>
      <c r="G221" s="18">
        <f>12715.39+42619.77+4255.28+1156.76+3226.77+27515.88+24398.82+1315.19</f>
        <v>117203.85999999999</v>
      </c>
      <c r="H221" s="18">
        <f>3160.08+48.63+21565.6+7043.68+32186+1147</f>
        <v>65150.99</v>
      </c>
      <c r="I221" s="18">
        <f>778.46+1131.59+1033.8+1535.16+900</f>
        <v>5379.01</v>
      </c>
      <c r="J221" s="18">
        <v>49.95</v>
      </c>
      <c r="K221" s="18">
        <v>315.89999999999998</v>
      </c>
      <c r="L221" s="13">
        <f t="shared" ref="L221:L227" si="2">SUM(F221:K221)</f>
        <v>447444.02</v>
      </c>
      <c r="M221" s="8"/>
      <c r="N221" s="164"/>
    </row>
    <row r="222" spans="1:14" s="3" customFormat="1" ht="12.2" customHeight="1" x14ac:dyDescent="0.15">
      <c r="A222" s="1" t="s">
        <v>443</v>
      </c>
      <c r="B222" s="2" t="s">
        <v>346</v>
      </c>
      <c r="C222" s="2" t="s">
        <v>295</v>
      </c>
      <c r="D222" s="2" t="s">
        <v>431</v>
      </c>
      <c r="E222" s="6">
        <v>2200</v>
      </c>
      <c r="F222" s="18"/>
      <c r="G222" s="18">
        <f>316.8+19496</f>
        <v>19812.8</v>
      </c>
      <c r="H222" s="18">
        <f>3225.86+4072.06</f>
        <v>7297.92</v>
      </c>
      <c r="I222" s="18">
        <v>3584.68</v>
      </c>
      <c r="J222" s="18">
        <v>68208.47</v>
      </c>
      <c r="K222" s="18"/>
      <c r="L222" s="13">
        <f t="shared" si="2"/>
        <v>98903.87</v>
      </c>
      <c r="M222" s="8"/>
      <c r="N222" s="164"/>
    </row>
    <row r="223" spans="1:14" s="3" customFormat="1" ht="12.2" customHeight="1" x14ac:dyDescent="0.15">
      <c r="A223" s="1" t="s">
        <v>444</v>
      </c>
      <c r="B223" s="2" t="s">
        <v>346</v>
      </c>
      <c r="C223" s="2" t="s">
        <v>296</v>
      </c>
      <c r="D223" s="2" t="s">
        <v>431</v>
      </c>
      <c r="E223" s="6">
        <v>2300</v>
      </c>
      <c r="F223" s="18">
        <f>45184.5+26017.54+1375.88</f>
        <v>72577.920000000013</v>
      </c>
      <c r="G223" s="18">
        <f>12536.2+11779.47+637.83</f>
        <v>24953.5</v>
      </c>
      <c r="H223" s="18">
        <f>4313.76+8737.42+2677.91</f>
        <v>15729.09</v>
      </c>
      <c r="I223" s="18">
        <f>5201.2+343.19</f>
        <v>5544.3899999999994</v>
      </c>
      <c r="J223" s="18">
        <f>2997.06+1374.15</f>
        <v>4371.21</v>
      </c>
      <c r="K223" s="18">
        <f>7147.92+7187.87+253.05</f>
        <v>14588.84</v>
      </c>
      <c r="L223" s="13">
        <f t="shared" si="2"/>
        <v>137764.95000000001</v>
      </c>
      <c r="M223" s="8"/>
      <c r="N223" s="164"/>
    </row>
    <row r="224" spans="1:14" s="3" customFormat="1" ht="12.2" customHeight="1" x14ac:dyDescent="0.15">
      <c r="A224" s="1" t="s">
        <v>445</v>
      </c>
      <c r="B224" s="2" t="s">
        <v>346</v>
      </c>
      <c r="C224" s="2" t="s">
        <v>297</v>
      </c>
      <c r="D224" s="2" t="s">
        <v>431</v>
      </c>
      <c r="E224" s="6">
        <v>2400</v>
      </c>
      <c r="F224" s="18">
        <v>126319.3</v>
      </c>
      <c r="G224" s="18">
        <f>75346.66+1131.57</f>
        <v>76478.23000000001</v>
      </c>
      <c r="H224" s="18">
        <v>8880.68</v>
      </c>
      <c r="I224" s="18">
        <v>2762.58</v>
      </c>
      <c r="J224" s="18">
        <v>2300</v>
      </c>
      <c r="K224" s="18">
        <v>1987.5</v>
      </c>
      <c r="L224" s="13">
        <f t="shared" si="2"/>
        <v>218728.29</v>
      </c>
      <c r="M224" s="8"/>
      <c r="N224" s="164"/>
    </row>
    <row r="225" spans="1:14" s="3" customFormat="1" ht="12.2" customHeight="1" x14ac:dyDescent="0.15">
      <c r="A225" s="1" t="s">
        <v>446</v>
      </c>
      <c r="B225" s="2" t="s">
        <v>346</v>
      </c>
      <c r="C225" s="2" t="s">
        <v>298</v>
      </c>
      <c r="D225" s="2" t="s">
        <v>431</v>
      </c>
      <c r="E225" s="6">
        <v>2500</v>
      </c>
      <c r="F225" s="18">
        <f>52846.86+1375.88</f>
        <v>54222.74</v>
      </c>
      <c r="G225" s="18">
        <f>15725.92+473.4</f>
        <v>16199.32</v>
      </c>
      <c r="H225" s="18">
        <v>100.58</v>
      </c>
      <c r="I225" s="18"/>
      <c r="J225" s="18"/>
      <c r="K225" s="18"/>
      <c r="L225" s="13">
        <f t="shared" si="2"/>
        <v>70522.64</v>
      </c>
      <c r="M225" s="8"/>
      <c r="N225" s="164"/>
    </row>
    <row r="226" spans="1:14" s="3" customFormat="1" ht="12.2" customHeight="1" x14ac:dyDescent="0.15">
      <c r="A226" s="1" t="s">
        <v>447</v>
      </c>
      <c r="B226" s="2" t="s">
        <v>346</v>
      </c>
      <c r="C226" s="2" t="s">
        <v>299</v>
      </c>
      <c r="D226" s="2" t="s">
        <v>431</v>
      </c>
      <c r="E226" s="6">
        <v>2600</v>
      </c>
      <c r="F226" s="18">
        <f>45815.21+89378.77</f>
        <v>135193.98000000001</v>
      </c>
      <c r="G226" s="18">
        <f>22007.92+66759.77+1012.46</f>
        <v>89780.150000000009</v>
      </c>
      <c r="H226" s="18">
        <f>75577.41+5136</f>
        <v>80713.41</v>
      </c>
      <c r="I226" s="18">
        <v>39064.06</v>
      </c>
      <c r="J226" s="18">
        <f>651.57+23877.06+20333.05</f>
        <v>44861.68</v>
      </c>
      <c r="K226" s="18">
        <v>34.799999999999997</v>
      </c>
      <c r="L226" s="13">
        <f t="shared" si="2"/>
        <v>389648.08</v>
      </c>
      <c r="M226" s="8"/>
      <c r="N226" s="164"/>
    </row>
    <row r="227" spans="1:14" s="3" customFormat="1" ht="12.2" customHeight="1" x14ac:dyDescent="0.15">
      <c r="A227" s="1" t="s">
        <v>448</v>
      </c>
      <c r="B227" s="2" t="s">
        <v>346</v>
      </c>
      <c r="C227" s="2" t="s">
        <v>300</v>
      </c>
      <c r="D227" s="2" t="s">
        <v>431</v>
      </c>
      <c r="E227" s="6">
        <v>2700</v>
      </c>
      <c r="F227" s="18">
        <f>40267.9+558.84+471.21+881.39</f>
        <v>42179.34</v>
      </c>
      <c r="G227" s="18">
        <f>11921.73+42.73+36.02+67.4+364.93</f>
        <v>12432.81</v>
      </c>
      <c r="H227" s="18">
        <v>13704.92</v>
      </c>
      <c r="I227" s="18">
        <v>13817.56</v>
      </c>
      <c r="J227" s="18"/>
      <c r="K227" s="18">
        <f>76.57-0.01</f>
        <v>76.559999999999988</v>
      </c>
      <c r="L227" s="13">
        <f t="shared" si="2"/>
        <v>82211.189999999988</v>
      </c>
      <c r="M227" s="8"/>
      <c r="N227" s="164"/>
    </row>
    <row r="228" spans="1:14" s="3" customFormat="1" ht="12.2" customHeight="1" x14ac:dyDescent="0.15">
      <c r="A228" s="1" t="s">
        <v>449</v>
      </c>
      <c r="B228" s="2" t="s">
        <v>346</v>
      </c>
      <c r="C228" s="2" t="s">
        <v>343</v>
      </c>
      <c r="D228" s="2" t="s">
        <v>431</v>
      </c>
      <c r="E228" s="6">
        <v>2800</v>
      </c>
      <c r="F228" s="18">
        <v>496.54</v>
      </c>
      <c r="G228" s="18">
        <v>37.979999999999997</v>
      </c>
      <c r="H228" s="18"/>
      <c r="I228" s="18"/>
      <c r="J228" s="18"/>
      <c r="K228" s="18"/>
      <c r="L228" s="13">
        <f>SUM(F228:K228)</f>
        <v>534.52</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2412567.73</v>
      </c>
      <c r="G230" s="38">
        <f>SUM(G216:G229)</f>
        <v>1194551.43</v>
      </c>
      <c r="H230" s="38">
        <f>SUM(H216:H229)</f>
        <v>759181.64000000013</v>
      </c>
      <c r="I230" s="38">
        <f>SUM(I216:I229)</f>
        <v>103886.85</v>
      </c>
      <c r="J230" s="38">
        <f>SUM(J216:J229)</f>
        <v>167192.85</v>
      </c>
      <c r="K230" s="38">
        <f t="shared" si="3"/>
        <v>18643.600000000002</v>
      </c>
      <c r="L230" s="38">
        <f t="shared" si="3"/>
        <v>4656024.0999999996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71977.91+1737123.62+41694+2126.36+2126.36</f>
        <v>1855048.2500000002</v>
      </c>
      <c r="G234" s="18">
        <f>30569.61+772181.77+16205.96</f>
        <v>818957.34</v>
      </c>
      <c r="H234" s="18">
        <f>64346.64+125</f>
        <v>64471.64</v>
      </c>
      <c r="I234" s="18">
        <f>5952.39+43524.66</f>
        <v>49477.05</v>
      </c>
      <c r="J234" s="18">
        <f>67701.86+19662.75</f>
        <v>87364.61</v>
      </c>
      <c r="K234" s="18">
        <v>800</v>
      </c>
      <c r="L234" s="13">
        <f>SUM(F234:K234)</f>
        <v>2876118.89</v>
      </c>
      <c r="M234" s="8"/>
      <c r="N234" s="164"/>
    </row>
    <row r="235" spans="1:14" s="3" customFormat="1" ht="12.2" customHeight="1" x14ac:dyDescent="0.15">
      <c r="A235" s="1" t="s">
        <v>439</v>
      </c>
      <c r="B235" s="2" t="s">
        <v>350</v>
      </c>
      <c r="C235" s="2" t="s">
        <v>291</v>
      </c>
      <c r="D235" s="2" t="s">
        <v>431</v>
      </c>
      <c r="E235" s="6">
        <v>1200</v>
      </c>
      <c r="F235" s="18">
        <f>1935+202884.18+6254</f>
        <v>211073.18</v>
      </c>
      <c r="G235" s="18">
        <f>148.03+3633.63+68322.15+2201.87</f>
        <v>74305.679999999993</v>
      </c>
      <c r="H235" s="18">
        <f>52051.24+547386.61+51512.52</f>
        <v>650950.37</v>
      </c>
      <c r="I235" s="18">
        <f>28.01+693.92</f>
        <v>721.93</v>
      </c>
      <c r="J235" s="18">
        <v>169.38</v>
      </c>
      <c r="K235" s="18"/>
      <c r="L235" s="13">
        <f>SUM(F235:K235)</f>
        <v>937220.54</v>
      </c>
      <c r="M235" s="8"/>
      <c r="N235" s="164"/>
    </row>
    <row r="236" spans="1:14" s="3" customFormat="1" ht="12.2" customHeight="1" x14ac:dyDescent="0.15">
      <c r="A236" s="1" t="s">
        <v>440</v>
      </c>
      <c r="B236" s="2" t="s">
        <v>350</v>
      </c>
      <c r="C236" s="2" t="s">
        <v>292</v>
      </c>
      <c r="D236" s="2" t="s">
        <v>431</v>
      </c>
      <c r="E236" s="6">
        <v>1300</v>
      </c>
      <c r="F236" s="18">
        <v>483149.54</v>
      </c>
      <c r="G236" s="18">
        <f>261662.1+4328.06</f>
        <v>265990.16000000003</v>
      </c>
      <c r="H236" s="18">
        <v>4868.8500000000004</v>
      </c>
      <c r="I236" s="18">
        <v>39146.5</v>
      </c>
      <c r="J236" s="18">
        <v>5783.62</v>
      </c>
      <c r="K236" s="18"/>
      <c r="L236" s="13">
        <f>SUM(F236:K236)</f>
        <v>798938.66999999993</v>
      </c>
      <c r="M236" s="8"/>
      <c r="N236" s="164"/>
    </row>
    <row r="237" spans="1:14" s="3" customFormat="1" ht="12.2" customHeight="1" x14ac:dyDescent="0.15">
      <c r="A237" s="1" t="s">
        <v>441</v>
      </c>
      <c r="B237" s="2" t="s">
        <v>350</v>
      </c>
      <c r="C237" s="2" t="s">
        <v>293</v>
      </c>
      <c r="D237" s="2" t="s">
        <v>431</v>
      </c>
      <c r="E237" s="6">
        <v>1400</v>
      </c>
      <c r="F237" s="18">
        <f>16505+109829.08</f>
        <v>126334.08</v>
      </c>
      <c r="G237" s="18">
        <f>4221.05+25213.7+1131.7</f>
        <v>30566.45</v>
      </c>
      <c r="H237" s="18">
        <v>43581.120000000003</v>
      </c>
      <c r="I237" s="18">
        <f>996.79+20185.19</f>
        <v>21181.98</v>
      </c>
      <c r="J237" s="18">
        <v>11703.3</v>
      </c>
      <c r="K237" s="18">
        <f>480+14838.02</f>
        <v>15318.02</v>
      </c>
      <c r="L237" s="13">
        <f>SUM(F237:K237)</f>
        <v>248684.94999999998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32532.57+22311.34+232956.24+51734.05+6254</f>
        <v>345788.2</v>
      </c>
      <c r="G239" s="18">
        <f>10898.9+10287.53+91198.5+41446.42+3041.55</f>
        <v>156872.89999999997</v>
      </c>
      <c r="H239" s="18">
        <f>4883.76+11.74+5205.49+5699+1147</f>
        <v>16946.989999999998</v>
      </c>
      <c r="I239" s="18">
        <f>667.25+273.14+6253.33+499.65</f>
        <v>7693.37</v>
      </c>
      <c r="J239" s="18"/>
      <c r="K239" s="18">
        <v>366.3</v>
      </c>
      <c r="L239" s="13">
        <f t="shared" ref="L239:L245" si="4">SUM(F239:K239)</f>
        <v>527667.76</v>
      </c>
      <c r="M239" s="8"/>
      <c r="N239" s="164"/>
    </row>
    <row r="240" spans="1:14" s="3" customFormat="1" ht="12.2" customHeight="1" x14ac:dyDescent="0.15">
      <c r="A240" s="1" t="s">
        <v>443</v>
      </c>
      <c r="B240" s="2" t="s">
        <v>350</v>
      </c>
      <c r="C240" s="2" t="s">
        <v>295</v>
      </c>
      <c r="D240" s="2" t="s">
        <v>431</v>
      </c>
      <c r="E240" s="6">
        <v>2200</v>
      </c>
      <c r="F240" s="18">
        <v>62746.7</v>
      </c>
      <c r="G240" s="18">
        <f>489.6+27798+562.09</f>
        <v>28849.69</v>
      </c>
      <c r="H240" s="18">
        <f>4985.42+3446.19</f>
        <v>8431.61</v>
      </c>
      <c r="I240" s="18">
        <v>2979.47</v>
      </c>
      <c r="J240" s="18"/>
      <c r="K240" s="18"/>
      <c r="L240" s="13">
        <f t="shared" si="4"/>
        <v>103007.47</v>
      </c>
      <c r="M240" s="8"/>
      <c r="N240" s="164"/>
    </row>
    <row r="241" spans="1:14" s="3" customFormat="1" ht="12.2" customHeight="1" x14ac:dyDescent="0.15">
      <c r="A241" s="1" t="s">
        <v>444</v>
      </c>
      <c r="B241" s="2" t="s">
        <v>350</v>
      </c>
      <c r="C241" s="2" t="s">
        <v>296</v>
      </c>
      <c r="D241" s="2" t="s">
        <v>431</v>
      </c>
      <c r="E241" s="6">
        <v>2300</v>
      </c>
      <c r="F241" s="18">
        <f>69830.6+37167.92+95264.42+2126.36</f>
        <v>204389.3</v>
      </c>
      <c r="G241" s="18">
        <f>19374.13+16827.82+30337+35239.54+1810.27</f>
        <v>103588.76</v>
      </c>
      <c r="H241" s="18">
        <f>6666.72+13503.28+3825.59+3202.87+3993.51</f>
        <v>31191.97</v>
      </c>
      <c r="I241" s="18">
        <f>8038.22+114.4+300.49</f>
        <v>8453.11</v>
      </c>
      <c r="J241" s="18">
        <f>4631.82+1963.07+68208.46</f>
        <v>74803.350000000006</v>
      </c>
      <c r="K241" s="18">
        <f>11046.79+1500+11108.52+361.5+90</f>
        <v>24106.81</v>
      </c>
      <c r="L241" s="13">
        <f t="shared" si="4"/>
        <v>446533.3</v>
      </c>
      <c r="M241" s="8"/>
      <c r="N241" s="164"/>
    </row>
    <row r="242" spans="1:14" s="3" customFormat="1" ht="12.2" customHeight="1" x14ac:dyDescent="0.15">
      <c r="A242" s="1" t="s">
        <v>445</v>
      </c>
      <c r="B242" s="2" t="s">
        <v>350</v>
      </c>
      <c r="C242" s="2" t="s">
        <v>297</v>
      </c>
      <c r="D242" s="2" t="s">
        <v>431</v>
      </c>
      <c r="E242" s="6">
        <v>2400</v>
      </c>
      <c r="F242" s="18">
        <f>196526.19+5733</f>
        <v>202259.19</v>
      </c>
      <c r="G242" s="18">
        <f>82995.02+1760.49</f>
        <v>84755.510000000009</v>
      </c>
      <c r="H242" s="18">
        <v>15238.76</v>
      </c>
      <c r="I242" s="18">
        <v>8730.43</v>
      </c>
      <c r="J242" s="18">
        <v>6400</v>
      </c>
      <c r="K242" s="18">
        <v>4507.7299999999996</v>
      </c>
      <c r="L242" s="13">
        <f t="shared" si="4"/>
        <v>321891.62</v>
      </c>
      <c r="M242" s="8"/>
      <c r="N242" s="164"/>
    </row>
    <row r="243" spans="1:14" s="3" customFormat="1" ht="12.2" customHeight="1" x14ac:dyDescent="0.15">
      <c r="A243" s="1" t="s">
        <v>446</v>
      </c>
      <c r="B243" s="2" t="s">
        <v>350</v>
      </c>
      <c r="C243" s="2" t="s">
        <v>298</v>
      </c>
      <c r="D243" s="2" t="s">
        <v>431</v>
      </c>
      <c r="E243" s="6">
        <v>2500</v>
      </c>
      <c r="F243" s="18">
        <f>81672.42+2126.36</f>
        <v>83798.78</v>
      </c>
      <c r="G243" s="18">
        <f>24303.7+657.85</f>
        <v>24961.55</v>
      </c>
      <c r="H243" s="18">
        <v>155.44999999999999</v>
      </c>
      <c r="I243" s="18"/>
      <c r="J243" s="18"/>
      <c r="K243" s="18"/>
      <c r="L243" s="13">
        <f t="shared" si="4"/>
        <v>108915.78</v>
      </c>
      <c r="M243" s="8"/>
      <c r="N243" s="164"/>
    </row>
    <row r="244" spans="1:14" s="3" customFormat="1" ht="12.2" customHeight="1" x14ac:dyDescent="0.15">
      <c r="A244" s="1" t="s">
        <v>447</v>
      </c>
      <c r="B244" s="2" t="s">
        <v>350</v>
      </c>
      <c r="C244" s="2" t="s">
        <v>299</v>
      </c>
      <c r="D244" s="2" t="s">
        <v>431</v>
      </c>
      <c r="E244" s="6">
        <v>2600</v>
      </c>
      <c r="F244" s="18">
        <f>70805.32+72491.57</f>
        <v>143296.89000000001</v>
      </c>
      <c r="G244" s="18">
        <f>34012.23+45692.06+1283.66</f>
        <v>80987.950000000012</v>
      </c>
      <c r="H244" s="18">
        <f>116801.45+318081.49</f>
        <v>434882.94</v>
      </c>
      <c r="I244" s="18">
        <f>60371.73+206322.5</f>
        <v>266694.23</v>
      </c>
      <c r="J244" s="18">
        <f>1006.98+36900.91</f>
        <v>37907.890000000007</v>
      </c>
      <c r="K244" s="18">
        <v>8.4</v>
      </c>
      <c r="L244" s="13">
        <f t="shared" si="4"/>
        <v>963778.3</v>
      </c>
      <c r="M244" s="8"/>
      <c r="N244" s="164"/>
    </row>
    <row r="245" spans="1:14" s="3" customFormat="1" ht="12.2" customHeight="1" x14ac:dyDescent="0.15">
      <c r="A245" s="1" t="s">
        <v>448</v>
      </c>
      <c r="B245" s="2" t="s">
        <v>350</v>
      </c>
      <c r="C245" s="2" t="s">
        <v>300</v>
      </c>
      <c r="D245" s="2" t="s">
        <v>431</v>
      </c>
      <c r="E245" s="6">
        <v>2700</v>
      </c>
      <c r="F245" s="18">
        <f>26845.27+85.41+7102.82+2167.97</f>
        <v>36201.47</v>
      </c>
      <c r="G245" s="18">
        <f>889.86+7947.82+6.52+543.15+165.78</f>
        <v>9553.130000000001</v>
      </c>
      <c r="H245" s="18">
        <v>9136.61</v>
      </c>
      <c r="I245" s="18">
        <v>9211.7099999999991</v>
      </c>
      <c r="J245" s="18"/>
      <c r="K245" s="18">
        <v>51.04</v>
      </c>
      <c r="L245" s="13">
        <f t="shared" si="4"/>
        <v>64153.960000000006</v>
      </c>
      <c r="M245" s="8"/>
      <c r="N245" s="164"/>
    </row>
    <row r="246" spans="1:14" s="3" customFormat="1" ht="12.2" customHeight="1" x14ac:dyDescent="0.15">
      <c r="A246" s="1" t="s">
        <v>449</v>
      </c>
      <c r="B246" s="2" t="s">
        <v>350</v>
      </c>
      <c r="C246" s="2" t="s">
        <v>343</v>
      </c>
      <c r="D246" s="2" t="s">
        <v>431</v>
      </c>
      <c r="E246" s="6">
        <v>2800</v>
      </c>
      <c r="F246" s="18">
        <v>767.38</v>
      </c>
      <c r="G246" s="18">
        <f>58.7+6.87</f>
        <v>65.570000000000007</v>
      </c>
      <c r="H246" s="18"/>
      <c r="I246" s="18"/>
      <c r="J246" s="18"/>
      <c r="K246" s="18"/>
      <c r="L246" s="13">
        <f>SUM(F246:K246)</f>
        <v>832.95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3754852.9600000004</v>
      </c>
      <c r="G248" s="38">
        <f t="shared" si="5"/>
        <v>1679454.69</v>
      </c>
      <c r="H248" s="38">
        <f t="shared" si="5"/>
        <v>1279856.31</v>
      </c>
      <c r="I248" s="38">
        <f t="shared" si="5"/>
        <v>414289.77999999997</v>
      </c>
      <c r="J248" s="38">
        <f t="shared" si="5"/>
        <v>224132.15000000002</v>
      </c>
      <c r="K248" s="38">
        <f t="shared" si="5"/>
        <v>45158.3</v>
      </c>
      <c r="L248" s="38">
        <f t="shared" si="5"/>
        <v>7397744.1899999995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11377320.340000002</v>
      </c>
      <c r="G258" s="38">
        <f t="shared" si="8"/>
        <v>5254629.3900000006</v>
      </c>
      <c r="H258" s="38">
        <f t="shared" si="8"/>
        <v>3036546.88</v>
      </c>
      <c r="I258" s="38">
        <f t="shared" si="8"/>
        <v>975046.83000000007</v>
      </c>
      <c r="J258" s="38">
        <f t="shared" si="8"/>
        <v>564031.69000000006</v>
      </c>
      <c r="K258" s="38">
        <f t="shared" si="8"/>
        <v>99322.99</v>
      </c>
      <c r="L258" s="38">
        <f t="shared" si="8"/>
        <v>21306898.119999997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26228</v>
      </c>
      <c r="L261" s="13">
        <f>SUM(F261:K261)</f>
        <v>26228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1328.81</v>
      </c>
      <c r="L262" s="13">
        <f>SUM(F262:K262)</f>
        <v>1328.81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27556.81</v>
      </c>
      <c r="L271" s="38">
        <f t="shared" si="9"/>
        <v>27556.81</v>
      </c>
      <c r="M271" s="8"/>
      <c r="N271" s="164"/>
    </row>
    <row r="272" spans="1:14" s="33" customFormat="1" ht="12.2" customHeight="1" thickTop="1" x14ac:dyDescent="0.2">
      <c r="A272" s="40" t="s">
        <v>464</v>
      </c>
      <c r="B272" s="37">
        <v>10</v>
      </c>
      <c r="C272" s="37">
        <v>18</v>
      </c>
      <c r="D272" s="36" t="s">
        <v>431</v>
      </c>
      <c r="E272" s="37"/>
      <c r="F272" s="39">
        <f t="shared" ref="F272:L272" si="11">F258+F271</f>
        <v>11377320.340000002</v>
      </c>
      <c r="G272" s="39">
        <f t="shared" si="11"/>
        <v>5254629.3900000006</v>
      </c>
      <c r="H272" s="39">
        <f t="shared" si="11"/>
        <v>3036546.88</v>
      </c>
      <c r="I272" s="39">
        <f t="shared" si="11"/>
        <v>975046.83000000007</v>
      </c>
      <c r="J272" s="39">
        <f t="shared" si="11"/>
        <v>564031.69000000006</v>
      </c>
      <c r="K272" s="39">
        <f t="shared" si="11"/>
        <v>126879.8</v>
      </c>
      <c r="L272" s="39">
        <f t="shared" si="11"/>
        <v>21334454.929999996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3168+44849+13111.66</f>
        <v>61128.66</v>
      </c>
      <c r="G277" s="18">
        <f>2623.27+22587.2</f>
        <v>25210.47</v>
      </c>
      <c r="H277" s="18">
        <v>60391.45</v>
      </c>
      <c r="I277" s="18">
        <v>3942.4</v>
      </c>
      <c r="J277" s="18"/>
      <c r="K277" s="18"/>
      <c r="L277" s="13">
        <f>SUM(F277:K277)</f>
        <v>150672.98000000001</v>
      </c>
      <c r="M277" s="8"/>
      <c r="N277" s="164"/>
    </row>
    <row r="278" spans="1:14" s="3" customFormat="1" ht="12.2" customHeight="1" x14ac:dyDescent="0.15">
      <c r="A278" s="1" t="s">
        <v>439</v>
      </c>
      <c r="B278" s="2" t="s">
        <v>357</v>
      </c>
      <c r="C278" s="2" t="s">
        <v>291</v>
      </c>
      <c r="D278" s="2" t="s">
        <v>431</v>
      </c>
      <c r="E278" s="6">
        <v>1200</v>
      </c>
      <c r="F278" s="18">
        <f>217038.91+589012.09+1665.35</f>
        <v>807716.35</v>
      </c>
      <c r="G278" s="18">
        <f>58713.24+233820.4+125.78+327.07</f>
        <v>292986.49000000005</v>
      </c>
      <c r="H278" s="18">
        <v>13868</v>
      </c>
      <c r="I278" s="18">
        <f>15144.19+11910.19</f>
        <v>27054.38</v>
      </c>
      <c r="J278" s="18"/>
      <c r="K278" s="18">
        <v>4900.79</v>
      </c>
      <c r="L278" s="13">
        <f>SUM(F278:K278)</f>
        <v>1146526.01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173906.59+15120</f>
        <v>189026.59</v>
      </c>
      <c r="G280" s="18">
        <f>10291.8+13277.69+1156.68</f>
        <v>24726.17</v>
      </c>
      <c r="H280" s="18">
        <v>13616.22</v>
      </c>
      <c r="I280" s="18">
        <f>19955.58+94.19+20.56</f>
        <v>20070.330000000002</v>
      </c>
      <c r="J280" s="18"/>
      <c r="K280" s="18"/>
      <c r="L280" s="13">
        <f>SUM(F280:K280)</f>
        <v>247439.31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24593.74</v>
      </c>
      <c r="G282" s="18">
        <f>1855.57+4830.93</f>
        <v>6686.5</v>
      </c>
      <c r="H282" s="18">
        <v>53.19</v>
      </c>
      <c r="I282" s="18"/>
      <c r="J282" s="18"/>
      <c r="K282" s="18"/>
      <c r="L282" s="13">
        <f t="shared" ref="L282:L288" si="12">SUM(F282:K282)</f>
        <v>31333.43</v>
      </c>
      <c r="M282" s="8"/>
      <c r="N282" s="164"/>
    </row>
    <row r="283" spans="1:14" s="3" customFormat="1" ht="12.2" customHeight="1" x14ac:dyDescent="0.15">
      <c r="A283" s="1" t="s">
        <v>443</v>
      </c>
      <c r="B283" s="2" t="s">
        <v>357</v>
      </c>
      <c r="C283" s="2" t="s">
        <v>295</v>
      </c>
      <c r="D283" s="2" t="s">
        <v>431</v>
      </c>
      <c r="E283" s="6">
        <v>2200</v>
      </c>
      <c r="F283" s="18"/>
      <c r="G283" s="18"/>
      <c r="H283" s="18">
        <f>16950.56+52.18+2295.75</f>
        <v>19298.490000000002</v>
      </c>
      <c r="I283" s="18"/>
      <c r="J283" s="18"/>
      <c r="K283" s="18">
        <v>183.04</v>
      </c>
      <c r="L283" s="13">
        <f t="shared" si="12"/>
        <v>19481.530000000002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138824.88+848142.25</f>
        <v>986967.13</v>
      </c>
      <c r="I287" s="18">
        <v>35929.75</v>
      </c>
      <c r="J287" s="18"/>
      <c r="K287" s="18"/>
      <c r="L287" s="13">
        <f t="shared" si="12"/>
        <v>1022896.88</v>
      </c>
      <c r="M287" s="8"/>
      <c r="N287" s="164"/>
    </row>
    <row r="288" spans="1:14" s="3" customFormat="1" ht="12.2" customHeight="1" x14ac:dyDescent="0.15">
      <c r="A288" s="1" t="s">
        <v>448</v>
      </c>
      <c r="B288" s="2" t="s">
        <v>357</v>
      </c>
      <c r="C288" s="2" t="s">
        <v>300</v>
      </c>
      <c r="D288" s="2" t="s">
        <v>431</v>
      </c>
      <c r="E288" s="6">
        <v>2700</v>
      </c>
      <c r="F288" s="18"/>
      <c r="G288" s="18"/>
      <c r="H288" s="18">
        <v>1770.46</v>
      </c>
      <c r="I288" s="18"/>
      <c r="J288" s="18"/>
      <c r="K288" s="18"/>
      <c r="L288" s="13">
        <f t="shared" si="12"/>
        <v>1770.46</v>
      </c>
      <c r="M288" s="8"/>
      <c r="N288" s="164"/>
    </row>
    <row r="289" spans="1:14" s="3" customFormat="1" ht="12.2" customHeight="1" x14ac:dyDescent="0.15">
      <c r="A289" s="1" t="s">
        <v>449</v>
      </c>
      <c r="B289" s="2" t="s">
        <v>357</v>
      </c>
      <c r="C289" s="2" t="s">
        <v>343</v>
      </c>
      <c r="D289" s="2" t="s">
        <v>431</v>
      </c>
      <c r="E289" s="6">
        <v>2800</v>
      </c>
      <c r="F289" s="18"/>
      <c r="G289" s="18"/>
      <c r="H289" s="18"/>
      <c r="I289" s="18"/>
      <c r="J289" s="18">
        <v>17923.71</v>
      </c>
      <c r="K289" s="18"/>
      <c r="L289" s="13">
        <f>SUM(F289:K289)</f>
        <v>17923.71</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1082465.3400000001</v>
      </c>
      <c r="G291" s="39">
        <f t="shared" si="13"/>
        <v>349609.63000000006</v>
      </c>
      <c r="H291" s="39">
        <f t="shared" si="13"/>
        <v>1095964.94</v>
      </c>
      <c r="I291" s="39">
        <f t="shared" si="13"/>
        <v>86996.86</v>
      </c>
      <c r="J291" s="39">
        <f t="shared" si="13"/>
        <v>17923.71</v>
      </c>
      <c r="K291" s="39">
        <f t="shared" si="13"/>
        <v>5083.83</v>
      </c>
      <c r="L291" s="38">
        <f t="shared" si="13"/>
        <v>2638044.31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1584+6555.84</f>
        <v>8139.84</v>
      </c>
      <c r="G296" s="18">
        <v>1311.64</v>
      </c>
      <c r="H296" s="18">
        <v>30195.73</v>
      </c>
      <c r="I296" s="18">
        <f>1971.2+96.3</f>
        <v>2067.5</v>
      </c>
      <c r="J296" s="18"/>
      <c r="K296" s="18"/>
      <c r="L296" s="13">
        <f>SUM(F296:K296)</f>
        <v>41714.71</v>
      </c>
      <c r="M296" s="8"/>
      <c r="N296" s="164"/>
    </row>
    <row r="297" spans="1:14" s="3" customFormat="1" ht="12.2" customHeight="1" x14ac:dyDescent="0.15">
      <c r="A297" s="1" t="s">
        <v>439</v>
      </c>
      <c r="B297" s="2" t="s">
        <v>358</v>
      </c>
      <c r="C297" s="2" t="s">
        <v>291</v>
      </c>
      <c r="D297" s="2" t="s">
        <v>431</v>
      </c>
      <c r="E297" s="6">
        <v>1200</v>
      </c>
      <c r="F297" s="18">
        <v>63303.02</v>
      </c>
      <c r="G297" s="18">
        <v>17124.689999999999</v>
      </c>
      <c r="H297" s="18"/>
      <c r="I297" s="18"/>
      <c r="J297" s="18">
        <v>4059.8</v>
      </c>
      <c r="K297" s="18"/>
      <c r="L297" s="13">
        <f>SUM(F297:K297)</f>
        <v>84487.51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21494.07</v>
      </c>
      <c r="G299" s="18">
        <f>1272.02+1641.06</f>
        <v>2913.08</v>
      </c>
      <c r="H299" s="18">
        <v>1682.9</v>
      </c>
      <c r="I299" s="18">
        <v>2466.42</v>
      </c>
      <c r="J299" s="18"/>
      <c r="K299" s="18"/>
      <c r="L299" s="13">
        <f>SUM(F299:K299)</f>
        <v>28556.47</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8466.7000000000007</v>
      </c>
      <c r="G301" s="18">
        <f>638.8+1663.11</f>
        <v>2301.91</v>
      </c>
      <c r="H301" s="18">
        <v>26.6</v>
      </c>
      <c r="I301" s="18"/>
      <c r="J301" s="18"/>
      <c r="K301" s="18"/>
      <c r="L301" s="13">
        <f t="shared" ref="L301:L307" si="14">SUM(F301:K301)</f>
        <v>10795.210000000001</v>
      </c>
      <c r="M301" s="8"/>
      <c r="N301" s="164"/>
    </row>
    <row r="302" spans="1:14" s="3" customFormat="1" ht="12.2" customHeight="1" x14ac:dyDescent="0.15">
      <c r="A302" s="1" t="s">
        <v>443</v>
      </c>
      <c r="B302" s="2" t="s">
        <v>358</v>
      </c>
      <c r="C302" s="2" t="s">
        <v>295</v>
      </c>
      <c r="D302" s="2" t="s">
        <v>431</v>
      </c>
      <c r="E302" s="6">
        <v>2200</v>
      </c>
      <c r="F302" s="18"/>
      <c r="G302" s="18"/>
      <c r="H302" s="18">
        <f>8475.28+26.09+1147.87</f>
        <v>9649.2400000000016</v>
      </c>
      <c r="I302" s="18"/>
      <c r="J302" s="18"/>
      <c r="K302" s="18">
        <v>91.52</v>
      </c>
      <c r="L302" s="13">
        <f t="shared" si="14"/>
        <v>9740.760000000002</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f>69412.44+424071.12</f>
        <v>493483.56</v>
      </c>
      <c r="I306" s="18"/>
      <c r="J306" s="18"/>
      <c r="K306" s="18"/>
      <c r="L306" s="13">
        <f t="shared" si="14"/>
        <v>493483.56</v>
      </c>
      <c r="M306" s="8"/>
      <c r="N306" s="164"/>
    </row>
    <row r="307" spans="1:14" s="3" customFormat="1" ht="12.2" customHeight="1" x14ac:dyDescent="0.15">
      <c r="A307" s="1" t="s">
        <v>448</v>
      </c>
      <c r="B307" s="2" t="s">
        <v>358</v>
      </c>
      <c r="C307" s="2" t="s">
        <v>300</v>
      </c>
      <c r="D307" s="2" t="s">
        <v>431</v>
      </c>
      <c r="E307" s="6">
        <v>2700</v>
      </c>
      <c r="F307" s="18"/>
      <c r="G307" s="18"/>
      <c r="H307" s="18">
        <v>218.82</v>
      </c>
      <c r="I307" s="18"/>
      <c r="J307" s="18"/>
      <c r="K307" s="18"/>
      <c r="L307" s="13">
        <f t="shared" si="14"/>
        <v>218.82</v>
      </c>
      <c r="M307" s="8"/>
      <c r="N307" s="164"/>
    </row>
    <row r="308" spans="1:14" s="3" customFormat="1" ht="12.2" customHeight="1" x14ac:dyDescent="0.15">
      <c r="A308" s="1" t="s">
        <v>449</v>
      </c>
      <c r="B308" s="2" t="s">
        <v>358</v>
      </c>
      <c r="C308" s="2" t="s">
        <v>343</v>
      </c>
      <c r="D308" s="2" t="s">
        <v>431</v>
      </c>
      <c r="E308" s="6">
        <v>2800</v>
      </c>
      <c r="F308" s="18"/>
      <c r="G308" s="18"/>
      <c r="H308" s="18"/>
      <c r="I308" s="18"/>
      <c r="J308" s="18">
        <v>2215.29</v>
      </c>
      <c r="K308" s="18"/>
      <c r="L308" s="13">
        <f>SUM(F308:K308)</f>
        <v>2215.29</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101403.62999999999</v>
      </c>
      <c r="G310" s="39">
        <f t="shared" si="15"/>
        <v>23651.319999999996</v>
      </c>
      <c r="H310" s="39">
        <f t="shared" si="15"/>
        <v>535256.85</v>
      </c>
      <c r="I310" s="39">
        <f t="shared" si="15"/>
        <v>4533.92</v>
      </c>
      <c r="J310" s="39">
        <f t="shared" si="15"/>
        <v>6275.09</v>
      </c>
      <c r="K310" s="39">
        <f t="shared" si="15"/>
        <v>91.52</v>
      </c>
      <c r="L310" s="38">
        <f t="shared" si="15"/>
        <v>671212.33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2448+10131.75</f>
        <v>12579.75</v>
      </c>
      <c r="G315" s="18">
        <v>2027.07</v>
      </c>
      <c r="H315" s="18">
        <v>46666.12</v>
      </c>
      <c r="I315" s="18">
        <f>3046.4+164.98</f>
        <v>3211.38</v>
      </c>
      <c r="J315" s="18"/>
      <c r="K315" s="18"/>
      <c r="L315" s="13">
        <f>SUM(F315:K315)</f>
        <v>64484.32</v>
      </c>
      <c r="M315" s="8"/>
      <c r="N315" s="164"/>
    </row>
    <row r="316" spans="1:14" s="3" customFormat="1" ht="12.2" customHeight="1" x14ac:dyDescent="0.15">
      <c r="A316" s="1" t="s">
        <v>439</v>
      </c>
      <c r="B316" s="2" t="s">
        <v>359</v>
      </c>
      <c r="C316" s="2" t="s">
        <v>291</v>
      </c>
      <c r="D316" s="2" t="s">
        <v>431</v>
      </c>
      <c r="E316" s="6">
        <v>1200</v>
      </c>
      <c r="F316" s="18">
        <v>21101.01</v>
      </c>
      <c r="G316" s="18">
        <v>5708.23</v>
      </c>
      <c r="H316" s="18">
        <v>41.1</v>
      </c>
      <c r="I316" s="18">
        <v>41234.22</v>
      </c>
      <c r="J316" s="18"/>
      <c r="K316" s="18"/>
      <c r="L316" s="13">
        <f>SUM(F316:K316)</f>
        <v>68084.56</v>
      </c>
      <c r="M316" s="8"/>
      <c r="N316" s="164"/>
    </row>
    <row r="317" spans="1:14" s="3" customFormat="1" ht="12.2" customHeight="1" x14ac:dyDescent="0.15">
      <c r="A317" s="1" t="s">
        <v>440</v>
      </c>
      <c r="B317" s="2" t="s">
        <v>359</v>
      </c>
      <c r="C317" s="2" t="s">
        <v>292</v>
      </c>
      <c r="D317" s="2" t="s">
        <v>431</v>
      </c>
      <c r="E317" s="6">
        <v>1300</v>
      </c>
      <c r="F317" s="18"/>
      <c r="G317" s="18"/>
      <c r="H317" s="18"/>
      <c r="I317" s="18">
        <v>12032</v>
      </c>
      <c r="J317" s="18">
        <v>100011.91</v>
      </c>
      <c r="K317" s="18">
        <v>5679.68</v>
      </c>
      <c r="L317" s="13">
        <f>SUM(F317:K317)</f>
        <v>117723.59</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7257.17+12799.93</f>
        <v>20057.099999999999</v>
      </c>
      <c r="G320" s="18">
        <f>547.54+1425.52+2742.96</f>
        <v>4716.0200000000004</v>
      </c>
      <c r="H320" s="18"/>
      <c r="I320" s="18">
        <v>780.83</v>
      </c>
      <c r="J320" s="18"/>
      <c r="K320" s="18"/>
      <c r="L320" s="13">
        <f t="shared" ref="L320:L326" si="16">SUM(F320:K320)</f>
        <v>25553.95</v>
      </c>
      <c r="M320" s="8"/>
      <c r="N320" s="164"/>
    </row>
    <row r="321" spans="1:14" s="3" customFormat="1" ht="12.2" customHeight="1" x14ac:dyDescent="0.15">
      <c r="A321" s="1" t="s">
        <v>443</v>
      </c>
      <c r="B321" s="2" t="s">
        <v>359</v>
      </c>
      <c r="C321" s="2" t="s">
        <v>295</v>
      </c>
      <c r="D321" s="2" t="s">
        <v>431</v>
      </c>
      <c r="E321" s="6">
        <v>2200</v>
      </c>
      <c r="F321" s="18"/>
      <c r="G321" s="18"/>
      <c r="H321" s="18">
        <f>13098.16+40.32+1773.99</f>
        <v>14912.47</v>
      </c>
      <c r="I321" s="18"/>
      <c r="J321" s="18"/>
      <c r="K321" s="18">
        <v>141.44</v>
      </c>
      <c r="L321" s="13">
        <f t="shared" si="16"/>
        <v>15053.91</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f>107273.78+655382.63</f>
        <v>762656.41</v>
      </c>
      <c r="I325" s="18"/>
      <c r="J325" s="18"/>
      <c r="K325" s="18"/>
      <c r="L325" s="13">
        <f t="shared" si="16"/>
        <v>762656.41</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53737.859999999993</v>
      </c>
      <c r="G329" s="39">
        <f t="shared" si="17"/>
        <v>12451.32</v>
      </c>
      <c r="H329" s="39">
        <f t="shared" si="17"/>
        <v>824276.10000000009</v>
      </c>
      <c r="I329" s="39">
        <f t="shared" si="17"/>
        <v>57258.43</v>
      </c>
      <c r="J329" s="39">
        <f t="shared" si="17"/>
        <v>100011.91</v>
      </c>
      <c r="K329" s="39">
        <f t="shared" si="17"/>
        <v>5821.12</v>
      </c>
      <c r="L329" s="38">
        <f t="shared" si="17"/>
        <v>1053556.74</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1237606.83</v>
      </c>
      <c r="G339" s="38">
        <f t="shared" si="20"/>
        <v>385712.27000000008</v>
      </c>
      <c r="H339" s="38">
        <f t="shared" si="20"/>
        <v>2455497.89</v>
      </c>
      <c r="I339" s="38">
        <f t="shared" si="20"/>
        <v>148789.21</v>
      </c>
      <c r="J339" s="38">
        <f t="shared" si="20"/>
        <v>124210.71</v>
      </c>
      <c r="K339" s="38">
        <f t="shared" si="20"/>
        <v>10996.470000000001</v>
      </c>
      <c r="L339" s="38">
        <f t="shared" si="20"/>
        <v>4362813.38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1237606.83</v>
      </c>
      <c r="G353" s="38">
        <f>G339</f>
        <v>385712.27000000008</v>
      </c>
      <c r="H353" s="38">
        <f>H339</f>
        <v>2455497.89</v>
      </c>
      <c r="I353" s="38">
        <f>I339</f>
        <v>148789.21</v>
      </c>
      <c r="J353" s="38">
        <f>J339</f>
        <v>124210.71</v>
      </c>
      <c r="K353" s="38">
        <f>K339+K352</f>
        <v>10996.470000000001</v>
      </c>
      <c r="L353" s="38">
        <f>L339+L352</f>
        <v>4362813.38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213056.61+4749.08</f>
        <v>217805.68999999997</v>
      </c>
      <c r="G359" s="18">
        <f>37382.25+363.17</f>
        <v>37745.42</v>
      </c>
      <c r="H359" s="18">
        <v>11920.42</v>
      </c>
      <c r="I359" s="18">
        <v>162417.34</v>
      </c>
      <c r="J359" s="18">
        <v>74143.929999999993</v>
      </c>
      <c r="K359" s="18">
        <v>810.84</v>
      </c>
      <c r="L359" s="13">
        <f>SUM(F359:K359)</f>
        <v>504843.64</v>
      </c>
      <c r="M359" s="8"/>
      <c r="N359" s="164"/>
    </row>
    <row r="360" spans="1:22" s="3" customFormat="1" ht="12.2" customHeight="1" x14ac:dyDescent="0.15">
      <c r="A360" s="1" t="s">
        <v>542</v>
      </c>
      <c r="B360" s="2" t="s">
        <v>366</v>
      </c>
      <c r="C360" s="6">
        <v>2</v>
      </c>
      <c r="D360" s="2" t="s">
        <v>431</v>
      </c>
      <c r="E360" s="6"/>
      <c r="F360" s="18">
        <v>68482.48</v>
      </c>
      <c r="G360" s="18">
        <v>12015.72</v>
      </c>
      <c r="H360" s="18">
        <v>6219.35</v>
      </c>
      <c r="I360" s="18">
        <v>84739.48</v>
      </c>
      <c r="J360" s="18">
        <v>38683.79</v>
      </c>
      <c r="K360" s="18">
        <v>423.05</v>
      </c>
      <c r="L360" s="13">
        <f>SUM(F360:K360)</f>
        <v>210563.87</v>
      </c>
      <c r="M360" s="8"/>
      <c r="N360" s="164"/>
    </row>
    <row r="361" spans="1:22" s="3" customFormat="1" ht="12.2" customHeight="1" x14ac:dyDescent="0.15">
      <c r="A361" s="3" t="s">
        <v>543</v>
      </c>
      <c r="B361" s="2" t="s">
        <v>366</v>
      </c>
      <c r="C361" s="6">
        <v>3</v>
      </c>
      <c r="D361" s="2" t="s">
        <v>431</v>
      </c>
      <c r="E361" s="6"/>
      <c r="F361" s="18">
        <v>98919.14</v>
      </c>
      <c r="G361" s="18">
        <v>17356.04</v>
      </c>
      <c r="H361" s="18">
        <v>7774.19</v>
      </c>
      <c r="I361" s="18">
        <v>105924.35</v>
      </c>
      <c r="J361" s="18">
        <v>48354.74</v>
      </c>
      <c r="K361" s="18">
        <v>528.80999999999995</v>
      </c>
      <c r="L361" s="13">
        <f>SUM(F361:K361)</f>
        <v>278857.27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385207.31</v>
      </c>
      <c r="G363" s="38">
        <f t="shared" si="22"/>
        <v>67117.179999999993</v>
      </c>
      <c r="H363" s="38">
        <f t="shared" si="22"/>
        <v>25913.96</v>
      </c>
      <c r="I363" s="38">
        <f t="shared" si="22"/>
        <v>353081.17000000004</v>
      </c>
      <c r="J363" s="38">
        <f t="shared" si="22"/>
        <v>161182.46</v>
      </c>
      <c r="K363" s="38">
        <f t="shared" si="22"/>
        <v>1762.7</v>
      </c>
      <c r="L363" s="38">
        <f t="shared" si="22"/>
        <v>994264.78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149447.01999999999</v>
      </c>
      <c r="G368" s="18">
        <v>77972.36</v>
      </c>
      <c r="H368" s="18">
        <v>97465.45</v>
      </c>
      <c r="I368" s="13">
        <f>SUM(F368:H368)</f>
        <v>324884.83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12970.32</v>
      </c>
      <c r="G369" s="53">
        <v>6767.12</v>
      </c>
      <c r="H369" s="53">
        <v>8458.9</v>
      </c>
      <c r="I369" s="13">
        <f>SUM(F369:H369)</f>
        <v>28196.339999999997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162417.34</v>
      </c>
      <c r="G370" s="38">
        <f>SUM(G368:G369)</f>
        <v>84739.48</v>
      </c>
      <c r="H370" s="38">
        <f>SUM(H368:H369)</f>
        <v>105924.34999999999</v>
      </c>
      <c r="I370" s="38">
        <f>SUM(I368:I369)</f>
        <v>353081.17000000004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c r="G466" s="18">
        <v>391951.81</v>
      </c>
      <c r="H466" s="18">
        <v>132685.22</v>
      </c>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21334454.93</v>
      </c>
      <c r="G469" s="18">
        <v>787210.2</v>
      </c>
      <c r="H469" s="18">
        <v>4476566.4400000004</v>
      </c>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21334454.93</v>
      </c>
      <c r="G471" s="19">
        <f>SUM(G469:G470)</f>
        <v>787210.2</v>
      </c>
      <c r="H471" s="19">
        <f>SUM(H469:H470)</f>
        <v>4476566.4400000004</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21334454.93</v>
      </c>
      <c r="G473" s="18">
        <v>994264.78</v>
      </c>
      <c r="H473" s="18">
        <v>4362813.38</v>
      </c>
      <c r="I473" s="18"/>
      <c r="J473" s="18"/>
      <c r="K473" s="23" t="s">
        <v>288</v>
      </c>
      <c r="L473" s="23" t="s">
        <v>288</v>
      </c>
      <c r="N473" s="130"/>
    </row>
    <row r="474" spans="1:14" ht="12.2" customHeight="1" x14ac:dyDescent="0.2">
      <c r="A474" s="71" t="s">
        <v>613</v>
      </c>
      <c r="B474" s="22">
        <v>19</v>
      </c>
      <c r="C474" s="31">
        <v>6</v>
      </c>
      <c r="D474" s="2" t="s">
        <v>432</v>
      </c>
      <c r="E474" s="31"/>
      <c r="F474" s="18"/>
      <c r="G474" s="18">
        <v>35659.85</v>
      </c>
      <c r="H474" s="18">
        <v>132685.22</v>
      </c>
      <c r="I474" s="18"/>
      <c r="J474" s="18"/>
      <c r="K474" s="23" t="s">
        <v>288</v>
      </c>
      <c r="L474" s="23" t="s">
        <v>288</v>
      </c>
      <c r="N474" s="130"/>
    </row>
    <row r="475" spans="1:14" ht="12.2" customHeight="1" x14ac:dyDescent="0.2">
      <c r="A475" s="32" t="s">
        <v>426</v>
      </c>
      <c r="B475" s="22">
        <v>19</v>
      </c>
      <c r="C475" s="31">
        <v>7</v>
      </c>
      <c r="D475" s="2" t="s">
        <v>432</v>
      </c>
      <c r="E475" s="31"/>
      <c r="F475" s="19">
        <f>SUM(F473:F474)</f>
        <v>21334454.93</v>
      </c>
      <c r="G475" s="19">
        <f>SUM(G473:G474)</f>
        <v>1029924.63</v>
      </c>
      <c r="H475" s="19">
        <f>SUM(H473:H474)</f>
        <v>4495498.5999999996</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149237.38</v>
      </c>
      <c r="H477" s="19">
        <f>(H466+H471)- H475</f>
        <v>113753.06000000052</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1843</v>
      </c>
      <c r="B484" s="73"/>
      <c r="C484" s="73"/>
      <c r="D484" s="73"/>
      <c r="E484" s="73"/>
      <c r="F484" s="73"/>
      <c r="G484" s="73"/>
      <c r="H484" s="73"/>
      <c r="I484" s="73" t="s">
        <v>18</v>
      </c>
      <c r="J484" s="73"/>
      <c r="K484" s="73"/>
      <c r="L484" s="73"/>
      <c r="N484" s="130"/>
    </row>
    <row r="485" spans="1:14" ht="12.2" customHeight="1" x14ac:dyDescent="0.2">
      <c r="A485" s="55" t="s">
        <v>1844</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29</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357204.63</v>
      </c>
      <c r="G494" s="18"/>
      <c r="H494" s="18"/>
      <c r="I494" s="18"/>
      <c r="J494" s="18"/>
      <c r="K494" s="23" t="s">
        <v>288</v>
      </c>
      <c r="L494" s="23" t="s">
        <v>288</v>
      </c>
      <c r="N494" s="130"/>
    </row>
    <row r="495" spans="1:14" ht="12.2" customHeight="1" x14ac:dyDescent="0.2">
      <c r="A495" s="21" t="s">
        <v>618</v>
      </c>
      <c r="B495" s="22">
        <v>20</v>
      </c>
      <c r="C495" s="22">
        <v>5</v>
      </c>
      <c r="D495" s="2" t="s">
        <v>432</v>
      </c>
      <c r="E495" s="22"/>
      <c r="F495" s="18">
        <v>2.85</v>
      </c>
      <c r="G495" s="18"/>
      <c r="H495" s="18"/>
      <c r="I495" s="18"/>
      <c r="J495" s="18"/>
      <c r="K495" s="23" t="s">
        <v>288</v>
      </c>
      <c r="L495" s="23" t="s">
        <v>288</v>
      </c>
      <c r="N495" s="130"/>
    </row>
    <row r="496" spans="1:14" ht="12.2" customHeight="1" x14ac:dyDescent="0.2">
      <c r="A496" s="21" t="s">
        <v>619</v>
      </c>
      <c r="B496" s="22">
        <v>20</v>
      </c>
      <c r="C496" s="22">
        <v>6</v>
      </c>
      <c r="D496" s="2" t="s">
        <v>432</v>
      </c>
      <c r="E496" s="22"/>
      <c r="F496" s="18">
        <v>81853.33</v>
      </c>
      <c r="G496" s="18"/>
      <c r="H496" s="18"/>
      <c r="I496" s="18"/>
      <c r="J496" s="18"/>
      <c r="K496" s="19">
        <f>SUM(F496:J496)</f>
        <v>81853.33</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26228</v>
      </c>
      <c r="G498" s="18"/>
      <c r="H498" s="18"/>
      <c r="I498" s="18"/>
      <c r="J498" s="18"/>
      <c r="K498" s="19">
        <f t="shared" si="35"/>
        <v>26228</v>
      </c>
      <c r="L498" s="23" t="s">
        <v>288</v>
      </c>
      <c r="N498" s="130"/>
    </row>
    <row r="499" spans="1:14" ht="12.2" customHeight="1" x14ac:dyDescent="0.2">
      <c r="A499" s="143" t="s">
        <v>622</v>
      </c>
      <c r="B499" s="144">
        <v>20</v>
      </c>
      <c r="C499" s="144">
        <v>9</v>
      </c>
      <c r="D499" s="145" t="s">
        <v>432</v>
      </c>
      <c r="E499" s="144"/>
      <c r="F499" s="146">
        <v>55625.33</v>
      </c>
      <c r="G499" s="146"/>
      <c r="H499" s="146"/>
      <c r="I499" s="146"/>
      <c r="J499" s="146"/>
      <c r="K499" s="147">
        <f t="shared" si="35"/>
        <v>55625.33</v>
      </c>
      <c r="L499" s="148" t="s">
        <v>288</v>
      </c>
      <c r="N499" s="130"/>
    </row>
    <row r="500" spans="1:14" ht="12.2" customHeight="1" thickBot="1" x14ac:dyDescent="0.25">
      <c r="A500" s="21" t="s">
        <v>623</v>
      </c>
      <c r="B500" s="22">
        <v>20</v>
      </c>
      <c r="C500" s="22">
        <v>10</v>
      </c>
      <c r="D500" s="2" t="s">
        <v>432</v>
      </c>
      <c r="E500" s="22"/>
      <c r="F500" s="18">
        <v>2314.04</v>
      </c>
      <c r="G500" s="18"/>
      <c r="H500" s="18"/>
      <c r="I500" s="18"/>
      <c r="J500" s="18"/>
      <c r="K500" s="19">
        <f t="shared" si="35"/>
        <v>2314.04</v>
      </c>
      <c r="L500" s="23" t="s">
        <v>288</v>
      </c>
      <c r="N500" s="130"/>
    </row>
    <row r="501" spans="1:14" ht="12.2" customHeight="1" thickTop="1" x14ac:dyDescent="0.2">
      <c r="A501" s="97" t="s">
        <v>624</v>
      </c>
      <c r="B501" s="41">
        <v>20</v>
      </c>
      <c r="C501" s="41">
        <v>11</v>
      </c>
      <c r="D501" s="36" t="s">
        <v>432</v>
      </c>
      <c r="E501" s="41"/>
      <c r="F501" s="39">
        <f>SUM(F499:F500)</f>
        <v>57939.37</v>
      </c>
      <c r="G501" s="39">
        <f>SUM(G499:G500)</f>
        <v>0</v>
      </c>
      <c r="H501" s="39">
        <f>SUM(H499:H500)</f>
        <v>0</v>
      </c>
      <c r="I501" s="39">
        <f>SUM(I499:I500)</f>
        <v>0</v>
      </c>
      <c r="J501" s="39">
        <f>SUM(J499:J500)</f>
        <v>0</v>
      </c>
      <c r="K501" s="39">
        <f t="shared" si="35"/>
        <v>57939.37</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3160.5+990990.6+113920.24+217038.91</f>
        <v>1325110.25</v>
      </c>
      <c r="G522" s="18">
        <f>241.79+37374.42+332925.19+49143.6+58713.24</f>
        <v>478398.24</v>
      </c>
      <c r="H522" s="18">
        <f>85017.01+352366.53+2450</f>
        <v>439833.54000000004</v>
      </c>
      <c r="I522" s="18">
        <f>288.12+2178.98+383.22</f>
        <v>2850.3199999999997</v>
      </c>
      <c r="J522" s="18">
        <v>4261</v>
      </c>
      <c r="K522" s="18"/>
      <c r="L522" s="69">
        <f>SUM(F522:K522)</f>
        <v>2250453.35</v>
      </c>
      <c r="N522" s="130"/>
    </row>
    <row r="523" spans="1:14" ht="12.2" customHeight="1" x14ac:dyDescent="0.2">
      <c r="A523" s="21" t="s">
        <v>634</v>
      </c>
      <c r="B523" s="22">
        <v>21</v>
      </c>
      <c r="C523" s="22">
        <v>2</v>
      </c>
      <c r="D523" s="2" t="s">
        <v>432</v>
      </c>
      <c r="E523" s="22"/>
      <c r="F523" s="18">
        <f>1354.5+389505.59+63303.02</f>
        <v>454163.11000000004</v>
      </c>
      <c r="G523" s="18">
        <f>103.62+10900.88+123897.29+17124.69</f>
        <v>152026.47999999998</v>
      </c>
      <c r="H523" s="18">
        <f>36435.86+425307.51</f>
        <v>461743.37</v>
      </c>
      <c r="I523" s="18">
        <f>84.04+749.07</f>
        <v>833.11</v>
      </c>
      <c r="J523" s="18"/>
      <c r="K523" s="18"/>
      <c r="L523" s="69">
        <f>SUM(F523:K523)</f>
        <v>1068766.07</v>
      </c>
      <c r="N523" s="130"/>
    </row>
    <row r="524" spans="1:14" ht="12.2" customHeight="1" thickBot="1" x14ac:dyDescent="0.25">
      <c r="A524" s="21" t="s">
        <v>635</v>
      </c>
      <c r="B524" s="22">
        <v>21</v>
      </c>
      <c r="C524" s="22">
        <v>3</v>
      </c>
      <c r="D524" s="2" t="s">
        <v>432</v>
      </c>
      <c r="E524" s="22"/>
      <c r="F524" s="18">
        <f>1935+202884.18+21101.01</f>
        <v>225920.19</v>
      </c>
      <c r="G524" s="18">
        <f>148.03+3633.63+68322.15+5708.23</f>
        <v>77812.039999999994</v>
      </c>
      <c r="H524" s="18">
        <f>52051.24+547386.61</f>
        <v>599437.85</v>
      </c>
      <c r="I524" s="18">
        <f>28.01+693.92</f>
        <v>721.93</v>
      </c>
      <c r="J524" s="18">
        <v>169.38</v>
      </c>
      <c r="K524" s="18"/>
      <c r="L524" s="69">
        <f>SUM(F524:K524)</f>
        <v>904061.39</v>
      </c>
      <c r="N524" s="130"/>
    </row>
    <row r="525" spans="1:14" ht="12.2" customHeight="1" thickTop="1" x14ac:dyDescent="0.2">
      <c r="A525" s="97" t="s">
        <v>63</v>
      </c>
      <c r="B525" s="41">
        <v>21</v>
      </c>
      <c r="C525" s="41">
        <v>4</v>
      </c>
      <c r="D525" s="115" t="s">
        <v>432</v>
      </c>
      <c r="E525" s="41"/>
      <c r="F525" s="81">
        <f>SUM(F522:F524)</f>
        <v>2005193.55</v>
      </c>
      <c r="G525" s="81">
        <f t="shared" ref="G525:L525" si="36">SUM(G522:G524)</f>
        <v>708236.76</v>
      </c>
      <c r="H525" s="81">
        <f t="shared" si="36"/>
        <v>1501014.76</v>
      </c>
      <c r="I525" s="81">
        <f t="shared" si="36"/>
        <v>4405.3599999999997</v>
      </c>
      <c r="J525" s="81">
        <f t="shared" si="36"/>
        <v>4430.38</v>
      </c>
      <c r="K525" s="81">
        <f t="shared" si="36"/>
        <v>0</v>
      </c>
      <c r="L525" s="70">
        <f t="shared" si="36"/>
        <v>4223280.8099999996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110249.27+203989.39+132930.36</f>
        <v>447169.02</v>
      </c>
      <c r="G527" s="18">
        <f>36935.18+94057.42+34429.08+9359.21+26107.47</f>
        <v>200888.36</v>
      </c>
      <c r="H527" s="18">
        <f>107.31+47593.04+56989.73+346.5</f>
        <v>105036.58</v>
      </c>
      <c r="I527" s="18">
        <f>2261.23+2497.29</f>
        <v>4758.5200000000004</v>
      </c>
      <c r="J527" s="18"/>
      <c r="K527" s="18"/>
      <c r="L527" s="69">
        <f>SUM(F527:K527)</f>
        <v>757852.48</v>
      </c>
      <c r="M527" s="8"/>
      <c r="N527" s="164"/>
    </row>
    <row r="528" spans="1:14" s="3" customFormat="1" ht="12.2" customHeight="1" x14ac:dyDescent="0.15">
      <c r="A528" s="21" t="s">
        <v>634</v>
      </c>
      <c r="B528" s="22">
        <v>21</v>
      </c>
      <c r="C528" s="22">
        <v>6</v>
      </c>
      <c r="D528" s="2" t="s">
        <v>432</v>
      </c>
      <c r="E528" s="22"/>
      <c r="F528" s="18">
        <f>37954.67+92432.69+16429.6</f>
        <v>146816.95999999999</v>
      </c>
      <c r="G528" s="18">
        <f>12715.39+42619.77+4255.28+1156.76+3226.77</f>
        <v>63973.969999999994</v>
      </c>
      <c r="H528" s="18">
        <f>48.63+21565.6+7043.68+32186</f>
        <v>60843.91</v>
      </c>
      <c r="I528" s="18">
        <f>778.46+1131.59</f>
        <v>1910.05</v>
      </c>
      <c r="J528" s="18"/>
      <c r="K528" s="18"/>
      <c r="L528" s="69">
        <f>SUM(F528:K528)</f>
        <v>273544.88999999996</v>
      </c>
      <c r="M528" s="8"/>
      <c r="N528" s="164"/>
    </row>
    <row r="529" spans="1:14" s="3" customFormat="1" ht="12.2" customHeight="1" thickBot="1" x14ac:dyDescent="0.2">
      <c r="A529" s="21" t="s">
        <v>635</v>
      </c>
      <c r="B529" s="22">
        <v>21</v>
      </c>
      <c r="C529" s="22">
        <v>7</v>
      </c>
      <c r="D529" s="2" t="s">
        <v>432</v>
      </c>
      <c r="E529" s="22"/>
      <c r="F529" s="18">
        <f>32532.57+22311.34</f>
        <v>54843.91</v>
      </c>
      <c r="G529" s="18">
        <f>10898.9+10287.53</f>
        <v>21186.43</v>
      </c>
      <c r="H529" s="18">
        <f>11.74+5205.49</f>
        <v>5217.2299999999996</v>
      </c>
      <c r="I529" s="18">
        <f>667.25+273.14</f>
        <v>940.39</v>
      </c>
      <c r="J529" s="18"/>
      <c r="K529" s="18"/>
      <c r="L529" s="69">
        <f>SUM(F529:K529)</f>
        <v>82187.959999999992</v>
      </c>
      <c r="M529" s="8"/>
      <c r="N529" s="164"/>
    </row>
    <row r="530" spans="1:14" s="3" customFormat="1" ht="12.2" customHeight="1" thickTop="1" x14ac:dyDescent="0.15">
      <c r="A530" s="97" t="s">
        <v>65</v>
      </c>
      <c r="B530" s="41">
        <v>21</v>
      </c>
      <c r="C530" s="41">
        <v>8</v>
      </c>
      <c r="D530" s="115" t="s">
        <v>432</v>
      </c>
      <c r="E530" s="41"/>
      <c r="F530" s="70">
        <f>SUM(F527:F529)</f>
        <v>648829.89</v>
      </c>
      <c r="G530" s="70">
        <f t="shared" ref="G530:L530" si="37">SUM(G527:G529)</f>
        <v>286048.75999999995</v>
      </c>
      <c r="H530" s="70">
        <f t="shared" si="37"/>
        <v>171097.72</v>
      </c>
      <c r="I530" s="70">
        <f t="shared" si="37"/>
        <v>7608.9600000000009</v>
      </c>
      <c r="J530" s="70">
        <f t="shared" si="37"/>
        <v>0</v>
      </c>
      <c r="K530" s="70">
        <f t="shared" si="37"/>
        <v>0</v>
      </c>
      <c r="L530" s="70">
        <f t="shared" si="37"/>
        <v>1113585.3299999998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60707.6</v>
      </c>
      <c r="G532" s="18">
        <v>27485.43</v>
      </c>
      <c r="H532" s="18">
        <v>6248.46</v>
      </c>
      <c r="I532" s="18">
        <v>1176.6500000000001</v>
      </c>
      <c r="J532" s="18">
        <v>3206.35</v>
      </c>
      <c r="K532" s="18">
        <v>590.45000000000005</v>
      </c>
      <c r="L532" s="69">
        <f>SUM(F532:K532)</f>
        <v>99414.94</v>
      </c>
      <c r="M532" s="8"/>
      <c r="N532" s="164"/>
    </row>
    <row r="533" spans="1:14" s="3" customFormat="1" ht="12.2" customHeight="1" x14ac:dyDescent="0.15">
      <c r="A533" s="21" t="s">
        <v>634</v>
      </c>
      <c r="B533" s="22">
        <v>21</v>
      </c>
      <c r="C533" s="22">
        <v>10</v>
      </c>
      <c r="D533" s="2" t="s">
        <v>432</v>
      </c>
      <c r="E533" s="22"/>
      <c r="F533" s="18">
        <v>26017.54</v>
      </c>
      <c r="G533" s="18">
        <v>11779.47</v>
      </c>
      <c r="H533" s="18">
        <v>2677.91</v>
      </c>
      <c r="I533" s="18">
        <v>343.19</v>
      </c>
      <c r="J533" s="18">
        <v>1374.15</v>
      </c>
      <c r="K533" s="18">
        <v>253.05</v>
      </c>
      <c r="L533" s="69">
        <f>SUM(F533:K533)</f>
        <v>42445.310000000005</v>
      </c>
      <c r="M533" s="8"/>
      <c r="N533" s="164"/>
    </row>
    <row r="534" spans="1:14" s="3" customFormat="1" ht="12.2" customHeight="1" thickBot="1" x14ac:dyDescent="0.2">
      <c r="A534" s="21" t="s">
        <v>635</v>
      </c>
      <c r="B534" s="22">
        <v>21</v>
      </c>
      <c r="C534" s="22">
        <v>11</v>
      </c>
      <c r="D534" s="2" t="s">
        <v>432</v>
      </c>
      <c r="E534" s="22"/>
      <c r="F534" s="18">
        <v>37167.919999999998</v>
      </c>
      <c r="G534" s="18">
        <v>16827.82</v>
      </c>
      <c r="H534" s="18">
        <v>3825.59</v>
      </c>
      <c r="I534" s="18">
        <v>114.4</v>
      </c>
      <c r="J534" s="18">
        <v>1963.07</v>
      </c>
      <c r="K534" s="18">
        <v>361.5</v>
      </c>
      <c r="L534" s="69">
        <f>SUM(F534:K534)</f>
        <v>60260.3</v>
      </c>
      <c r="M534" s="8"/>
      <c r="N534" s="164"/>
    </row>
    <row r="535" spans="1:14" s="3" customFormat="1" ht="12.2" customHeight="1" thickTop="1" x14ac:dyDescent="0.15">
      <c r="A535" s="97" t="s">
        <v>67</v>
      </c>
      <c r="B535" s="41">
        <v>21</v>
      </c>
      <c r="C535" s="41">
        <v>12</v>
      </c>
      <c r="D535" s="115" t="s">
        <v>432</v>
      </c>
      <c r="E535" s="41"/>
      <c r="F535" s="70">
        <f>SUM(F532:F534)</f>
        <v>123893.06</v>
      </c>
      <c r="G535" s="70">
        <f t="shared" ref="G535:L535" si="38">SUM(G532:G534)</f>
        <v>56092.72</v>
      </c>
      <c r="H535" s="70">
        <f t="shared" si="38"/>
        <v>12751.96</v>
      </c>
      <c r="I535" s="70">
        <f t="shared" si="38"/>
        <v>1634.2400000000002</v>
      </c>
      <c r="J535" s="70">
        <f t="shared" si="38"/>
        <v>6543.57</v>
      </c>
      <c r="K535" s="70">
        <f t="shared" si="38"/>
        <v>1205</v>
      </c>
      <c r="L535" s="70">
        <f t="shared" si="38"/>
        <v>202120.55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26929.48</v>
      </c>
      <c r="G542" s="18">
        <f>59.16+2060.3</f>
        <v>2119.46</v>
      </c>
      <c r="H542" s="18"/>
      <c r="I542" s="18"/>
      <c r="J542" s="18"/>
      <c r="K542" s="18"/>
      <c r="L542" s="69">
        <f>SUM(F542:K542)</f>
        <v>29048.94</v>
      </c>
      <c r="M542" s="8"/>
      <c r="N542" s="164"/>
    </row>
    <row r="543" spans="1:14" s="3" customFormat="1" ht="12.2" customHeight="1" x14ac:dyDescent="0.15">
      <c r="A543" s="21" t="s">
        <v>634</v>
      </c>
      <c r="B543" s="22">
        <v>21</v>
      </c>
      <c r="C543" s="22">
        <v>18</v>
      </c>
      <c r="D543" s="2" t="s">
        <v>432</v>
      </c>
      <c r="E543" s="22"/>
      <c r="F543" s="18">
        <v>471.21</v>
      </c>
      <c r="G543" s="18">
        <v>36.020000000000003</v>
      </c>
      <c r="H543" s="18"/>
      <c r="I543" s="18"/>
      <c r="J543" s="18"/>
      <c r="K543" s="18"/>
      <c r="L543" s="69">
        <f>SUM(F543:K543)</f>
        <v>507.22999999999996</v>
      </c>
      <c r="M543" s="8"/>
      <c r="N543" s="164"/>
    </row>
    <row r="544" spans="1:14" s="3" customFormat="1" ht="12.2" customHeight="1" thickBot="1" x14ac:dyDescent="0.2">
      <c r="A544" s="21" t="s">
        <v>635</v>
      </c>
      <c r="B544" s="22">
        <v>21</v>
      </c>
      <c r="C544" s="22">
        <v>19</v>
      </c>
      <c r="D544" s="2" t="s">
        <v>432</v>
      </c>
      <c r="E544" s="22"/>
      <c r="F544" s="18">
        <v>85.41</v>
      </c>
      <c r="G544" s="18">
        <f>6.52</f>
        <v>6.52</v>
      </c>
      <c r="H544" s="18"/>
      <c r="I544" s="18"/>
      <c r="J544" s="18"/>
      <c r="K544" s="18"/>
      <c r="L544" s="69">
        <f>SUM(F544:K544)</f>
        <v>91.929999999999993</v>
      </c>
      <c r="M544" s="8"/>
      <c r="N544" s="164"/>
    </row>
    <row r="545" spans="1:14" s="3" customFormat="1" ht="12.2" customHeight="1" thickTop="1" thickBot="1" x14ac:dyDescent="0.2">
      <c r="A545" s="93" t="s">
        <v>71</v>
      </c>
      <c r="B545" s="63">
        <v>21</v>
      </c>
      <c r="C545" s="63">
        <v>20</v>
      </c>
      <c r="D545" s="139" t="s">
        <v>432</v>
      </c>
      <c r="E545" s="63"/>
      <c r="F545" s="140">
        <f>SUM(F542:F544)</f>
        <v>27486.1</v>
      </c>
      <c r="G545" s="140">
        <f t="shared" ref="G545:L545" si="40">SUM(G542:G544)</f>
        <v>2162</v>
      </c>
      <c r="H545" s="140">
        <f t="shared" si="40"/>
        <v>0</v>
      </c>
      <c r="I545" s="140">
        <f t="shared" si="40"/>
        <v>0</v>
      </c>
      <c r="J545" s="140">
        <f t="shared" si="40"/>
        <v>0</v>
      </c>
      <c r="K545" s="140">
        <f t="shared" si="40"/>
        <v>0</v>
      </c>
      <c r="L545" s="140">
        <f t="shared" si="40"/>
        <v>29648.1</v>
      </c>
      <c r="M545" s="8"/>
      <c r="N545" s="164"/>
    </row>
    <row r="546" spans="1:14" s="3" customFormat="1" ht="12.2" customHeight="1" thickTop="1" x14ac:dyDescent="0.15">
      <c r="A546" s="75" t="s">
        <v>72</v>
      </c>
      <c r="B546" s="41">
        <v>21</v>
      </c>
      <c r="C546" s="41">
        <v>21</v>
      </c>
      <c r="D546" s="115" t="s">
        <v>432</v>
      </c>
      <c r="E546" s="41"/>
      <c r="F546" s="70">
        <f>F525+F530+F535+F540+F545</f>
        <v>2805402.6</v>
      </c>
      <c r="G546" s="70">
        <f t="shared" ref="G546:L546" si="41">G525+G530+G535+G540+G545</f>
        <v>1052540.24</v>
      </c>
      <c r="H546" s="70">
        <f t="shared" si="41"/>
        <v>1684864.44</v>
      </c>
      <c r="I546" s="70">
        <f t="shared" si="41"/>
        <v>13648.56</v>
      </c>
      <c r="J546" s="70">
        <f t="shared" si="41"/>
        <v>10973.95</v>
      </c>
      <c r="K546" s="70">
        <f t="shared" si="41"/>
        <v>1205</v>
      </c>
      <c r="L546" s="70">
        <f t="shared" si="41"/>
        <v>5568634.7899999991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2250453.35</v>
      </c>
      <c r="G550" s="69">
        <f>L527</f>
        <v>757852.48</v>
      </c>
      <c r="H550" s="69">
        <f>L532</f>
        <v>99414.94</v>
      </c>
      <c r="I550" s="69">
        <f>L537</f>
        <v>0</v>
      </c>
      <c r="J550" s="69">
        <f>L542</f>
        <v>29048.94</v>
      </c>
      <c r="K550" s="69">
        <f>SUM(F550:J550)</f>
        <v>3136769.71</v>
      </c>
      <c r="L550" s="23" t="s">
        <v>288</v>
      </c>
      <c r="M550" s="8"/>
      <c r="N550" s="164"/>
    </row>
    <row r="551" spans="1:14" s="3" customFormat="1" ht="12.2" customHeight="1" x14ac:dyDescent="0.15">
      <c r="A551" s="21" t="s">
        <v>634</v>
      </c>
      <c r="B551" s="22">
        <v>21</v>
      </c>
      <c r="C551" s="22">
        <v>23</v>
      </c>
      <c r="D551" s="2" t="s">
        <v>432</v>
      </c>
      <c r="E551" s="22"/>
      <c r="F551" s="69">
        <f>L523</f>
        <v>1068766.07</v>
      </c>
      <c r="G551" s="69">
        <f>L528</f>
        <v>273544.88999999996</v>
      </c>
      <c r="H551" s="69">
        <f>L533</f>
        <v>42445.310000000005</v>
      </c>
      <c r="I551" s="69">
        <f>L538</f>
        <v>0</v>
      </c>
      <c r="J551" s="69">
        <f>L543</f>
        <v>507.22999999999996</v>
      </c>
      <c r="K551" s="69">
        <f>SUM(F551:J551)</f>
        <v>1385263.5</v>
      </c>
      <c r="L551" s="23" t="s">
        <v>288</v>
      </c>
      <c r="M551" s="8"/>
      <c r="N551" s="164"/>
    </row>
    <row r="552" spans="1:14" s="3" customFormat="1" ht="12.2" customHeight="1" thickBot="1" x14ac:dyDescent="0.2">
      <c r="A552" s="21" t="s">
        <v>635</v>
      </c>
      <c r="B552" s="22">
        <v>21</v>
      </c>
      <c r="C552" s="22">
        <v>24</v>
      </c>
      <c r="D552" s="2" t="s">
        <v>432</v>
      </c>
      <c r="E552" s="22"/>
      <c r="F552" s="69">
        <f>L524</f>
        <v>904061.39</v>
      </c>
      <c r="G552" s="69">
        <f>L529</f>
        <v>82187.959999999992</v>
      </c>
      <c r="H552" s="69">
        <f>L534</f>
        <v>60260.3</v>
      </c>
      <c r="I552" s="69">
        <f>L539</f>
        <v>0</v>
      </c>
      <c r="J552" s="69">
        <f>L544</f>
        <v>91.929999999999993</v>
      </c>
      <c r="K552" s="69">
        <f>SUM(F552:J552)</f>
        <v>1046601.5800000001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4223280.8099999996</v>
      </c>
      <c r="G553" s="70">
        <f t="shared" si="42"/>
        <v>1113585.3299999998</v>
      </c>
      <c r="H553" s="70">
        <f t="shared" si="42"/>
        <v>202120.55</v>
      </c>
      <c r="I553" s="70">
        <f t="shared" si="42"/>
        <v>0</v>
      </c>
      <c r="J553" s="70">
        <f t="shared" si="42"/>
        <v>29648.1</v>
      </c>
      <c r="K553" s="70">
        <f t="shared" si="42"/>
        <v>5568634.79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634037.09</v>
      </c>
      <c r="G558" s="18">
        <v>256528.31</v>
      </c>
      <c r="H558" s="18">
        <v>13868</v>
      </c>
      <c r="I558" s="18">
        <v>27444.98</v>
      </c>
      <c r="J558" s="18"/>
      <c r="K558" s="18">
        <v>4900.79</v>
      </c>
      <c r="L558" s="69">
        <f>SUM(F558:K558)</f>
        <v>936779.16999999993</v>
      </c>
      <c r="M558" s="8"/>
      <c r="N558" s="164"/>
    </row>
    <row r="559" spans="1:14" s="3" customFormat="1" ht="12.2" customHeight="1" x14ac:dyDescent="0.15">
      <c r="A559" s="21" t="s">
        <v>634</v>
      </c>
      <c r="B559" s="22">
        <v>22</v>
      </c>
      <c r="C559" s="22">
        <v>2</v>
      </c>
      <c r="D559" s="2" t="s">
        <v>432</v>
      </c>
      <c r="E559" s="22"/>
      <c r="F559" s="18">
        <v>65710.69</v>
      </c>
      <c r="G559" s="18">
        <v>20843.3</v>
      </c>
      <c r="H559" s="18"/>
      <c r="I559" s="18">
        <v>144.49</v>
      </c>
      <c r="J559" s="18">
        <v>766</v>
      </c>
      <c r="K559" s="18"/>
      <c r="L559" s="69">
        <f>SUM(F559:K559)</f>
        <v>87464.48000000001</v>
      </c>
      <c r="M559" s="8"/>
      <c r="N559" s="164"/>
    </row>
    <row r="560" spans="1:14" s="3" customFormat="1" ht="12.2" customHeight="1" thickBot="1" x14ac:dyDescent="0.2">
      <c r="A560" s="21" t="s">
        <v>635</v>
      </c>
      <c r="B560" s="22">
        <v>22</v>
      </c>
      <c r="C560" s="22">
        <v>3</v>
      </c>
      <c r="D560" s="2" t="s">
        <v>432</v>
      </c>
      <c r="E560" s="22"/>
      <c r="F560" s="18"/>
      <c r="G560" s="18"/>
      <c r="H560" s="18">
        <f>25000+26512.52</f>
        <v>51512.520000000004</v>
      </c>
      <c r="I560" s="18"/>
      <c r="J560" s="18"/>
      <c r="K560" s="18"/>
      <c r="L560" s="69">
        <f>SUM(F560:K560)</f>
        <v>51512.520000000004</v>
      </c>
      <c r="M560" s="8"/>
      <c r="N560" s="164"/>
    </row>
    <row r="561" spans="1:14" s="3" customFormat="1" ht="12.2" customHeight="1" thickTop="1" x14ac:dyDescent="0.15">
      <c r="A561" s="97" t="s">
        <v>63</v>
      </c>
      <c r="B561" s="41">
        <v>22</v>
      </c>
      <c r="C561" s="41">
        <v>4</v>
      </c>
      <c r="D561" s="115" t="s">
        <v>432</v>
      </c>
      <c r="E561" s="41"/>
      <c r="F561" s="81">
        <f t="shared" ref="F561:L561" si="43">SUM(F558:F560)</f>
        <v>699747.78</v>
      </c>
      <c r="G561" s="81">
        <f t="shared" si="43"/>
        <v>277371.61</v>
      </c>
      <c r="H561" s="81">
        <f t="shared" si="43"/>
        <v>65380.520000000004</v>
      </c>
      <c r="I561" s="81">
        <f t="shared" si="43"/>
        <v>27589.47</v>
      </c>
      <c r="J561" s="81">
        <f t="shared" si="43"/>
        <v>766</v>
      </c>
      <c r="K561" s="81">
        <f t="shared" si="43"/>
        <v>4900.79</v>
      </c>
      <c r="L561" s="70">
        <f t="shared" si="43"/>
        <v>1075756.17</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699747.78</v>
      </c>
      <c r="G572" s="70">
        <f t="shared" ref="G572:L572" si="46">G561+G566+G571</f>
        <v>277371.61</v>
      </c>
      <c r="H572" s="70">
        <f t="shared" si="46"/>
        <v>65380.520000000004</v>
      </c>
      <c r="I572" s="70">
        <f t="shared" si="46"/>
        <v>27589.47</v>
      </c>
      <c r="J572" s="70">
        <f t="shared" si="46"/>
        <v>766</v>
      </c>
      <c r="K572" s="70">
        <f t="shared" si="46"/>
        <v>4900.79</v>
      </c>
      <c r="L572" s="70">
        <f t="shared" si="46"/>
        <v>1075756.17</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5432.64</v>
      </c>
      <c r="G576" s="18">
        <v>0</v>
      </c>
      <c r="H576" s="18">
        <v>10532.64</v>
      </c>
      <c r="I576" s="69">
        <f>SUM(F576:H576)</f>
        <v>15965.279999999999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13256.26</v>
      </c>
      <c r="I579" s="69">
        <f t="shared" si="47"/>
        <v>13256.26</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349383.89</v>
      </c>
      <c r="G583" s="18">
        <v>425307.51</v>
      </c>
      <c r="H583" s="18">
        <v>529030.5</v>
      </c>
      <c r="I583" s="69">
        <f t="shared" si="47"/>
        <v>1303721.8999999999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354816.53</v>
      </c>
      <c r="G589" s="79">
        <f t="shared" ref="G589:I589" si="48">SUM(G576:G588)</f>
        <v>425307.51</v>
      </c>
      <c r="H589" s="79">
        <f t="shared" si="48"/>
        <v>552819.4</v>
      </c>
      <c r="I589" s="79">
        <f t="shared" si="48"/>
        <v>1332943.44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246964.96+1427.04</f>
        <v>248392</v>
      </c>
      <c r="I592" s="18">
        <f>79788.68+364.93</f>
        <v>80153.609999999986</v>
      </c>
      <c r="J592" s="18">
        <f>53192.45+889.86</f>
        <v>54082.31</v>
      </c>
      <c r="K592" s="80">
        <f t="shared" ref="K592:K598" si="49">SUM(H592:J592)</f>
        <v>382627.92</v>
      </c>
      <c r="L592" s="23" t="s">
        <v>288</v>
      </c>
      <c r="M592" s="8"/>
      <c r="N592" s="164"/>
    </row>
    <row r="593" spans="1:14" s="3" customFormat="1" ht="12.2" customHeight="1" x14ac:dyDescent="0.15">
      <c r="A593" s="3" t="s">
        <v>638</v>
      </c>
      <c r="B593" s="22">
        <v>23</v>
      </c>
      <c r="C593" s="22">
        <v>2</v>
      </c>
      <c r="D593" s="2" t="s">
        <v>432</v>
      </c>
      <c r="E593" s="22"/>
      <c r="F593" s="78">
        <v>2722</v>
      </c>
      <c r="G593" s="79" t="s">
        <v>97</v>
      </c>
      <c r="H593" s="18">
        <v>29048.94</v>
      </c>
      <c r="I593" s="18"/>
      <c r="J593" s="18">
        <v>91.93</v>
      </c>
      <c r="K593" s="80">
        <f t="shared" si="49"/>
        <v>29140.87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2283.1</v>
      </c>
      <c r="I595" s="18">
        <v>507.23</v>
      </c>
      <c r="J595" s="18">
        <v>7645.97</v>
      </c>
      <c r="K595" s="80">
        <f t="shared" si="49"/>
        <v>10436.299999999999</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1176.58+4867.2</f>
        <v>6043.78</v>
      </c>
      <c r="I596" s="18">
        <f>948.79+601.56</f>
        <v>1550.35</v>
      </c>
      <c r="J596" s="18">
        <v>2333.75</v>
      </c>
      <c r="K596" s="80">
        <f t="shared" si="49"/>
        <v>9927.8799999999992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285767.82</v>
      </c>
      <c r="I599" s="81">
        <f>SUM(I592:I598)</f>
        <v>82211.189999999988</v>
      </c>
      <c r="J599" s="81">
        <f>SUM(J592:J598)</f>
        <v>64153.96</v>
      </c>
      <c r="K599" s="81">
        <f>SUM(K592:K598)</f>
        <v>432132.97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172706.69+17923.71</f>
        <v>190630.39999999999</v>
      </c>
      <c r="I605" s="18">
        <f>167192.85+6275.09</f>
        <v>173467.94</v>
      </c>
      <c r="J605" s="18">
        <f>224132.15+100011.91</f>
        <v>324144.06</v>
      </c>
      <c r="K605" s="80">
        <f>SUM(H605:J605)</f>
        <v>688242.39999999991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190630.39999999999</v>
      </c>
      <c r="I606" s="81">
        <f>SUM(I603:I605)</f>
        <v>173467.94</v>
      </c>
      <c r="J606" s="81">
        <f>SUM(J603:J605)</f>
        <v>324144.06</v>
      </c>
      <c r="K606" s="81">
        <f>SUM(K603:K605)</f>
        <v>688242.39999999991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149237.38</v>
      </c>
      <c r="H619" s="80">
        <f>SUM(G52)</f>
        <v>149237.38</v>
      </c>
      <c r="I619" s="87" t="s">
        <v>872</v>
      </c>
      <c r="J619" s="80">
        <f>G619-H619</f>
        <v>0</v>
      </c>
      <c r="K619" s="80"/>
      <c r="L619" s="80"/>
      <c r="M619" s="8"/>
    </row>
    <row r="620" spans="1:14" s="3" customFormat="1" ht="12.2" customHeight="1" x14ac:dyDescent="0.15">
      <c r="A620" s="74"/>
      <c r="B620" s="22"/>
      <c r="C620" s="22"/>
      <c r="D620" s="22"/>
      <c r="E620" s="22"/>
      <c r="F620" s="87" t="s">
        <v>685</v>
      </c>
      <c r="G620" s="80">
        <f>SUM(H19)</f>
        <v>113753.06</v>
      </c>
      <c r="H620" s="80">
        <f>SUM(H52)</f>
        <v>113753.06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149237.38</v>
      </c>
      <c r="H624" s="80">
        <f>G477</f>
        <v>149237.38</v>
      </c>
      <c r="I624" s="87" t="s">
        <v>102</v>
      </c>
      <c r="J624" s="80">
        <f t="shared" si="51"/>
        <v>0</v>
      </c>
      <c r="K624" s="80"/>
      <c r="L624" s="80"/>
      <c r="M624" s="8"/>
    </row>
    <row r="625" spans="1:13" s="3" customFormat="1" ht="12.2" customHeight="1" x14ac:dyDescent="0.15">
      <c r="A625" s="74"/>
      <c r="B625" s="22"/>
      <c r="C625" s="22"/>
      <c r="D625" s="22"/>
      <c r="E625" s="22"/>
      <c r="F625" s="86" t="s">
        <v>863</v>
      </c>
      <c r="G625" s="80">
        <f>H51</f>
        <v>113753.06</v>
      </c>
      <c r="H625" s="80">
        <f>H477</f>
        <v>113753.06000000052</v>
      </c>
      <c r="I625" s="87" t="s">
        <v>103</v>
      </c>
      <c r="J625" s="80">
        <f t="shared" si="51"/>
        <v>-5.2386894822120667E-10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21334454.93</v>
      </c>
      <c r="H628" s="80">
        <f>SUM(F469)</f>
        <v>21334454.93</v>
      </c>
      <c r="I628" s="87" t="s">
        <v>106</v>
      </c>
      <c r="J628" s="80">
        <f>G628-H628</f>
        <v>0</v>
      </c>
      <c r="K628" s="67"/>
      <c r="L628" s="69"/>
      <c r="M628" s="8"/>
    </row>
    <row r="629" spans="1:13" s="3" customFormat="1" ht="12.2" customHeight="1" x14ac:dyDescent="0.15">
      <c r="A629" s="21"/>
      <c r="B629" s="22"/>
      <c r="C629" s="22"/>
      <c r="D629" s="22"/>
      <c r="E629" s="22"/>
      <c r="F629" s="86" t="s">
        <v>659</v>
      </c>
      <c r="G629" s="80">
        <f>G194</f>
        <v>787210.2</v>
      </c>
      <c r="H629" s="80">
        <f>SUM(G469)</f>
        <v>787210.2</v>
      </c>
      <c r="I629" s="87" t="s">
        <v>107</v>
      </c>
      <c r="J629" s="80">
        <f>G629-H629</f>
        <v>0</v>
      </c>
      <c r="K629" s="67"/>
      <c r="L629" s="69"/>
      <c r="M629" s="8"/>
    </row>
    <row r="630" spans="1:13" s="3" customFormat="1" ht="12.2" customHeight="1" x14ac:dyDescent="0.15">
      <c r="A630" s="21"/>
      <c r="B630" s="22"/>
      <c r="C630" s="22"/>
      <c r="D630" s="22"/>
      <c r="E630" s="22"/>
      <c r="F630" s="86" t="s">
        <v>660</v>
      </c>
      <c r="G630" s="80">
        <f>H194</f>
        <v>4476566.4400000004</v>
      </c>
      <c r="H630" s="80">
        <f>SUM(H469)</f>
        <v>4476566.4400000004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21334454.929999996</v>
      </c>
      <c r="H633" s="80">
        <f>SUM(F473)</f>
        <v>21334454.93</v>
      </c>
      <c r="I633" s="87" t="s">
        <v>111</v>
      </c>
      <c r="J633" s="80">
        <f t="shared" si="51"/>
        <v>0</v>
      </c>
      <c r="K633" s="67"/>
      <c r="L633" s="69"/>
      <c r="M633" s="8"/>
    </row>
    <row r="634" spans="1:13" s="3" customFormat="1" ht="12.2" customHeight="1" x14ac:dyDescent="0.15">
      <c r="A634" s="21"/>
      <c r="B634" s="22"/>
      <c r="C634" s="22"/>
      <c r="D634" s="22"/>
      <c r="E634" s="22"/>
      <c r="F634" s="86" t="s">
        <v>395</v>
      </c>
      <c r="G634" s="80">
        <f>SUM(L353)</f>
        <v>4362813.38</v>
      </c>
      <c r="H634" s="80">
        <f>SUM(H473)</f>
        <v>4362813.38</v>
      </c>
      <c r="I634" s="87" t="s">
        <v>112</v>
      </c>
      <c r="J634" s="80">
        <f>G634-H634</f>
        <v>0</v>
      </c>
      <c r="K634" s="67"/>
      <c r="L634" s="69"/>
      <c r="M634" s="8"/>
    </row>
    <row r="635" spans="1:13" s="124" customFormat="1" ht="12.2" customHeight="1" x14ac:dyDescent="0.15">
      <c r="A635" s="21"/>
      <c r="B635" s="22"/>
      <c r="C635" s="22"/>
      <c r="D635" s="22"/>
      <c r="E635" s="22"/>
      <c r="F635" s="99" t="s">
        <v>247</v>
      </c>
      <c r="G635" s="80">
        <f>I363</f>
        <v>353081.17000000004</v>
      </c>
      <c r="H635" s="80">
        <f>I370</f>
        <v>353081.17000000004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994264.78</v>
      </c>
      <c r="H636" s="80">
        <f>SUM(G473)</f>
        <v>994264.78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432132.97</v>
      </c>
      <c r="H648" s="80">
        <f>L209+L227+L245</f>
        <v>432132.97000000003</v>
      </c>
      <c r="I648" s="87" t="s">
        <v>396</v>
      </c>
      <c r="J648" s="80">
        <f t="shared" si="51"/>
        <v>0</v>
      </c>
      <c r="K648" s="67"/>
      <c r="L648" s="69"/>
      <c r="M648" s="8"/>
    </row>
    <row r="649" spans="1:13" s="3" customFormat="1" ht="12.2" customHeight="1" x14ac:dyDescent="0.15">
      <c r="A649" s="21"/>
      <c r="B649" s="22"/>
      <c r="C649" s="22"/>
      <c r="D649" s="22"/>
      <c r="E649" s="22"/>
      <c r="F649" s="86" t="s">
        <v>52</v>
      </c>
      <c r="G649" s="80">
        <f>K606</f>
        <v>688242.39999999991</v>
      </c>
      <c r="H649" s="80">
        <f>(J258+J339)-(J256+J337)</f>
        <v>688242.4</v>
      </c>
      <c r="I649" s="87" t="s">
        <v>699</v>
      </c>
      <c r="J649" s="80">
        <f t="shared" si="51"/>
        <v>0</v>
      </c>
      <c r="K649" s="67"/>
      <c r="L649" s="69"/>
      <c r="M649" s="8"/>
    </row>
    <row r="650" spans="1:13" s="3" customFormat="1" ht="12.2" customHeight="1" x14ac:dyDescent="0.15">
      <c r="A650" s="21"/>
      <c r="B650" s="22"/>
      <c r="C650" s="22"/>
      <c r="D650" s="22"/>
      <c r="E650" s="22"/>
      <c r="F650" s="86" t="s">
        <v>387</v>
      </c>
      <c r="G650" s="80">
        <f>L209</f>
        <v>285767.82</v>
      </c>
      <c r="H650" s="80">
        <f>H599</f>
        <v>285767.82</v>
      </c>
      <c r="I650" s="87" t="s">
        <v>388</v>
      </c>
      <c r="J650" s="80">
        <f t="shared" si="51"/>
        <v>0</v>
      </c>
      <c r="K650" s="67"/>
      <c r="L650" s="69"/>
      <c r="M650" s="8"/>
    </row>
    <row r="651" spans="1:13" s="3" customFormat="1" ht="12.2" customHeight="1" x14ac:dyDescent="0.15">
      <c r="A651" s="21"/>
      <c r="B651" s="22"/>
      <c r="C651" s="22"/>
      <c r="D651" s="22"/>
      <c r="E651" s="22"/>
      <c r="F651" s="86" t="s">
        <v>392</v>
      </c>
      <c r="G651" s="80">
        <f>L227</f>
        <v>82211.189999999988</v>
      </c>
      <c r="H651" s="80">
        <f>I599</f>
        <v>82211.189999999988</v>
      </c>
      <c r="I651" s="87" t="s">
        <v>389</v>
      </c>
      <c r="J651" s="80">
        <f t="shared" si="51"/>
        <v>0</v>
      </c>
      <c r="K651" s="67"/>
      <c r="L651" s="69"/>
      <c r="M651" s="8"/>
    </row>
    <row r="652" spans="1:13" s="3" customFormat="1" ht="12.2" customHeight="1" x14ac:dyDescent="0.15">
      <c r="A652" s="21"/>
      <c r="B652" s="22"/>
      <c r="C652" s="22"/>
      <c r="D652" s="22"/>
      <c r="E652" s="22"/>
      <c r="F652" s="86" t="s">
        <v>393</v>
      </c>
      <c r="G652" s="80">
        <f>L245</f>
        <v>64153.960000000006</v>
      </c>
      <c r="H652" s="80">
        <f>J599</f>
        <v>64153.96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12396017.779999999</v>
      </c>
      <c r="G661" s="13">
        <f>(L230+L310+L360)</f>
        <v>5537800.2999999998</v>
      </c>
      <c r="H661" s="13">
        <f>(L248+L329+L361)</f>
        <v>8730158.1999999993</v>
      </c>
      <c r="I661" s="13">
        <f>SUM(F661:H661)</f>
        <v>26663976.279999997</v>
      </c>
      <c r="J661" s="13"/>
      <c r="K661" s="13"/>
      <c r="L661" s="13"/>
      <c r="M661" s="9"/>
    </row>
    <row r="662" spans="1:13" s="3" customFormat="1" ht="12.2" customHeight="1" x14ac:dyDescent="0.2">
      <c r="A662" s="1" t="s">
        <v>127</v>
      </c>
      <c r="F662" s="13">
        <f>(L359/IF(SUM(L359:L361)=0,1,SUM(L359:L361))*(SUM(G97:G110)))</f>
        <v>135872.86432411053</v>
      </c>
      <c r="G662" s="13">
        <f>(L360/IF(SUM(L359:L361)=0,1,SUM(L359:L361))*(SUM(G97:G110)))</f>
        <v>56670.845927799834</v>
      </c>
      <c r="H662" s="13">
        <f>(L361/IF(SUM(L359:L361)=0,1,SUM(L359:L361))*(SUM(G97:G110)))</f>
        <v>75051.229748089638</v>
      </c>
      <c r="I662" s="13">
        <f>SUM(F662:H662)</f>
        <v>267594.94</v>
      </c>
      <c r="J662"/>
      <c r="K662" s="13"/>
      <c r="L662" s="13"/>
      <c r="M662" s="8"/>
    </row>
    <row r="663" spans="1:13" s="3" customFormat="1" ht="12.2" customHeight="1" x14ac:dyDescent="0.2">
      <c r="A663" s="1" t="s">
        <v>128</v>
      </c>
      <c r="F663" s="13">
        <f>(L209+L288)-(J209+J288)</f>
        <v>287301.29000000004</v>
      </c>
      <c r="G663" s="13">
        <f>(L227+L307)-(J227+J307)</f>
        <v>82430.009999999995</v>
      </c>
      <c r="H663" s="13">
        <f>(L245+L326)-(J245+J326)</f>
        <v>64153.960000000006</v>
      </c>
      <c r="I663" s="13">
        <f>SUM(F663:H663)</f>
        <v>433885.26000000007</v>
      </c>
      <c r="J663"/>
      <c r="K663" s="13"/>
      <c r="L663" s="13"/>
      <c r="M663" s="9"/>
    </row>
    <row r="664" spans="1:13" s="3" customFormat="1" ht="12.2" customHeight="1" x14ac:dyDescent="0.15">
      <c r="A664" s="141" t="s">
        <v>129</v>
      </c>
      <c r="B664" s="124"/>
      <c r="C664" s="124"/>
      <c r="D664" s="124"/>
      <c r="E664" s="124"/>
      <c r="F664" s="142">
        <f>SUM(F576:F588)+SUM(H603:H605)+SUM(L612)</f>
        <v>545446.93000000005</v>
      </c>
      <c r="G664" s="142">
        <f>SUM(G576:G588)+SUM(I603:I605)+L613</f>
        <v>598775.44999999995</v>
      </c>
      <c r="H664" s="142">
        <f>SUM(H576:H588)+SUM(J603:J605)+L614</f>
        <v>876963.46</v>
      </c>
      <c r="I664" s="13">
        <f>SUM(F664:H664)</f>
        <v>2021185.8399999999</v>
      </c>
      <c r="J664" s="13"/>
      <c r="K664" s="13"/>
      <c r="L664" s="13"/>
      <c r="M664" s="9"/>
    </row>
    <row r="665" spans="1:13" s="3" customFormat="1" ht="12.2" customHeight="1" x14ac:dyDescent="0.15">
      <c r="A665" s="1" t="s">
        <v>130</v>
      </c>
      <c r="F665" s="13">
        <f>F661-SUM(F662:F664)</f>
        <v>11427396.695675889</v>
      </c>
      <c r="G665" s="13">
        <f>G661-SUM(G662:G664)</f>
        <v>4799923.9940721998</v>
      </c>
      <c r="H665" s="13">
        <f>H661-SUM(H662:H664)</f>
        <v>7713989.5502519095</v>
      </c>
      <c r="I665" s="13">
        <f>I661-SUM(I662:I664)</f>
        <v>23941310.239999998</v>
      </c>
      <c r="J665" s="13"/>
      <c r="K665" s="13"/>
      <c r="L665" s="13"/>
      <c r="M665" s="8"/>
    </row>
    <row r="666" spans="1:13" s="3" customFormat="1" ht="12.2" customHeight="1" x14ac:dyDescent="0.2">
      <c r="A666" s="1" t="s">
        <v>131</v>
      </c>
      <c r="F666" s="182">
        <v>415.22</v>
      </c>
      <c r="G666" s="183">
        <v>244.81</v>
      </c>
      <c r="H666" s="183">
        <v>323.61</v>
      </c>
      <c r="I666" s="13">
        <f>SUM(F666:H666)</f>
        <v>983.64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27521.31</v>
      </c>
      <c r="G668" s="13">
        <f>ROUND(G665/G666,2)</f>
        <v>19606.73</v>
      </c>
      <c r="H668" s="13">
        <f>ROUND(H665/H666,2)</f>
        <v>23837.3</v>
      </c>
      <c r="I668" s="13">
        <f>ROUND(I665/I666,2)</f>
        <v>24339.5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8.2200000000000006</v>
      </c>
      <c r="I671" s="13">
        <f>SUM(F671:H671)</f>
        <v>8.2200000000000006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27521.31</v>
      </c>
      <c r="G673" s="13">
        <f>ROUND((G665+G670)/(G666+G671),2)</f>
        <v>19606.73</v>
      </c>
      <c r="H673" s="13">
        <f>ROUND((H665+H670)/(H666+H671),2)</f>
        <v>23246.81</v>
      </c>
      <c r="I673" s="13">
        <f>ROUND((I665+I670)/(I666+I671),2)</f>
        <v>24137.79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4"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483675.27999999997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111177.81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92754.12</v>
      </c>
      <c r="F13" s="271" t="s">
        <v>1614</v>
      </c>
    </row>
    <row r="14" spans="2:8" x14ac:dyDescent="0.25">
      <c r="B14" s="270"/>
      <c r="C14" s="270"/>
      <c r="D14" s="271"/>
      <c r="E14" s="270"/>
      <c r="F14" s="270"/>
    </row>
    <row r="15" spans="2:8" x14ac:dyDescent="0.25">
      <c r="B15" s="270"/>
      <c r="C15" s="271" t="s">
        <v>1608</v>
      </c>
      <c r="D15" s="271" t="s">
        <v>1621</v>
      </c>
      <c r="E15" s="259">
        <v>258204.35</v>
      </c>
      <c r="F15" s="271" t="s">
        <v>1615</v>
      </c>
    </row>
    <row r="16" spans="2:8" x14ac:dyDescent="0.25">
      <c r="B16" s="270"/>
      <c r="C16" s="270"/>
      <c r="D16" s="270"/>
      <c r="E16" s="270"/>
      <c r="F16" s="270"/>
    </row>
    <row r="17" spans="2:8" x14ac:dyDescent="0.25">
      <c r="B17" s="270"/>
      <c r="C17" s="271" t="s">
        <v>1607</v>
      </c>
      <c r="D17" s="271" t="s">
        <v>1622</v>
      </c>
      <c r="E17" s="259">
        <v>21539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Berlin</v>
      </c>
      <c r="C5" s="321"/>
      <c r="D5" s="321"/>
      <c r="E5" s="321"/>
      <c r="F5" s="321"/>
    </row>
    <row r="8" spans="1:9" ht="18" x14ac:dyDescent="0.25">
      <c r="A8" s="239" t="s">
        <v>1548</v>
      </c>
      <c r="F8" s="246" t="s">
        <v>1566</v>
      </c>
    </row>
    <row r="9" spans="1:9" ht="15" x14ac:dyDescent="0.2">
      <c r="A9" s="237" t="s">
        <v>1549</v>
      </c>
      <c r="B9" s="240">
        <f>'DOE25'!G97</f>
        <v>267594.94</v>
      </c>
      <c r="F9" s="237" t="s">
        <v>1562</v>
      </c>
    </row>
    <row r="10" spans="1:9" ht="15" x14ac:dyDescent="0.2">
      <c r="A10" s="237" t="s">
        <v>1550</v>
      </c>
      <c r="B10" s="240">
        <f>'DOE25'!G112-'DOE25'!G97</f>
        <v>0</v>
      </c>
      <c r="F10" s="237" t="s">
        <v>1563</v>
      </c>
    </row>
    <row r="11" spans="1:9" ht="15" x14ac:dyDescent="0.2">
      <c r="A11" s="237" t="s">
        <v>1551</v>
      </c>
      <c r="B11" s="240">
        <f>'DOE25'!G140</f>
        <v>10427.620000000001</v>
      </c>
      <c r="F11" s="237" t="s">
        <v>1564</v>
      </c>
    </row>
    <row r="12" spans="1:9" ht="15" x14ac:dyDescent="0.2">
      <c r="A12" s="237" t="s">
        <v>1552</v>
      </c>
      <c r="B12" s="240">
        <f>'DOE25'!G170</f>
        <v>509187.64</v>
      </c>
      <c r="F12" s="237" t="s">
        <v>1565</v>
      </c>
    </row>
    <row r="13" spans="1:9" ht="15" x14ac:dyDescent="0.2">
      <c r="A13" s="237" t="s">
        <v>1553</v>
      </c>
      <c r="B13" s="240">
        <f>'DOE25'!G193-'DOE25'!G180</f>
        <v>0</v>
      </c>
      <c r="F13" s="237" t="s">
        <v>1575</v>
      </c>
    </row>
    <row r="14" spans="1:9" ht="18" x14ac:dyDescent="0.25">
      <c r="A14" s="239" t="s">
        <v>732</v>
      </c>
      <c r="B14" s="241">
        <f>SUM(B9:B13)</f>
        <v>787210.2</v>
      </c>
    </row>
    <row r="16" spans="1:9" ht="18" x14ac:dyDescent="0.25">
      <c r="A16" s="239" t="s">
        <v>783</v>
      </c>
      <c r="F16" s="246" t="s">
        <v>1567</v>
      </c>
    </row>
    <row r="17" spans="1:6" ht="15" x14ac:dyDescent="0.2">
      <c r="A17" s="237" t="s">
        <v>1554</v>
      </c>
      <c r="B17" s="240">
        <f>'DOE25'!L363-'DOE25'!L362</f>
        <v>994264.78</v>
      </c>
      <c r="F17" s="237" t="s">
        <v>1568</v>
      </c>
    </row>
    <row r="18" spans="1:6" ht="15" x14ac:dyDescent="0.2">
      <c r="A18" s="237" t="s">
        <v>1555</v>
      </c>
      <c r="B18" s="250"/>
      <c r="F18" s="246" t="s">
        <v>1592</v>
      </c>
    </row>
    <row r="19" spans="1:6" ht="18" x14ac:dyDescent="0.25">
      <c r="A19" s="239" t="s">
        <v>725</v>
      </c>
      <c r="B19" s="241">
        <f>SUM(B17:B18)</f>
        <v>994264.78</v>
      </c>
    </row>
    <row r="21" spans="1:6" ht="18.75" thickBot="1" x14ac:dyDescent="0.3">
      <c r="A21" s="239" t="s">
        <v>1556</v>
      </c>
    </row>
    <row r="22" spans="1:6" ht="18.75" thickTop="1" x14ac:dyDescent="0.25">
      <c r="A22" s="239" t="s">
        <v>1557</v>
      </c>
      <c r="B22" s="245">
        <f>B14-B19</f>
        <v>-207054.58000000007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391951.81</v>
      </c>
      <c r="F31" s="237" t="s">
        <v>1572</v>
      </c>
    </row>
    <row r="33" spans="1:6" ht="15" x14ac:dyDescent="0.2">
      <c r="A33" s="237" t="s">
        <v>1790</v>
      </c>
      <c r="B33" s="240">
        <f>'DOE25'!G477</f>
        <v>149237.38</v>
      </c>
      <c r="F33" s="237" t="s">
        <v>1573</v>
      </c>
    </row>
    <row r="36" spans="1:6" ht="15" x14ac:dyDescent="0.2">
      <c r="A36" s="237" t="s">
        <v>1559</v>
      </c>
      <c r="B36" s="251">
        <v>39533.42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Berlin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5350678.3599999994</v>
      </c>
      <c r="C9" s="166">
        <f>'DOE25'!G198+'DOE25'!G216+'DOE25'!G234+'DOE25'!G277+'DOE25'!G296+'DOE25'!G315</f>
        <v>2628470.4</v>
      </c>
    </row>
    <row r="10" spans="1:3" x14ac:dyDescent="0.2">
      <c r="A10" t="s">
        <v>772</v>
      </c>
      <c r="B10" s="176">
        <v>4975901.74</v>
      </c>
      <c r="C10" s="176">
        <v>2607447.64</v>
      </c>
    </row>
    <row r="11" spans="1:3" x14ac:dyDescent="0.2">
      <c r="A11" t="s">
        <v>773</v>
      </c>
      <c r="B11" s="176">
        <v>152628.01999999999</v>
      </c>
      <c r="C11" s="176">
        <f>1160.51+11676.04</f>
        <v>12836.550000000001</v>
      </c>
    </row>
    <row r="12" spans="1:3" x14ac:dyDescent="0.2">
      <c r="A12" t="s">
        <v>774</v>
      </c>
      <c r="B12" s="176">
        <v>222148.6</v>
      </c>
      <c r="C12" s="176">
        <f>2009.25+6176.96</f>
        <v>8186.21</v>
      </c>
    </row>
    <row r="13" spans="1:3" x14ac:dyDescent="0.2">
      <c r="A13" t="str">
        <f>IF(B9=B13,IF(C9=C13,"Check Total OK","Check Total Error"),"Check Total Error")</f>
        <v>Check Total OK</v>
      </c>
      <c r="B13" s="168">
        <f>SUM(B10:B12)</f>
        <v>5350678.3599999994</v>
      </c>
      <c r="C13" s="168">
        <f>SUM(C10:C12)</f>
        <v>2628470.4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2722151.6799999997</v>
      </c>
      <c r="C18" s="166">
        <f>'DOE25'!G199+'DOE25'!G217+'DOE25'!G235+'DOE25'!G278+'DOE25'!G297+'DOE25'!G316</f>
        <v>1001661.21</v>
      </c>
    </row>
    <row r="19" spans="1:3" x14ac:dyDescent="0.2">
      <c r="A19" t="s">
        <v>772</v>
      </c>
      <c r="B19" s="176">
        <f>1685696.91+1665.35</f>
        <v>1687362.26</v>
      </c>
      <c r="C19" s="176">
        <f>915585.48+125.78+327.08</f>
        <v>916038.34</v>
      </c>
    </row>
    <row r="20" spans="1:3" x14ac:dyDescent="0.2">
      <c r="A20" t="s">
        <v>773</v>
      </c>
      <c r="B20" s="176">
        <v>1028339.42</v>
      </c>
      <c r="C20" s="176">
        <v>84598.82</v>
      </c>
    </row>
    <row r="21" spans="1:3" x14ac:dyDescent="0.2">
      <c r="A21" t="s">
        <v>774</v>
      </c>
      <c r="B21" s="176">
        <v>6450</v>
      </c>
      <c r="C21" s="176">
        <v>1024.05</v>
      </c>
    </row>
    <row r="22" spans="1:3" x14ac:dyDescent="0.2">
      <c r="A22" t="str">
        <f>IF(B18=B22,IF(C18=C22,"Check Total OK","Check Total Error"),"Check Total Error")</f>
        <v>Check Total OK</v>
      </c>
      <c r="B22" s="168">
        <f>SUM(B19:B21)</f>
        <v>2722151.68</v>
      </c>
      <c r="C22" s="168">
        <f>SUM(C19:C21)</f>
        <v>1001661.21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483149.54</v>
      </c>
      <c r="C27" s="171">
        <f>'DOE25'!G200+'DOE25'!G218+'DOE25'!G236+'DOE25'!G279+'DOE25'!G298+'DOE25'!G317</f>
        <v>265990.16000000003</v>
      </c>
    </row>
    <row r="28" spans="1:3" x14ac:dyDescent="0.2">
      <c r="A28" t="s">
        <v>772</v>
      </c>
      <c r="B28" s="176">
        <v>460498.42</v>
      </c>
      <c r="C28" s="176">
        <v>264054.44</v>
      </c>
    </row>
    <row r="29" spans="1:3" x14ac:dyDescent="0.2">
      <c r="A29" t="s">
        <v>773</v>
      </c>
      <c r="B29" s="176">
        <v>22651.119999999999</v>
      </c>
      <c r="C29" s="176">
        <v>1935.72</v>
      </c>
    </row>
    <row r="30" spans="1:3" x14ac:dyDescent="0.2">
      <c r="A30" t="s">
        <v>774</v>
      </c>
      <c r="B30" s="176"/>
      <c r="C30" s="176"/>
    </row>
    <row r="31" spans="1:3" x14ac:dyDescent="0.2">
      <c r="A31" t="str">
        <f>IF(B27=B31,IF(C27=C31,"Check Total OK","Check Total Error"),"Check Total Error")</f>
        <v>Check Total OK</v>
      </c>
      <c r="B31" s="168">
        <f>SUM(B28:B30)</f>
        <v>483149.54</v>
      </c>
      <c r="C31" s="168">
        <f>SUM(C28:C30)</f>
        <v>265990.15999999997</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491211.38999999996</v>
      </c>
      <c r="C36" s="172">
        <f>'DOE25'!G201+'DOE25'!G219+'DOE25'!G237+'DOE25'!G280+'DOE25'!G299+'DOE25'!G318</f>
        <v>105191.34999999999</v>
      </c>
    </row>
    <row r="37" spans="1:3" x14ac:dyDescent="0.2">
      <c r="A37" t="s">
        <v>772</v>
      </c>
      <c r="B37" s="176">
        <v>44490.5</v>
      </c>
      <c r="C37" s="176">
        <v>11093.66</v>
      </c>
    </row>
    <row r="38" spans="1:3" x14ac:dyDescent="0.2">
      <c r="A38" t="s">
        <v>773</v>
      </c>
      <c r="B38" s="176">
        <v>2508.54</v>
      </c>
      <c r="C38" s="176">
        <f>191.15+12.84</f>
        <v>203.99</v>
      </c>
    </row>
    <row r="39" spans="1:3" x14ac:dyDescent="0.2">
      <c r="A39" t="s">
        <v>774</v>
      </c>
      <c r="B39" s="176">
        <f>17057+163209.08+263946.27</f>
        <v>444212.35</v>
      </c>
      <c r="C39" s="176">
        <f>13678.67+26096.21+32392.75+19452.22+2273.85</f>
        <v>93893.700000000012</v>
      </c>
    </row>
    <row r="40" spans="1:3" x14ac:dyDescent="0.2">
      <c r="A40" t="str">
        <f>IF(B36=B40,IF(C36=C40,"Check Total OK","Check Total Error"),"Check Total Error")</f>
        <v>Check Total OK</v>
      </c>
      <c r="B40" s="168">
        <f>SUM(B37:B39)</f>
        <v>491211.38999999996</v>
      </c>
      <c r="C40" s="168">
        <f>SUM(C37:C39)</f>
        <v>105191.35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20" sqref="F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Berlin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13895074.52</v>
      </c>
      <c r="D5" s="19">
        <f>SUM('DOE25'!L198:L201)+SUM('DOE25'!L216:L219)+SUM('DOE25'!L234:L237)-F5-G5-H5</f>
        <v>13628744.789999999</v>
      </c>
      <c r="E5" s="179"/>
      <c r="F5" s="180"/>
      <c r="G5" s="19">
        <f>SUM('DOE25'!J198:J201)+SUM('DOE25'!J216:J219)+SUM('DOE25'!J234:J237)</f>
        <v>247865.46</v>
      </c>
      <c r="H5" s="19">
        <f>SUM('DOE25'!K198:K201)+SUM('DOE25'!K216:K219)+SUM('DOE25'!K234:K237)</f>
        <v>18464.27</v>
      </c>
      <c r="I5" s="191"/>
    </row>
    <row r="6" spans="1:9" x14ac:dyDescent="0.2">
      <c r="A6" s="31">
        <v>2100</v>
      </c>
      <c r="B6" t="s">
        <v>793</v>
      </c>
      <c r="C6" s="205">
        <f t="shared" si="0"/>
        <v>2066243.5400000003</v>
      </c>
      <c r="D6" s="19">
        <f>'DOE25'!L203+'DOE25'!L221+'DOE25'!L239-F6-G6-H6</f>
        <v>2064379.3900000004</v>
      </c>
      <c r="E6" s="179"/>
      <c r="F6" s="180"/>
      <c r="G6" s="19">
        <f>'DOE25'!J203+'DOE25'!J221+'DOE25'!J239</f>
        <v>49.95</v>
      </c>
      <c r="H6" s="19">
        <f>'DOE25'!K203+'DOE25'!K221+'DOE25'!K239</f>
        <v>1814.2</v>
      </c>
      <c r="I6" s="191"/>
    </row>
    <row r="7" spans="1:9" x14ac:dyDescent="0.2">
      <c r="A7" s="31">
        <v>2200</v>
      </c>
      <c r="B7" t="s">
        <v>817</v>
      </c>
      <c r="C7" s="205">
        <f t="shared" si="0"/>
        <v>345092.69999999995</v>
      </c>
      <c r="D7" s="19">
        <f>'DOE25'!L204+'DOE25'!L222+'DOE25'!L240-F7-G7-H7</f>
        <v>276884.23</v>
      </c>
      <c r="E7" s="179"/>
      <c r="F7" s="180"/>
      <c r="G7" s="19">
        <f>'DOE25'!J204+'DOE25'!J222+'DOE25'!J240</f>
        <v>68208.47</v>
      </c>
      <c r="H7" s="19">
        <f>'DOE25'!K204+'DOE25'!K222+'DOE25'!K240</f>
        <v>0</v>
      </c>
      <c r="I7" s="191"/>
    </row>
    <row r="8" spans="1:9" x14ac:dyDescent="0.2">
      <c r="A8" s="31">
        <v>2300</v>
      </c>
      <c r="B8" t="s">
        <v>794</v>
      </c>
      <c r="C8" s="205">
        <f t="shared" si="0"/>
        <v>820831.63000000012</v>
      </c>
      <c r="D8" s="179"/>
      <c r="E8" s="19">
        <f>'DOE25'!L205+'DOE25'!L223+'DOE25'!L241-F8-G8-H8-D9-D11</f>
        <v>664498.91</v>
      </c>
      <c r="F8" s="180">
        <v>0</v>
      </c>
      <c r="G8" s="19">
        <f>'DOE25'!J205+'DOE25'!J223+'DOE25'!J241</f>
        <v>88375.03</v>
      </c>
      <c r="H8" s="19">
        <f>'DOE25'!K205+'DOE25'!K223+'DOE25'!K241</f>
        <v>67957.69</v>
      </c>
      <c r="I8" s="191"/>
    </row>
    <row r="9" spans="1:9" ht="14.25" x14ac:dyDescent="0.2">
      <c r="A9" s="31">
        <v>2310</v>
      </c>
      <c r="B9" s="71" t="s">
        <v>884</v>
      </c>
      <c r="C9" s="205">
        <f t="shared" si="0"/>
        <v>53598.57</v>
      </c>
      <c r="D9" s="180">
        <v>53598.57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1121797.72</v>
      </c>
      <c r="D12" s="19">
        <f>'DOE25'!L206+'DOE25'!L224+'DOE25'!L242-F12-G12-H12</f>
        <v>1106602.49</v>
      </c>
      <c r="E12" s="179"/>
      <c r="F12" s="180"/>
      <c r="G12" s="19">
        <f>'DOE25'!J206+'DOE25'!J224+'DOE25'!J242</f>
        <v>8700</v>
      </c>
      <c r="H12" s="19">
        <f>'DOE25'!K206+'DOE25'!K224+'DOE25'!K242</f>
        <v>6495.23</v>
      </c>
      <c r="I12" s="191"/>
    </row>
    <row r="13" spans="1:9" x14ac:dyDescent="0.2">
      <c r="A13" s="31">
        <v>2500</v>
      </c>
      <c r="B13" t="s">
        <v>795</v>
      </c>
      <c r="C13" s="205">
        <f t="shared" si="0"/>
        <v>324827.73</v>
      </c>
      <c r="D13" s="179"/>
      <c r="E13" s="19">
        <f>'DOE25'!L207+'DOE25'!L225+'DOE25'!L243-F13-G13-H13</f>
        <v>320483.73</v>
      </c>
      <c r="F13" s="180"/>
      <c r="G13" s="19">
        <f>'DOE25'!J207+'DOE25'!J225+'DOE25'!J243</f>
        <v>0</v>
      </c>
      <c r="H13" s="19">
        <f>'DOE25'!K207+'DOE25'!K225+'DOE25'!K243</f>
        <v>4344</v>
      </c>
      <c r="I13" s="191"/>
    </row>
    <row r="14" spans="1:9" x14ac:dyDescent="0.2">
      <c r="A14" s="31">
        <v>2600</v>
      </c>
      <c r="B14" t="s">
        <v>815</v>
      </c>
      <c r="C14" s="205">
        <f t="shared" si="0"/>
        <v>2244853.3200000003</v>
      </c>
      <c r="D14" s="19">
        <f>'DOE25'!L208+'DOE25'!L226+'DOE25'!L244-F14-G14-H14</f>
        <v>2094137.5300000003</v>
      </c>
      <c r="E14" s="179"/>
      <c r="F14" s="180"/>
      <c r="G14" s="19">
        <f>'DOE25'!J208+'DOE25'!J226+'DOE25'!J244</f>
        <v>150595.79</v>
      </c>
      <c r="H14" s="19">
        <f>'DOE25'!K208+'DOE25'!K226+'DOE25'!K244</f>
        <v>120</v>
      </c>
      <c r="I14" s="191"/>
    </row>
    <row r="15" spans="1:9" x14ac:dyDescent="0.2">
      <c r="A15" s="31">
        <v>2700</v>
      </c>
      <c r="B15" t="s">
        <v>796</v>
      </c>
      <c r="C15" s="205">
        <f t="shared" si="0"/>
        <v>432132.97000000003</v>
      </c>
      <c r="D15" s="19">
        <f>'DOE25'!L209+'DOE25'!L227+'DOE25'!L245-F15-G15-H15</f>
        <v>431768.38000000006</v>
      </c>
      <c r="E15" s="179"/>
      <c r="F15" s="180"/>
      <c r="G15" s="19">
        <f>'DOE25'!J209+'DOE25'!J227+'DOE25'!J245</f>
        <v>236.99</v>
      </c>
      <c r="H15" s="19">
        <f>'DOE25'!K209+'DOE25'!K227+'DOE25'!K245</f>
        <v>127.6</v>
      </c>
      <c r="I15" s="191"/>
    </row>
    <row r="16" spans="1:9" x14ac:dyDescent="0.2">
      <c r="A16" s="31">
        <v>2800</v>
      </c>
      <c r="B16" t="s">
        <v>797</v>
      </c>
      <c r="C16" s="205">
        <f t="shared" si="0"/>
        <v>2445.42</v>
      </c>
      <c r="D16" s="179"/>
      <c r="E16" s="19">
        <f>'DOE25'!L210+'DOE25'!L228+'DOE25'!L246-F16-G16-H16</f>
        <v>2445.42</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27556.81</v>
      </c>
      <c r="D25" s="179"/>
      <c r="E25" s="179"/>
      <c r="F25" s="190"/>
      <c r="G25" s="179"/>
      <c r="H25" s="179"/>
      <c r="I25" s="189">
        <f>'DOE25'!L261+'DOE25'!L262+'DOE25'!L342+'DOE25'!L343</f>
        <v>27556.81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669379.94999999995</v>
      </c>
      <c r="D29" s="211">
        <f>'DOE25'!L359+'DOE25'!L360+'DOE25'!L361-'DOE25'!I368-F29-G29-H29-F39</f>
        <v>506434.79</v>
      </c>
      <c r="E29" s="179"/>
      <c r="F29" s="179"/>
      <c r="G29" s="19">
        <f>'DOE25'!J359+'DOE25'!J360+'DOE25'!J361</f>
        <v>161182.46</v>
      </c>
      <c r="H29" s="19">
        <f>'DOE25'!K359+'DOE25'!K360+'DOE25'!K361</f>
        <v>1762.7</v>
      </c>
      <c r="I29" s="191"/>
    </row>
    <row r="30" spans="1:9" x14ac:dyDescent="0.2">
      <c r="A30" s="31"/>
      <c r="C30" s="206"/>
      <c r="D30" s="19"/>
      <c r="F30" s="200"/>
      <c r="G30" s="19"/>
      <c r="H30" s="19"/>
      <c r="I30" s="191"/>
    </row>
    <row r="31" spans="1:9" x14ac:dyDescent="0.2">
      <c r="A31" s="31" t="s">
        <v>814</v>
      </c>
      <c r="B31" t="s">
        <v>813</v>
      </c>
      <c r="C31" s="205">
        <f>SUM(D31:I31)</f>
        <v>4362813.38</v>
      </c>
      <c r="D31" s="19">
        <f>'DOE25'!L291+'DOE25'!L310+'DOE25'!L329+'DOE25'!L334+'DOE25'!L335+'DOE25'!L336-F31-G31-H31</f>
        <v>3737057.77</v>
      </c>
      <c r="E31" s="179"/>
      <c r="F31" s="180">
        <f>274912.49+60937.5+55776.76+14525.91+6013.16+4048.61+36550+2500+11874+12775+10635</f>
        <v>490548.42999999993</v>
      </c>
      <c r="G31" s="19">
        <f>'DOE25'!J291+'DOE25'!J310+'DOE25'!J329+'DOE25'!J334+'DOE25'!J335+'DOE25'!J336</f>
        <v>124210.71</v>
      </c>
      <c r="H31" s="19">
        <f>'DOE25'!K291+'DOE25'!K310+'DOE25'!K329+'DOE25'!K334+'DOE25'!K335+'DOE25'!K336</f>
        <v>10996.470000000001</v>
      </c>
      <c r="I31" s="191"/>
    </row>
    <row r="32" spans="1:9" ht="12" thickBot="1" x14ac:dyDescent="0.25">
      <c r="C32" s="206"/>
      <c r="G32" s="187"/>
      <c r="H32" s="187"/>
      <c r="I32" s="193"/>
    </row>
    <row r="33" spans="1:9" ht="12" thickTop="1" x14ac:dyDescent="0.2">
      <c r="B33" t="s">
        <v>806</v>
      </c>
      <c r="D33" s="181">
        <f t="shared" ref="D33:I33" si="1">SUM(D5:D31)</f>
        <v>23899607.939999998</v>
      </c>
      <c r="E33" s="181">
        <f t="shared" si="1"/>
        <v>987428.06</v>
      </c>
      <c r="F33" s="181">
        <f t="shared" si="1"/>
        <v>490548.42999999993</v>
      </c>
      <c r="G33" s="181">
        <f t="shared" si="1"/>
        <v>849424.86</v>
      </c>
      <c r="H33" s="181">
        <f t="shared" si="1"/>
        <v>112082.16</v>
      </c>
      <c r="I33" s="181">
        <f t="shared" si="1"/>
        <v>27556.81</v>
      </c>
    </row>
    <row r="34" spans="1:9" ht="12" thickBot="1" x14ac:dyDescent="0.25"/>
    <row r="35" spans="1:9" ht="12" thickBot="1" x14ac:dyDescent="0.25">
      <c r="B35" s="187" t="s">
        <v>827</v>
      </c>
      <c r="D35" s="188">
        <f>E33</f>
        <v>987428.06</v>
      </c>
      <c r="E35" s="184"/>
      <c r="F35" s="294" t="s">
        <v>1596</v>
      </c>
      <c r="G35" s="295"/>
      <c r="H35" s="295"/>
      <c r="I35" s="296"/>
    </row>
    <row r="36" spans="1:9" ht="12" thickTop="1" x14ac:dyDescent="0.2">
      <c r="B36" t="s">
        <v>807</v>
      </c>
      <c r="D36" s="19">
        <f>D33</f>
        <v>23899607.939999998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Berlin</v>
      </c>
      <c r="B2">
        <f>'DOE25'!B2</f>
        <v>51</v>
      </c>
      <c r="J2" s="223" t="s">
        <v>1799</v>
      </c>
      <c r="K2" s="308">
        <f>SUM('DOE25'!L198:L201)+SUM('DOE25'!L277:L280)</f>
        <v>7368483.2299999995</v>
      </c>
      <c r="L2" s="308">
        <f>'DOE25'!L203+'DOE25'!L282</f>
        <v>1122465.1900000002</v>
      </c>
      <c r="M2" s="308">
        <f>'DOE25'!L204+'DOE25'!L283</f>
        <v>162662.88999999998</v>
      </c>
      <c r="N2" s="308">
        <f>'DOE25'!L206+'DOE25'!L285</f>
        <v>581177.80999999994</v>
      </c>
      <c r="O2" s="316">
        <f>'Salaries-Benefits'!B10+'Salaries-Benefits'!B12+'Salaries-Benefits'!B19+'Salaries-Benefits'!B21+'Salaries-Benefits'!B28+'Salaries-Benefits'!B30+'Salaries-Benefits'!B37+'Salaries-Benefits'!B39</f>
        <v>7841063.8699999992</v>
      </c>
      <c r="P2" s="316">
        <f>'Salaries-Benefits'!B11+'Salaries-Benefits'!B20+'Salaries-Benefits'!B29+'Salaries-Benefits'!B38</f>
        <v>1206127.1000000001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11891174.140000001</v>
      </c>
      <c r="G4" s="228">
        <f>'DOE25'!L212+'DOE25'!L291</f>
        <v>11891174.139999999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354816.53</v>
      </c>
      <c r="E5" s="219"/>
      <c r="F5" s="231">
        <f>D5+E5</f>
        <v>354816.53</v>
      </c>
      <c r="G5" s="222"/>
      <c r="H5" s="222"/>
      <c r="J5" s="71" t="s">
        <v>1840</v>
      </c>
      <c r="K5" s="20">
        <v>354816.53</v>
      </c>
      <c r="L5" s="20"/>
      <c r="M5" s="20"/>
      <c r="N5" s="20"/>
      <c r="O5" s="20"/>
      <c r="P5" s="20"/>
      <c r="Q5" s="20"/>
    </row>
    <row r="6" spans="1:22" x14ac:dyDescent="0.2">
      <c r="A6" t="str" cm="1">
        <f t="array" ref="A6">IFERROR(INDEX('School Tables'!$A$4:$G$365,'School Tables'!$J4,3),"")</f>
        <v>Berlin Elementary School</v>
      </c>
      <c r="B6" s="229">
        <f>IFERROR(VLOOKUP(A6,'School Tables'!$C$3:$D$365,2,FALSE),"")</f>
        <v>27035</v>
      </c>
      <c r="C6" s="222" t="str">
        <f>IFERROR(INDEX('School Tables'!$B$3:$B$365,MATCH('School Level Expenditures'!B6,'School Tables'!$D$3:$D$365,0)),"")</f>
        <v>Berlin</v>
      </c>
      <c r="D6" s="219">
        <f>9253129.83-354816.53</f>
        <v>8898313.3000000007</v>
      </c>
      <c r="E6" s="219">
        <v>2638044.31</v>
      </c>
      <c r="F6" s="231">
        <f t="shared" ref="F6:F20" si="2">D6+E6</f>
        <v>11536357.610000001</v>
      </c>
      <c r="G6" s="222"/>
      <c r="H6" s="222"/>
      <c r="J6" t="str">
        <f t="shared" ref="J6:J20" si="3">A6</f>
        <v>Berlin Elementary School</v>
      </c>
      <c r="K6" s="20">
        <f>7368483.23-354816.53</f>
        <v>7013666.7000000002</v>
      </c>
      <c r="L6" s="20">
        <v>1122465.19</v>
      </c>
      <c r="M6" s="307">
        <v>162662.89000000001</v>
      </c>
      <c r="N6" s="20">
        <v>581177.81000000006</v>
      </c>
      <c r="O6" s="20">
        <v>3536381.86</v>
      </c>
      <c r="P6" s="20">
        <v>779167.87</v>
      </c>
      <c r="Q6" s="20">
        <v>31716.81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9253129.8300000001</v>
      </c>
      <c r="E21" s="261">
        <f>SUM(E5:E20)</f>
        <v>2638044.31</v>
      </c>
      <c r="F21" s="216"/>
      <c r="G21" s="216"/>
      <c r="H21" s="216"/>
      <c r="K21" s="262">
        <f t="shared" ref="K21:Q21" si="4">SUM(K5:K20)</f>
        <v>7368483.2300000004</v>
      </c>
      <c r="L21" s="262">
        <f t="shared" si="4"/>
        <v>1122465.19</v>
      </c>
      <c r="M21" s="262">
        <f t="shared" si="4"/>
        <v>162662.89000000001</v>
      </c>
      <c r="N21" s="262">
        <f t="shared" si="4"/>
        <v>581177.81000000006</v>
      </c>
      <c r="O21" s="262">
        <f t="shared" si="4"/>
        <v>3536381.86</v>
      </c>
      <c r="P21" s="262">
        <f t="shared" si="4"/>
        <v>779167.87</v>
      </c>
      <c r="Q21" s="262">
        <f t="shared" si="4"/>
        <v>31716.81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3365025.2299999995</v>
      </c>
      <c r="L23" s="19">
        <f>'DOE25'!L221+'DOE25'!L301</f>
        <v>458239.23000000004</v>
      </c>
      <c r="M23" s="19">
        <f>'DOE25'!L222+'DOE25'!L302</f>
        <v>108644.63</v>
      </c>
      <c r="N23" s="19">
        <f>'DOE25'!L224+'DOE25'!L304</f>
        <v>218728.29</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5327236.43</v>
      </c>
      <c r="G25" s="228">
        <f>'DOE25'!L230+'DOE25'!L310</f>
        <v>5327236.43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425307.51</v>
      </c>
      <c r="E26" s="219"/>
      <c r="F26" s="231">
        <f>D26+E26</f>
        <v>425307.51</v>
      </c>
      <c r="G26" s="222"/>
      <c r="H26" s="222"/>
      <c r="J26" s="71" t="s">
        <v>1840</v>
      </c>
      <c r="K26" s="315">
        <v>425307.51</v>
      </c>
      <c r="L26" s="315"/>
      <c r="M26" s="315"/>
      <c r="N26" s="315"/>
      <c r="O26" s="315"/>
      <c r="P26" s="315"/>
      <c r="Q26" s="315"/>
    </row>
    <row r="27" spans="1:17" x14ac:dyDescent="0.2">
      <c r="A27" t="str" cm="1">
        <f t="array" ref="A27">IFERROR(INDEX('School Tables'!$L$4:$R$100,'School Tables'!$U4,3),"")</f>
        <v>Berlin Middle School</v>
      </c>
      <c r="B27" s="229">
        <f>IFERROR(VLOOKUP(A27,'School Tables'!$N$4:$O$100,2,FALSE),"")</f>
        <v>20045</v>
      </c>
      <c r="C27" s="222" t="str">
        <f>IFERROR(INDEX('School Tables'!$M$4:$M$100,MATCH('School Level Expenditures'!A27,'School Tables'!$N$4:$N$100,0)),"")</f>
        <v>Berlin</v>
      </c>
      <c r="D27" s="219">
        <f>4656024.1-425307.51</f>
        <v>4230716.59</v>
      </c>
      <c r="E27" s="219">
        <v>671212.33</v>
      </c>
      <c r="F27" s="231">
        <f t="shared" ref="F27:F33" si="6">D27+E27</f>
        <v>4901928.92</v>
      </c>
      <c r="G27" s="222"/>
      <c r="H27" s="222"/>
      <c r="J27" t="str">
        <f t="shared" ref="J27:J33" si="7">A27</f>
        <v>Berlin Middle School</v>
      </c>
      <c r="K27" s="20">
        <f>3365025.23-425307.51</f>
        <v>2939717.7199999997</v>
      </c>
      <c r="L27" s="20">
        <v>458239.23</v>
      </c>
      <c r="M27" s="307">
        <v>108644.63</v>
      </c>
      <c r="N27" s="20">
        <v>218728.29</v>
      </c>
      <c r="O27" s="20">
        <v>1483156.24</v>
      </c>
      <c r="P27" s="20">
        <v>203509.59</v>
      </c>
      <c r="Q27" s="20">
        <v>2100.17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4656024.0999999996</v>
      </c>
      <c r="E34" s="261">
        <f>SUM(E26:E33)</f>
        <v>671212.33</v>
      </c>
      <c r="F34" s="216"/>
      <c r="G34" s="216"/>
      <c r="H34" s="216"/>
      <c r="K34" s="262">
        <f t="shared" ref="K34:Q34" si="8">SUM(K26:K33)</f>
        <v>3365025.2299999995</v>
      </c>
      <c r="L34" s="262">
        <f t="shared" si="8"/>
        <v>458239.23</v>
      </c>
      <c r="M34" s="262">
        <f t="shared" si="8"/>
        <v>108644.63</v>
      </c>
      <c r="N34" s="262">
        <f t="shared" si="8"/>
        <v>218728.29</v>
      </c>
      <c r="O34" s="262">
        <f t="shared" si="8"/>
        <v>1483156.24</v>
      </c>
      <c r="P34" s="262">
        <f t="shared" si="8"/>
        <v>203509.59</v>
      </c>
      <c r="Q34" s="262">
        <f t="shared" si="8"/>
        <v>2100.17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5111255.5199999996</v>
      </c>
      <c r="L36" s="19">
        <f>'DOE25'!L239+'DOE25'!L320</f>
        <v>553221.71</v>
      </c>
      <c r="M36" s="19">
        <f>'DOE25'!L240+'DOE25'!L321</f>
        <v>118061.38</v>
      </c>
      <c r="N36" s="19">
        <f>'DOE25'!L242+'DOE25'!L323</f>
        <v>321891.62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8451300.9299999997</v>
      </c>
      <c r="G38" s="228">
        <f>'DOE25'!L248+'DOE25'!L329</f>
        <v>8451300.9299999997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552819.4</v>
      </c>
      <c r="E39" s="219"/>
      <c r="F39" s="231">
        <f t="shared" ref="F39:F44" si="10">D39+E39</f>
        <v>552819.4</v>
      </c>
      <c r="G39" s="222"/>
      <c r="H39" s="222"/>
      <c r="J39" s="71" t="s">
        <v>1840</v>
      </c>
      <c r="K39" s="315">
        <v>552819.4</v>
      </c>
      <c r="L39" s="315"/>
      <c r="M39" s="315"/>
      <c r="N39" s="315"/>
      <c r="O39" s="315"/>
      <c r="P39" s="315"/>
      <c r="Q39" s="315"/>
    </row>
    <row r="40" spans="1:17" x14ac:dyDescent="0.2">
      <c r="A40" t="str" cm="1">
        <f t="array" ref="A40">IFERROR(INDEX('School Tables'!$W$4:$AC$120,'School Tables'!$AF4,3),"")</f>
        <v>Berlin Senior High School</v>
      </c>
      <c r="B40" s="229">
        <f>IFERROR(VLOOKUP(A40,'School Tables'!$Y$4:$Z$120,2,FALSE),"")</f>
        <v>20050</v>
      </c>
      <c r="C40" s="222" t="str">
        <f>IFERROR(INDEX('School Tables'!$X$4:$X$120,MATCH('School Level Expenditures'!A40,'School Tables'!$Y$4:$Y$120,0)),"")</f>
        <v>Berlin</v>
      </c>
      <c r="D40" s="219">
        <f>7397744.19-552819.4</f>
        <v>6844924.79</v>
      </c>
      <c r="E40" s="219">
        <v>1053556.74</v>
      </c>
      <c r="F40" s="231">
        <f t="shared" si="10"/>
        <v>7898481.5300000003</v>
      </c>
      <c r="G40" s="222"/>
      <c r="H40" s="222"/>
      <c r="J40" t="str">
        <f>A40</f>
        <v>Berlin Senior High School</v>
      </c>
      <c r="K40" s="20">
        <f>5111255.52-552819.4</f>
        <v>4558436.1199999992</v>
      </c>
      <c r="L40" s="20">
        <v>553221.71</v>
      </c>
      <c r="M40" s="307">
        <v>118061.38</v>
      </c>
      <c r="N40" s="20">
        <v>321891.62</v>
      </c>
      <c r="O40" s="20">
        <v>2821525.77</v>
      </c>
      <c r="P40" s="20">
        <v>223449.64</v>
      </c>
      <c r="Q40" s="20">
        <v>6256.14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7397744.1900000004</v>
      </c>
      <c r="E45" s="262">
        <f>SUM(E39:E44)</f>
        <v>1053556.74</v>
      </c>
      <c r="K45" s="262">
        <f t="shared" ref="K45:Q45" si="11">SUM(K39:K44)</f>
        <v>5111255.5199999996</v>
      </c>
      <c r="L45" s="262">
        <f t="shared" si="11"/>
        <v>553221.71</v>
      </c>
      <c r="M45" s="262">
        <f t="shared" si="11"/>
        <v>118061.38</v>
      </c>
      <c r="N45" s="262">
        <f t="shared" si="11"/>
        <v>321891.62</v>
      </c>
      <c r="O45" s="262">
        <f t="shared" si="11"/>
        <v>2821525.77</v>
      </c>
      <c r="P45" s="262">
        <f t="shared" si="11"/>
        <v>223449.64</v>
      </c>
      <c r="Q45" s="262">
        <f t="shared" si="11"/>
        <v>6256.14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9"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Berlin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149237.38</v>
      </c>
      <c r="E8" s="73">
        <f>'DOE25'!H9</f>
        <v>113753.06</v>
      </c>
      <c r="F8" s="73">
        <f>'DOE25'!I9</f>
        <v>0</v>
      </c>
      <c r="G8" s="73">
        <f>'DOE25'!J9</f>
        <v>0</v>
      </c>
      <c r="H8" s="13">
        <f>SUM(C8:G8)</f>
        <v>262990.44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149237.38</v>
      </c>
      <c r="E18" s="38">
        <f>SUM(E8:E17)</f>
        <v>113753.06</v>
      </c>
      <c r="F18" s="38">
        <f>SUM(F8:F17)</f>
        <v>0</v>
      </c>
      <c r="G18" s="38">
        <f>SUM(G8:G17)</f>
        <v>0</v>
      </c>
      <c r="H18" s="38">
        <f t="shared" si="0"/>
        <v>262990.44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149237.38</v>
      </c>
      <c r="E47" s="73">
        <f>'DOE25'!H48</f>
        <v>113753.06</v>
      </c>
      <c r="F47" s="73">
        <f>'DOE25'!I48</f>
        <v>0</v>
      </c>
      <c r="G47" s="73">
        <f>'DOE25'!J48</f>
        <v>0</v>
      </c>
      <c r="H47" s="13">
        <f t="shared" si="2"/>
        <v>262990.44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149237.38</v>
      </c>
      <c r="E50" s="38">
        <f>SUM(E34:E49)</f>
        <v>113753.06</v>
      </c>
      <c r="F50" s="38">
        <f>SUM(F34:F49)</f>
        <v>0</v>
      </c>
      <c r="G50" s="38">
        <f>SUM(G34:G49)</f>
        <v>0</v>
      </c>
      <c r="H50" s="38">
        <f t="shared" si="2"/>
        <v>262990.44</v>
      </c>
      <c r="I50" s="90"/>
    </row>
    <row r="51" spans="1:9" ht="12" thickTop="1" x14ac:dyDescent="0.2">
      <c r="A51" s="35" t="s">
        <v>881</v>
      </c>
      <c r="B51" s="2"/>
      <c r="C51" s="38">
        <f>C50+C31</f>
        <v>0</v>
      </c>
      <c r="D51" s="38">
        <f>D50+D31</f>
        <v>149237.38</v>
      </c>
      <c r="E51" s="38">
        <f>E50+E31</f>
        <v>113753.06</v>
      </c>
      <c r="F51" s="38">
        <f>F50+F31</f>
        <v>0</v>
      </c>
      <c r="G51" s="38">
        <f>G50+G31</f>
        <v>0</v>
      </c>
      <c r="H51" s="38">
        <f t="shared" si="2"/>
        <v>262990.44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7987306.4299999997</v>
      </c>
      <c r="D56" s="73">
        <f>'DOE25'!G60</f>
        <v>0</v>
      </c>
      <c r="E56" s="73">
        <f>'DOE25'!H60</f>
        <v>0</v>
      </c>
      <c r="F56" s="73">
        <f>'DOE25'!I60</f>
        <v>0</v>
      </c>
      <c r="G56" s="73">
        <f>'DOE25'!J60</f>
        <v>0</v>
      </c>
      <c r="H56" s="13">
        <f t="shared" ref="H56:H63" si="3">SUM(C56:G56)</f>
        <v>7987306.4299999997</v>
      </c>
      <c r="I56"/>
    </row>
    <row r="57" spans="1:9" x14ac:dyDescent="0.2">
      <c r="A57" s="1" t="s">
        <v>164</v>
      </c>
      <c r="B57" s="6" t="s">
        <v>165</v>
      </c>
      <c r="C57" s="73">
        <f>'DOE25'!F79</f>
        <v>1575913.34</v>
      </c>
      <c r="D57" s="23" t="s">
        <v>288</v>
      </c>
      <c r="E57" s="73">
        <f>'DOE25'!H79</f>
        <v>0</v>
      </c>
      <c r="F57" s="23" t="s">
        <v>288</v>
      </c>
      <c r="G57" s="23" t="s">
        <v>288</v>
      </c>
      <c r="H57" s="13">
        <f t="shared" si="3"/>
        <v>1575913.34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267594.94</v>
      </c>
      <c r="E60" s="23" t="s">
        <v>288</v>
      </c>
      <c r="F60" s="23" t="s">
        <v>288</v>
      </c>
      <c r="G60" s="23" t="s">
        <v>288</v>
      </c>
      <c r="H60" s="13">
        <f t="shared" si="3"/>
        <v>267594.94</v>
      </c>
      <c r="I60"/>
    </row>
    <row r="61" spans="1:9" ht="12" thickBot="1" x14ac:dyDescent="0.25">
      <c r="A61" s="1" t="s">
        <v>172</v>
      </c>
      <c r="B61" s="22" t="s">
        <v>173</v>
      </c>
      <c r="C61" s="73">
        <f>SUM('DOE25'!F98:F110)</f>
        <v>14943.59</v>
      </c>
      <c r="D61" s="73">
        <f>SUM('DOE25'!G98:G110)</f>
        <v>0</v>
      </c>
      <c r="E61" s="73">
        <f>SUM('DOE25'!H98:H110)</f>
        <v>292658.94</v>
      </c>
      <c r="F61" s="73">
        <f>SUM('DOE25'!I98:I110)</f>
        <v>0</v>
      </c>
      <c r="G61" s="73">
        <f>SUM('DOE25'!J98:J110)</f>
        <v>0</v>
      </c>
      <c r="H61" s="13">
        <f t="shared" si="3"/>
        <v>307602.53000000003</v>
      </c>
      <c r="I61"/>
    </row>
    <row r="62" spans="1:9" ht="12.75" thickTop="1" thickBot="1" x14ac:dyDescent="0.25">
      <c r="A62" s="28" t="s">
        <v>174</v>
      </c>
      <c r="B62" s="6"/>
      <c r="C62" s="93">
        <f>SUM(C57:C61)</f>
        <v>1590856.9300000002</v>
      </c>
      <c r="D62" s="93">
        <f>SUM(D57:D61)</f>
        <v>267594.94</v>
      </c>
      <c r="E62" s="93">
        <f>SUM(E57:E61)</f>
        <v>292658.94</v>
      </c>
      <c r="F62" s="93">
        <f>SUM(F57:F61)</f>
        <v>0</v>
      </c>
      <c r="G62" s="93">
        <f>SUM(G57:G61)</f>
        <v>0</v>
      </c>
      <c r="H62" s="13">
        <f t="shared" si="3"/>
        <v>2151110.81</v>
      </c>
      <c r="I62"/>
    </row>
    <row r="63" spans="1:9" ht="12" thickTop="1" x14ac:dyDescent="0.2">
      <c r="A63" s="28" t="s">
        <v>175</v>
      </c>
      <c r="B63" s="6"/>
      <c r="C63" s="21">
        <f>C56+C62</f>
        <v>9578163.3599999994</v>
      </c>
      <c r="D63" s="21">
        <f>D56+D62</f>
        <v>267594.94</v>
      </c>
      <c r="E63" s="21">
        <f>E56+E62</f>
        <v>292658.94</v>
      </c>
      <c r="F63" s="21">
        <f>F56+F62</f>
        <v>0</v>
      </c>
      <c r="G63" s="21">
        <f>G56+G62</f>
        <v>0</v>
      </c>
      <c r="H63" s="13">
        <f t="shared" si="3"/>
        <v>10138417.239999998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10871605.58</v>
      </c>
      <c r="D66" s="23" t="s">
        <v>288</v>
      </c>
      <c r="E66" s="23" t="s">
        <v>288</v>
      </c>
      <c r="F66" s="23" t="s">
        <v>288</v>
      </c>
      <c r="G66" s="23" t="s">
        <v>288</v>
      </c>
      <c r="H66" s="13">
        <f t="shared" ref="H66:H81" si="4">SUM(C66:G66)</f>
        <v>10871605.58</v>
      </c>
      <c r="I66"/>
    </row>
    <row r="67" spans="1:9" x14ac:dyDescent="0.2">
      <c r="A67" s="1" t="s">
        <v>767</v>
      </c>
      <c r="B67" s="6">
        <v>3112</v>
      </c>
      <c r="C67" s="73">
        <f>'DOE25'!F57</f>
        <v>7987306.4299999997</v>
      </c>
      <c r="D67" s="23"/>
      <c r="E67" s="23"/>
      <c r="F67" s="23"/>
      <c r="G67" s="23"/>
      <c r="H67" s="13">
        <f t="shared" si="4"/>
        <v>7987306.4299999997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9195.15</v>
      </c>
      <c r="D69" s="73">
        <f>'DOE25'!G120</f>
        <v>0</v>
      </c>
      <c r="E69" s="73">
        <f>'DOE25'!H120</f>
        <v>0</v>
      </c>
      <c r="F69" s="73">
        <f>'DOE25'!I120</f>
        <v>0</v>
      </c>
      <c r="G69" s="73">
        <f>'DOE25'!J120</f>
        <v>0</v>
      </c>
      <c r="H69" s="13">
        <f t="shared" si="4"/>
        <v>9195.15</v>
      </c>
      <c r="I69"/>
    </row>
    <row r="70" spans="1:9" ht="12" thickTop="1" x14ac:dyDescent="0.2">
      <c r="A70" s="28" t="s">
        <v>252</v>
      </c>
      <c r="B70" s="2"/>
      <c r="C70" s="97">
        <f>SUM(C66:C69)</f>
        <v>18868107.159999996</v>
      </c>
      <c r="D70" s="97">
        <f>D69</f>
        <v>0</v>
      </c>
      <c r="E70" s="97">
        <f>E69</f>
        <v>0</v>
      </c>
      <c r="F70" s="97">
        <f>F69</f>
        <v>0</v>
      </c>
      <c r="G70" s="97">
        <f>G69</f>
        <v>0</v>
      </c>
      <c r="H70" s="13">
        <f t="shared" si="4"/>
        <v>18868107.159999996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3548.01</v>
      </c>
      <c r="D75" s="23" t="s">
        <v>288</v>
      </c>
      <c r="E75" s="23" t="s">
        <v>288</v>
      </c>
      <c r="F75" s="23" t="s">
        <v>288</v>
      </c>
      <c r="G75" s="23" t="s">
        <v>288</v>
      </c>
      <c r="H75" s="13">
        <f t="shared" si="4"/>
        <v>3548.01</v>
      </c>
      <c r="I75"/>
    </row>
    <row r="76" spans="1:9" x14ac:dyDescent="0.2">
      <c r="A76" s="1" t="s">
        <v>257</v>
      </c>
      <c r="B76" s="6" t="s">
        <v>179</v>
      </c>
      <c r="C76" s="73">
        <f>SUM('DOE25'!F127:F130)</f>
        <v>65184.88</v>
      </c>
      <c r="D76" s="23" t="s">
        <v>288</v>
      </c>
      <c r="E76" s="73">
        <f>SUM('DOE25'!H127:H130)</f>
        <v>0</v>
      </c>
      <c r="F76" s="73">
        <f>SUM('DOE25'!I127:I130)</f>
        <v>0</v>
      </c>
      <c r="G76" s="23" t="s">
        <v>288</v>
      </c>
      <c r="H76" s="13">
        <f t="shared" si="4"/>
        <v>65184.88</v>
      </c>
      <c r="I76"/>
    </row>
    <row r="77" spans="1:9" ht="12" thickBot="1" x14ac:dyDescent="0.25">
      <c r="A77" s="1" t="s">
        <v>258</v>
      </c>
      <c r="B77" s="6" t="s">
        <v>180</v>
      </c>
      <c r="C77" s="73">
        <f>SUM('DOE25'!F131:F135)</f>
        <v>0</v>
      </c>
      <c r="D77" s="73">
        <f>SUM('DOE25'!G131:G135)</f>
        <v>10427.620000000001</v>
      </c>
      <c r="E77" s="73">
        <f>SUM('DOE25'!H131:H135)</f>
        <v>0</v>
      </c>
      <c r="F77" s="73">
        <f>SUM('DOE25'!I131:I135)</f>
        <v>0</v>
      </c>
      <c r="G77" s="73">
        <f>SUM('DOE25'!J131:J135)</f>
        <v>0</v>
      </c>
      <c r="H77" s="13">
        <f t="shared" si="4"/>
        <v>10427.620000000001</v>
      </c>
      <c r="I77"/>
    </row>
    <row r="78" spans="1:9" ht="12.75" thickTop="1" thickBot="1" x14ac:dyDescent="0.25">
      <c r="A78" s="28" t="s">
        <v>259</v>
      </c>
      <c r="B78" s="6"/>
      <c r="C78" s="93">
        <f>SUM(C72:C77)</f>
        <v>68732.89</v>
      </c>
      <c r="D78" s="93">
        <f>SUM(D72:D77)</f>
        <v>10427.620000000001</v>
      </c>
      <c r="E78" s="93">
        <f>SUM(E72:E77)</f>
        <v>0</v>
      </c>
      <c r="F78" s="93">
        <f>SUM(F72:F77)</f>
        <v>0</v>
      </c>
      <c r="G78" s="93">
        <f>SUM(G72:G77)</f>
        <v>0</v>
      </c>
      <c r="H78" s="13">
        <f t="shared" si="4"/>
        <v>79160.509999999995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18936840.049999997</v>
      </c>
      <c r="D81" s="93">
        <f>SUM(D79:D80)+D78+D70</f>
        <v>10427.620000000001</v>
      </c>
      <c r="E81" s="93">
        <f>SUM(E79:E80)+E78+E70</f>
        <v>0</v>
      </c>
      <c r="F81" s="93">
        <f>SUM(F79:F80)+F78+F70</f>
        <v>0</v>
      </c>
      <c r="G81" s="93">
        <f>SUM(G79:G80)+G78+G70</f>
        <v>0</v>
      </c>
      <c r="H81" s="93">
        <f t="shared" si="4"/>
        <v>18947267.669999998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130492.9</v>
      </c>
      <c r="D88" s="252">
        <f>SUM('DOE25'!G153:G162)</f>
        <v>509187.64</v>
      </c>
      <c r="E88" s="252">
        <f>SUM('DOE25'!H153:H162)</f>
        <v>4183907.5</v>
      </c>
      <c r="F88" s="252">
        <f>SUM('DOE25'!I153:I162)</f>
        <v>0</v>
      </c>
      <c r="G88" s="23" t="s">
        <v>288</v>
      </c>
      <c r="H88" s="13">
        <f t="shared" si="5"/>
        <v>4823588.04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17359.05</v>
      </c>
      <c r="D90" s="23" t="s">
        <v>288</v>
      </c>
      <c r="E90" s="23" t="s">
        <v>288</v>
      </c>
      <c r="F90" s="23" t="s">
        <v>288</v>
      </c>
      <c r="G90" s="23" t="s">
        <v>288</v>
      </c>
      <c r="H90" s="13">
        <f t="shared" si="5"/>
        <v>17359.05</v>
      </c>
    </row>
    <row r="91" spans="1:9" ht="12.75" thickTop="1" thickBot="1" x14ac:dyDescent="0.25">
      <c r="A91" s="32" t="s">
        <v>747</v>
      </c>
      <c r="C91" s="94">
        <f>SUM(C85:C90)</f>
        <v>147851.94999999998</v>
      </c>
      <c r="D91" s="94">
        <f>SUM(D85:D90)</f>
        <v>509187.64</v>
      </c>
      <c r="E91" s="94">
        <f>SUM(E85:E90)</f>
        <v>4183907.5</v>
      </c>
      <c r="F91" s="94">
        <f>SUM(F85:F90)</f>
        <v>0</v>
      </c>
      <c r="G91" s="23" t="s">
        <v>288</v>
      </c>
      <c r="H91" s="13">
        <f t="shared" si="5"/>
        <v>4840947.09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28662855.359999996</v>
      </c>
      <c r="D104" s="68">
        <f>D63+D81+D91+D103</f>
        <v>787210.2</v>
      </c>
      <c r="E104" s="68">
        <f>E63+E81+E91+E103</f>
        <v>4476566.4400000004</v>
      </c>
      <c r="F104" s="68">
        <f>F63+F81+F91+F103</f>
        <v>0</v>
      </c>
      <c r="G104" s="68">
        <f>G63+G81+G103</f>
        <v>0</v>
      </c>
      <c r="H104" s="68">
        <f t="shared" si="5"/>
        <v>33926631.999999993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8871848.1699999999</v>
      </c>
      <c r="D109" s="23" t="s">
        <v>288</v>
      </c>
      <c r="E109" s="73">
        <f>('DOE25'!L277)+('DOE25'!L296)+('DOE25'!L315)</f>
        <v>256872.01</v>
      </c>
      <c r="F109" s="23" t="s">
        <v>288</v>
      </c>
      <c r="G109" s="23" t="s">
        <v>288</v>
      </c>
      <c r="H109" s="13">
        <f t="shared" ref="H109:H115" si="6">SUM(C109:G109)</f>
        <v>9128720.1799999997</v>
      </c>
    </row>
    <row r="110" spans="1:8" x14ac:dyDescent="0.2">
      <c r="A110" t="s">
        <v>198</v>
      </c>
      <c r="B110" s="31" t="s">
        <v>199</v>
      </c>
      <c r="C110" s="73">
        <f>('DOE25'!L199)+('DOE25'!L217)+('DOE25'!L235)</f>
        <v>3759709.68</v>
      </c>
      <c r="D110" s="23" t="s">
        <v>288</v>
      </c>
      <c r="E110" s="73">
        <f>('DOE25'!L278)+('DOE25'!L297)+('DOE25'!L316)</f>
        <v>1299098.08</v>
      </c>
      <c r="F110" s="23" t="s">
        <v>288</v>
      </c>
      <c r="G110" s="23" t="s">
        <v>288</v>
      </c>
      <c r="H110" s="13">
        <f t="shared" si="6"/>
        <v>5058807.76</v>
      </c>
    </row>
    <row r="111" spans="1:8" x14ac:dyDescent="0.2">
      <c r="A111" t="s">
        <v>200</v>
      </c>
      <c r="B111" s="31" t="s">
        <v>165</v>
      </c>
      <c r="C111" s="73">
        <f>('DOE25'!L200)+('DOE25'!L218)+('DOE25'!L236)</f>
        <v>798938.66999999993</v>
      </c>
      <c r="D111" s="23" t="s">
        <v>288</v>
      </c>
      <c r="E111" s="73">
        <f>('DOE25'!L279)+('DOE25'!L298)+('DOE25'!L317)</f>
        <v>117723.59</v>
      </c>
      <c r="F111" s="23" t="s">
        <v>288</v>
      </c>
      <c r="G111" s="23" t="s">
        <v>288</v>
      </c>
      <c r="H111" s="13">
        <f t="shared" si="6"/>
        <v>916662.25999999989</v>
      </c>
    </row>
    <row r="112" spans="1:8" x14ac:dyDescent="0.2">
      <c r="A112" t="s">
        <v>201</v>
      </c>
      <c r="B112" s="31" t="s">
        <v>167</v>
      </c>
      <c r="C112" s="73">
        <f>('DOE25'!L201)+('DOE25'!L219)+('DOE25'!L237)</f>
        <v>464578</v>
      </c>
      <c r="D112" s="23" t="s">
        <v>288</v>
      </c>
      <c r="E112" s="73">
        <f>+('DOE25'!L280)+('DOE25'!L299)+('DOE25'!L318)</f>
        <v>275995.78000000003</v>
      </c>
      <c r="F112" s="23" t="s">
        <v>288</v>
      </c>
      <c r="G112" s="23" t="s">
        <v>288</v>
      </c>
      <c r="H112" s="13">
        <f t="shared" si="6"/>
        <v>740573.78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13895074.52</v>
      </c>
      <c r="D115" s="68">
        <f>SUM(D109:D114)</f>
        <v>0</v>
      </c>
      <c r="E115" s="68">
        <f>SUM(E109:E114)</f>
        <v>1949689.4600000002</v>
      </c>
      <c r="F115" s="68">
        <f>SUM(F109:F114)</f>
        <v>0</v>
      </c>
      <c r="G115" s="68">
        <f>SUM(G109:G114)</f>
        <v>0</v>
      </c>
      <c r="H115" s="68">
        <f t="shared" si="6"/>
        <v>15844763.98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2066243.5400000003</v>
      </c>
      <c r="D118" s="23" t="s">
        <v>288</v>
      </c>
      <c r="E118" s="73">
        <f>+('DOE25'!L282)+('DOE25'!L301)+('DOE25'!L320)</f>
        <v>67682.59</v>
      </c>
      <c r="F118" s="23" t="s">
        <v>288</v>
      </c>
      <c r="G118" s="23" t="s">
        <v>288</v>
      </c>
      <c r="H118" s="13">
        <f t="shared" ref="H118:H145" si="7">SUM(C118:G118)</f>
        <v>2133926.1300000004</v>
      </c>
    </row>
    <row r="119" spans="1:8" x14ac:dyDescent="0.2">
      <c r="A119" t="s">
        <v>208</v>
      </c>
      <c r="B119" s="31" t="s">
        <v>209</v>
      </c>
      <c r="C119" s="73">
        <f>('DOE25'!L204)+('DOE25'!L222)+('DOE25'!L240)</f>
        <v>345092.69999999995</v>
      </c>
      <c r="D119" s="23" t="s">
        <v>288</v>
      </c>
      <c r="E119" s="73">
        <f>+('DOE25'!L283)+('DOE25'!L302)+('DOE25'!L321)</f>
        <v>44276.200000000004</v>
      </c>
      <c r="F119" s="23" t="s">
        <v>288</v>
      </c>
      <c r="G119" s="23" t="s">
        <v>288</v>
      </c>
      <c r="H119" s="13">
        <f t="shared" si="7"/>
        <v>389368.89999999997</v>
      </c>
    </row>
    <row r="120" spans="1:8" x14ac:dyDescent="0.2">
      <c r="A120" t="s">
        <v>210</v>
      </c>
      <c r="B120" s="31" t="s">
        <v>211</v>
      </c>
      <c r="C120" s="73">
        <f>('DOE25'!L205)+('DOE25'!L223)+('DOE25'!L241)</f>
        <v>874430.2</v>
      </c>
      <c r="D120" s="23" t="s">
        <v>288</v>
      </c>
      <c r="E120" s="73">
        <f>+('DOE25'!L284)+('DOE25'!L303)+('DOE25'!L322)</f>
        <v>0</v>
      </c>
      <c r="F120" s="23" t="s">
        <v>288</v>
      </c>
      <c r="G120" s="23" t="s">
        <v>288</v>
      </c>
      <c r="H120" s="13">
        <f t="shared" si="7"/>
        <v>874430.2</v>
      </c>
    </row>
    <row r="121" spans="1:8" x14ac:dyDescent="0.2">
      <c r="A121" t="s">
        <v>212</v>
      </c>
      <c r="B121" s="31" t="s">
        <v>213</v>
      </c>
      <c r="C121" s="73">
        <f>('DOE25'!L206)+('DOE25'!L224)+('DOE25'!L242)</f>
        <v>1121797.72</v>
      </c>
      <c r="D121" s="23" t="s">
        <v>288</v>
      </c>
      <c r="E121" s="73">
        <f>+('DOE25'!L285)+('DOE25'!L304)+('DOE25'!L323)</f>
        <v>0</v>
      </c>
      <c r="F121" s="23" t="s">
        <v>288</v>
      </c>
      <c r="G121" s="23" t="s">
        <v>288</v>
      </c>
      <c r="H121" s="13">
        <f t="shared" si="7"/>
        <v>1121797.72</v>
      </c>
    </row>
    <row r="122" spans="1:8" x14ac:dyDescent="0.2">
      <c r="A122" t="s">
        <v>214</v>
      </c>
      <c r="B122" s="31" t="s">
        <v>215</v>
      </c>
      <c r="C122" s="73">
        <f>('DOE25'!L207)+('DOE25'!L225)+('DOE25'!L243)</f>
        <v>324827.73</v>
      </c>
      <c r="D122" s="23" t="s">
        <v>288</v>
      </c>
      <c r="E122" s="73">
        <f>+('DOE25'!L286)+('DOE25'!L305)+('DOE25'!L324)</f>
        <v>0</v>
      </c>
      <c r="F122" s="23" t="s">
        <v>288</v>
      </c>
      <c r="G122" s="23" t="s">
        <v>288</v>
      </c>
      <c r="H122" s="13">
        <f t="shared" si="7"/>
        <v>324827.73</v>
      </c>
    </row>
    <row r="123" spans="1:8" x14ac:dyDescent="0.2">
      <c r="A123" t="s">
        <v>216</v>
      </c>
      <c r="B123" s="31" t="s">
        <v>217</v>
      </c>
      <c r="C123" s="73">
        <f>('DOE25'!L208)+('DOE25'!L226)+('DOE25'!L244)</f>
        <v>2244853.3200000003</v>
      </c>
      <c r="D123" s="23" t="s">
        <v>288</v>
      </c>
      <c r="E123" s="73">
        <f>+('DOE25'!L287)+('DOE25'!L306)+('DOE25'!L325)</f>
        <v>2279036.85</v>
      </c>
      <c r="F123" s="23" t="s">
        <v>288</v>
      </c>
      <c r="G123" s="23" t="s">
        <v>288</v>
      </c>
      <c r="H123" s="13">
        <f t="shared" si="7"/>
        <v>4523890.17</v>
      </c>
    </row>
    <row r="124" spans="1:8" x14ac:dyDescent="0.2">
      <c r="A124" t="s">
        <v>218</v>
      </c>
      <c r="B124" s="31" t="s">
        <v>219</v>
      </c>
      <c r="C124" s="73">
        <f>('DOE25'!L209)+('DOE25'!L227)+('DOE25'!L245+'DOE25'!L255)</f>
        <v>432132.97000000003</v>
      </c>
      <c r="D124" s="23" t="s">
        <v>288</v>
      </c>
      <c r="E124" s="73">
        <f>+('DOE25'!L288)+('DOE25'!L307)+('DOE25'!L326)</f>
        <v>1989.28</v>
      </c>
      <c r="F124" s="23" t="s">
        <v>288</v>
      </c>
      <c r="G124" s="23" t="s">
        <v>288</v>
      </c>
      <c r="H124" s="13">
        <f t="shared" si="7"/>
        <v>434122.25000000006</v>
      </c>
    </row>
    <row r="125" spans="1:8" x14ac:dyDescent="0.2">
      <c r="A125" t="s">
        <v>220</v>
      </c>
      <c r="B125" s="31" t="s">
        <v>221</v>
      </c>
      <c r="C125" s="73">
        <f>('DOE25'!L210)+('DOE25'!L228)+('DOE25'!L246)</f>
        <v>2445.42</v>
      </c>
      <c r="D125" s="23" t="s">
        <v>288</v>
      </c>
      <c r="E125" s="73">
        <f>+('DOE25'!L289)+('DOE25'!L308)+('DOE25'!L327)</f>
        <v>20139</v>
      </c>
      <c r="F125" s="23" t="s">
        <v>288</v>
      </c>
      <c r="G125" s="23" t="s">
        <v>288</v>
      </c>
      <c r="H125" s="13">
        <f t="shared" si="7"/>
        <v>22584.42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994264.78</v>
      </c>
      <c r="E127" s="23" t="s">
        <v>288</v>
      </c>
      <c r="F127" s="23" t="s">
        <v>288</v>
      </c>
      <c r="G127" s="23" t="s">
        <v>288</v>
      </c>
      <c r="H127" s="13">
        <f t="shared" si="7"/>
        <v>994264.78</v>
      </c>
    </row>
    <row r="128" spans="1:8" ht="12.75" thickTop="1" thickBot="1" x14ac:dyDescent="0.25">
      <c r="A128" s="32" t="s">
        <v>226</v>
      </c>
      <c r="C128" s="68">
        <f>SUM(C118:C127)</f>
        <v>7411823.6000000006</v>
      </c>
      <c r="D128" s="68">
        <f>SUM(D118:D127)</f>
        <v>994264.78</v>
      </c>
      <c r="E128" s="68">
        <f>SUM(E118:E127)</f>
        <v>2413123.92</v>
      </c>
      <c r="F128" s="68">
        <f>SUM(F118:F127)</f>
        <v>0</v>
      </c>
      <c r="G128" s="68">
        <f>SUM(G118:G127)</f>
        <v>0</v>
      </c>
      <c r="H128" s="68">
        <f t="shared" si="7"/>
        <v>10819212.300000001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26228</v>
      </c>
      <c r="D131" s="23" t="s">
        <v>288</v>
      </c>
      <c r="E131" s="92">
        <f>'DOE25'!L342</f>
        <v>0</v>
      </c>
      <c r="F131" s="23" t="s">
        <v>288</v>
      </c>
      <c r="G131" s="23" t="s">
        <v>288</v>
      </c>
      <c r="H131" s="13">
        <f t="shared" si="7"/>
        <v>26228</v>
      </c>
    </row>
    <row r="132" spans="1:8" x14ac:dyDescent="0.2">
      <c r="A132" t="s">
        <v>230</v>
      </c>
      <c r="B132" s="31">
        <v>5120</v>
      </c>
      <c r="C132" s="73">
        <f>'DOE25'!L262</f>
        <v>1328.81</v>
      </c>
      <c r="D132" s="23" t="s">
        <v>288</v>
      </c>
      <c r="E132" s="92">
        <f>'DOE25'!L343</f>
        <v>0</v>
      </c>
      <c r="F132" s="23" t="s">
        <v>288</v>
      </c>
      <c r="G132" s="23" t="s">
        <v>288</v>
      </c>
      <c r="H132" s="13">
        <f t="shared" si="7"/>
        <v>1328.81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27556.81</v>
      </c>
      <c r="D144" s="98">
        <f>SUM(D130:D143)</f>
        <v>0</v>
      </c>
      <c r="E144" s="98">
        <f>SUM(E130:E143)</f>
        <v>0</v>
      </c>
      <c r="F144" s="98">
        <f>SUM(F130:F143)</f>
        <v>0</v>
      </c>
      <c r="G144" s="98">
        <f>SUM(G130:G143)</f>
        <v>0</v>
      </c>
      <c r="H144" s="98">
        <f t="shared" si="7"/>
        <v>27556.81</v>
      </c>
    </row>
    <row r="145" spans="1:9" ht="12.75" thickTop="1" thickBot="1" x14ac:dyDescent="0.25">
      <c r="A145" s="32" t="s">
        <v>244</v>
      </c>
      <c r="C145" s="68">
        <f>(C115+C128+C144)</f>
        <v>21334454.93</v>
      </c>
      <c r="D145" s="68">
        <f>(D115+D128+D144)</f>
        <v>994264.78</v>
      </c>
      <c r="E145" s="68">
        <f>(E115+E128+E144)</f>
        <v>4362813.38</v>
      </c>
      <c r="F145" s="68">
        <f>(F115+F128+F144)</f>
        <v>0</v>
      </c>
      <c r="G145" s="68">
        <f>(G115+G128+G144)</f>
        <v>0</v>
      </c>
      <c r="H145" s="68">
        <f t="shared" si="7"/>
        <v>26691533.09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29</v>
      </c>
      <c r="C151" s="110">
        <f>'DOE25'!G491</f>
        <v>0</v>
      </c>
      <c r="D151" s="110">
        <f>'DOE25'!H491</f>
        <v>0</v>
      </c>
      <c r="E151" s="110">
        <f>'DOE25'!I491</f>
        <v>0</v>
      </c>
      <c r="F151" s="110">
        <f>'DOE25'!J491</f>
        <v>0</v>
      </c>
      <c r="G151" s="23" t="s">
        <v>288</v>
      </c>
    </row>
    <row r="152" spans="1:9" x14ac:dyDescent="0.2">
      <c r="A152" s="21" t="s">
        <v>28</v>
      </c>
      <c r="B152" s="109" t="str">
        <f>'DOE25'!F492</f>
        <v>01/10</v>
      </c>
      <c r="C152" s="109">
        <f>'DOE25'!G492</f>
        <v>0</v>
      </c>
      <c r="D152" s="109">
        <f>'DOE25'!H492</f>
        <v>0</v>
      </c>
      <c r="E152" s="109">
        <f>'DOE25'!I492</f>
        <v>0</v>
      </c>
      <c r="F152" s="109">
        <f>'DOE25'!J492</f>
        <v>0</v>
      </c>
      <c r="G152" s="23" t="s">
        <v>288</v>
      </c>
    </row>
    <row r="153" spans="1:9" x14ac:dyDescent="0.2">
      <c r="A153" s="21" t="s">
        <v>29</v>
      </c>
      <c r="B153" s="109" t="str">
        <f>'DOE25'!F493</f>
        <v>8/25</v>
      </c>
      <c r="C153" s="109">
        <f>'DOE25'!G493</f>
        <v>0</v>
      </c>
      <c r="D153" s="109">
        <f>'DOE25'!H493</f>
        <v>0</v>
      </c>
      <c r="E153" s="109">
        <f>'DOE25'!I493</f>
        <v>0</v>
      </c>
      <c r="F153" s="109">
        <f>'DOE25'!J493</f>
        <v>0</v>
      </c>
      <c r="G153" s="23" t="s">
        <v>288</v>
      </c>
    </row>
    <row r="154" spans="1:9" x14ac:dyDescent="0.2">
      <c r="A154" s="21" t="s">
        <v>30</v>
      </c>
      <c r="B154" s="19">
        <f>'DOE25'!F494</f>
        <v>357204.63</v>
      </c>
      <c r="C154" s="19">
        <f>'DOE25'!G494</f>
        <v>0</v>
      </c>
      <c r="D154" s="19">
        <f>'DOE25'!H494</f>
        <v>0</v>
      </c>
      <c r="E154" s="19">
        <f>'DOE25'!I494</f>
        <v>0</v>
      </c>
      <c r="F154" s="19">
        <f>'DOE25'!J494</f>
        <v>0</v>
      </c>
      <c r="G154" s="23" t="s">
        <v>288</v>
      </c>
    </row>
    <row r="155" spans="1:9" x14ac:dyDescent="0.2">
      <c r="A155" s="21" t="s">
        <v>31</v>
      </c>
      <c r="B155" s="19">
        <f>'DOE25'!F495</f>
        <v>2.85</v>
      </c>
      <c r="C155" s="19">
        <f>'DOE25'!G495</f>
        <v>0</v>
      </c>
      <c r="D155" s="19">
        <f>'DOE25'!H495</f>
        <v>0</v>
      </c>
      <c r="E155" s="19">
        <f>'DOE25'!I495</f>
        <v>0</v>
      </c>
      <c r="F155" s="19">
        <f>'DOE25'!J495</f>
        <v>0</v>
      </c>
      <c r="G155" s="23" t="s">
        <v>288</v>
      </c>
    </row>
    <row r="156" spans="1:9" x14ac:dyDescent="0.2">
      <c r="A156" s="21" t="s">
        <v>32</v>
      </c>
      <c r="B156" s="19">
        <f>'DOE25'!F496</f>
        <v>81853.33</v>
      </c>
      <c r="C156" s="19">
        <f>'DOE25'!G496</f>
        <v>0</v>
      </c>
      <c r="D156" s="19">
        <f>'DOE25'!H496</f>
        <v>0</v>
      </c>
      <c r="E156" s="19">
        <f>'DOE25'!I496</f>
        <v>0</v>
      </c>
      <c r="F156" s="19">
        <f>'DOE25'!J496</f>
        <v>0</v>
      </c>
      <c r="G156" s="96">
        <f>SUM(B156:F156)</f>
        <v>81853.33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26228</v>
      </c>
      <c r="C158" s="19">
        <f>'DOE25'!G498</f>
        <v>0</v>
      </c>
      <c r="D158" s="19">
        <f>'DOE25'!H498</f>
        <v>0</v>
      </c>
      <c r="E158" s="19">
        <f>'DOE25'!I498</f>
        <v>0</v>
      </c>
      <c r="F158" s="19">
        <f>'DOE25'!J498</f>
        <v>0</v>
      </c>
      <c r="G158" s="96">
        <f t="shared" si="8"/>
        <v>26228</v>
      </c>
    </row>
    <row r="159" spans="1:9" x14ac:dyDescent="0.2">
      <c r="A159" s="21" t="s">
        <v>35</v>
      </c>
      <c r="B159" s="19">
        <f>'DOE25'!F499</f>
        <v>55625.33</v>
      </c>
      <c r="C159" s="19">
        <f>'DOE25'!G499</f>
        <v>0</v>
      </c>
      <c r="D159" s="19">
        <f>'DOE25'!H499</f>
        <v>0</v>
      </c>
      <c r="E159" s="19">
        <f>'DOE25'!I499</f>
        <v>0</v>
      </c>
      <c r="F159" s="19">
        <f>'DOE25'!J499</f>
        <v>0</v>
      </c>
      <c r="G159" s="96">
        <f t="shared" si="8"/>
        <v>55625.33</v>
      </c>
    </row>
    <row r="160" spans="1:9" x14ac:dyDescent="0.2">
      <c r="A160" s="21" t="s">
        <v>36</v>
      </c>
      <c r="B160" s="19">
        <f>'DOE25'!F500</f>
        <v>2314.04</v>
      </c>
      <c r="C160" s="19">
        <f>'DOE25'!G500</f>
        <v>0</v>
      </c>
      <c r="D160" s="19">
        <f>'DOE25'!H500</f>
        <v>0</v>
      </c>
      <c r="E160" s="19">
        <f>'DOE25'!I500</f>
        <v>0</v>
      </c>
      <c r="F160" s="19">
        <f>'DOE25'!J500</f>
        <v>0</v>
      </c>
      <c r="G160" s="96">
        <f t="shared" si="8"/>
        <v>2314.04</v>
      </c>
    </row>
    <row r="161" spans="1:7" x14ac:dyDescent="0.2">
      <c r="A161" s="21" t="s">
        <v>37</v>
      </c>
      <c r="B161" s="19">
        <f>'DOE25'!F501</f>
        <v>57939.37</v>
      </c>
      <c r="C161" s="19">
        <f>'DOE25'!G501</f>
        <v>0</v>
      </c>
      <c r="D161" s="19">
        <f>'DOE25'!H501</f>
        <v>0</v>
      </c>
      <c r="E161" s="19">
        <f>'DOE25'!I501</f>
        <v>0</v>
      </c>
      <c r="F161" s="19">
        <f>'DOE25'!J501</f>
        <v>0</v>
      </c>
      <c r="G161" s="96">
        <f t="shared" si="8"/>
        <v>57939.37</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abSelected="1" topLeftCell="A7" zoomScaleNormal="100" workbookViewId="0">
      <selection activeCell="C37" sqref="C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Berlin</v>
      </c>
    </row>
    <row r="3" spans="1:4" x14ac:dyDescent="0.2">
      <c r="B3" s="136" t="s">
        <v>1792</v>
      </c>
    </row>
    <row r="4" spans="1:4" x14ac:dyDescent="0.2">
      <c r="B4" t="s">
        <v>61</v>
      </c>
      <c r="C4" s="128">
        <f>IF('DOE25'!F666+'DOE25'!F671=0,0,ROUND('DOE25'!F673,0))</f>
        <v>27521</v>
      </c>
    </row>
    <row r="5" spans="1:4" x14ac:dyDescent="0.2">
      <c r="B5" t="s">
        <v>700</v>
      </c>
      <c r="C5" s="128">
        <f>IF('DOE25'!G666+'DOE25'!G671=0,0,ROUND('DOE25'!G673,0))</f>
        <v>19607</v>
      </c>
    </row>
    <row r="6" spans="1:4" x14ac:dyDescent="0.2">
      <c r="B6" t="s">
        <v>62</v>
      </c>
      <c r="C6" s="128">
        <f>IF('DOE25'!H666+'DOE25'!H671=0,0,ROUND('DOE25'!H673,0))</f>
        <v>23247</v>
      </c>
    </row>
    <row r="7" spans="1:4" x14ac:dyDescent="0.2">
      <c r="B7" t="s">
        <v>701</v>
      </c>
      <c r="C7" s="128">
        <f>IF('DOE25'!I666+'DOE25'!I671=0,0,ROUND('DOE25'!I673,0))</f>
        <v>24138</v>
      </c>
    </row>
    <row r="9" spans="1:4" x14ac:dyDescent="0.2">
      <c r="A9" s="135" t="s">
        <v>94</v>
      </c>
      <c r="B9" s="136" t="s">
        <v>1793</v>
      </c>
      <c r="C9" s="130" t="s">
        <v>720</v>
      </c>
      <c r="D9" s="130" t="s">
        <v>721</v>
      </c>
    </row>
    <row r="10" spans="1:4" x14ac:dyDescent="0.2">
      <c r="A10">
        <v>1100</v>
      </c>
      <c r="B10" t="s">
        <v>702</v>
      </c>
      <c r="C10" s="128">
        <f>ROUND('DOE25'!L198+'DOE25'!L216+'DOE25'!L234+'DOE25'!L277+'DOE25'!L296+'DOE25'!L315,0)</f>
        <v>9128720</v>
      </c>
      <c r="D10" s="131">
        <f>ROUND((C10/$C$28)*100,1)</f>
        <v>34.6</v>
      </c>
    </row>
    <row r="11" spans="1:4" x14ac:dyDescent="0.2">
      <c r="A11">
        <v>1200</v>
      </c>
      <c r="B11" t="s">
        <v>703</v>
      </c>
      <c r="C11" s="128">
        <f>ROUND('DOE25'!L199+'DOE25'!L217+'DOE25'!L235+'DOE25'!L278+'DOE25'!L297+'DOE25'!L316,0)</f>
        <v>5058808</v>
      </c>
      <c r="D11" s="131">
        <f>ROUND((C11/$C$28)*100,1)</f>
        <v>19.2</v>
      </c>
    </row>
    <row r="12" spans="1:4" x14ac:dyDescent="0.2">
      <c r="A12">
        <v>1300</v>
      </c>
      <c r="B12" t="s">
        <v>704</v>
      </c>
      <c r="C12" s="128">
        <f>ROUND('DOE25'!L200+'DOE25'!L218+'DOE25'!L236+'DOE25'!L279+'DOE25'!L298+'DOE25'!L317,0)</f>
        <v>916662</v>
      </c>
      <c r="D12" s="131">
        <f>ROUND((C12/$C$28)*100,1)</f>
        <v>3.5</v>
      </c>
    </row>
    <row r="13" spans="1:4" x14ac:dyDescent="0.2">
      <c r="A13">
        <v>1400</v>
      </c>
      <c r="B13" t="s">
        <v>705</v>
      </c>
      <c r="C13" s="128">
        <f>ROUND('DOE25'!L201+'DOE25'!L219+'DOE25'!L237+'DOE25'!L280+'DOE25'!L299+'DOE25'!L318,0)</f>
        <v>740574</v>
      </c>
      <c r="D13" s="131">
        <f>ROUND((C13/$C$28)*100,1)</f>
        <v>2.8</v>
      </c>
    </row>
    <row r="14" spans="1:4" x14ac:dyDescent="0.2">
      <c r="D14" s="131"/>
    </row>
    <row r="15" spans="1:4" x14ac:dyDescent="0.2">
      <c r="A15">
        <v>2100</v>
      </c>
      <c r="B15" t="s">
        <v>706</v>
      </c>
      <c r="C15" s="128">
        <f>ROUND('DOE25'!L203+'DOE25'!L221+'DOE25'!L239+'DOE25'!L282+'DOE25'!L301+'DOE25'!L320,0)</f>
        <v>2133926</v>
      </c>
      <c r="D15" s="131">
        <f t="shared" ref="D15:D27" si="0">ROUND((C15/$C$28)*100,1)</f>
        <v>8.1</v>
      </c>
    </row>
    <row r="16" spans="1:4" x14ac:dyDescent="0.2">
      <c r="A16">
        <v>2200</v>
      </c>
      <c r="B16" t="s">
        <v>707</v>
      </c>
      <c r="C16" s="128">
        <f>ROUND('DOE25'!L204+'DOE25'!L222+'DOE25'!L240+'DOE25'!L283+'DOE25'!L302+'DOE25'!L321,0)</f>
        <v>389369</v>
      </c>
      <c r="D16" s="131">
        <f t="shared" si="0"/>
        <v>1.5</v>
      </c>
    </row>
    <row r="17" spans="1:4" x14ac:dyDescent="0.2">
      <c r="A17" s="132" t="s">
        <v>723</v>
      </c>
      <c r="B17" t="s">
        <v>738</v>
      </c>
      <c r="C17" s="128">
        <f>ROUND('DOE25'!L205+'DOE25'!L210+'DOE25'!L223+'DOE25'!L228+'DOE25'!L241+'DOE25'!L246+'DOE25'!L284+'DOE25'!L289+'DOE25'!L303+'DOE25'!L308+'DOE25'!L322+'DOE25'!L327,0)</f>
        <v>897015</v>
      </c>
      <c r="D17" s="131">
        <f t="shared" si="0"/>
        <v>3.4</v>
      </c>
    </row>
    <row r="18" spans="1:4" x14ac:dyDescent="0.2">
      <c r="A18">
        <v>2400</v>
      </c>
      <c r="B18" t="s">
        <v>711</v>
      </c>
      <c r="C18" s="128">
        <f>ROUND('DOE25'!L206+'DOE25'!L224+'DOE25'!L242+'DOE25'!L285+'DOE25'!L304+'DOE25'!L323,0)</f>
        <v>1121798</v>
      </c>
      <c r="D18" s="131">
        <f t="shared" si="0"/>
        <v>4.2</v>
      </c>
    </row>
    <row r="19" spans="1:4" x14ac:dyDescent="0.2">
      <c r="A19">
        <v>2500</v>
      </c>
      <c r="B19" t="s">
        <v>708</v>
      </c>
      <c r="C19" s="128">
        <f>ROUND('DOE25'!L207+'DOE25'!L225+'DOE25'!L243+'DOE25'!L286+'DOE25'!L305+'DOE25'!L324,0)</f>
        <v>324828</v>
      </c>
      <c r="D19" s="131">
        <f t="shared" si="0"/>
        <v>1.2</v>
      </c>
    </row>
    <row r="20" spans="1:4" x14ac:dyDescent="0.2">
      <c r="A20">
        <v>2600</v>
      </c>
      <c r="B20" t="s">
        <v>709</v>
      </c>
      <c r="C20" s="128">
        <f>ROUND('DOE25'!L208+'DOE25'!L226+'DOE25'!L244+'DOE25'!L287+'DOE25'!L306+'DOE25'!L325,0)</f>
        <v>4523890</v>
      </c>
      <c r="D20" s="131">
        <f t="shared" si="0"/>
        <v>17.100000000000001</v>
      </c>
    </row>
    <row r="21" spans="1:4" x14ac:dyDescent="0.2">
      <c r="A21">
        <v>2700</v>
      </c>
      <c r="B21" t="s">
        <v>710</v>
      </c>
      <c r="C21" s="128">
        <f>ROUND('DOE25'!L209+'DOE25'!L227+'DOE25'!L245+'DOE25'!L288+'DOE25'!L307+'DOE25'!L326,0)</f>
        <v>434122</v>
      </c>
      <c r="D21" s="131">
        <f t="shared" si="0"/>
        <v>1.6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1329</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726670.06</v>
      </c>
      <c r="D27" s="131">
        <f t="shared" si="0"/>
        <v>2.8</v>
      </c>
    </row>
    <row r="28" spans="1:4" x14ac:dyDescent="0.2">
      <c r="B28" s="135" t="s">
        <v>719</v>
      </c>
      <c r="C28" s="129">
        <f>SUM(C10:C27)</f>
        <v>26397711.059999999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26397711.059999999</v>
      </c>
    </row>
    <row r="31" spans="1:4" x14ac:dyDescent="0.2">
      <c r="B31" s="32"/>
      <c r="C31" s="129"/>
    </row>
    <row r="32" spans="1:4" x14ac:dyDescent="0.2">
      <c r="A32">
        <v>5100</v>
      </c>
      <c r="B32" s="32" t="s">
        <v>726</v>
      </c>
      <c r="C32" s="129">
        <f>ROUND('DOE25'!L261+'DOE25'!L342,0)</f>
        <v>26228</v>
      </c>
    </row>
    <row r="34" spans="1:4" x14ac:dyDescent="0.2">
      <c r="A34" s="135" t="s">
        <v>94</v>
      </c>
      <c r="B34" s="136" t="s">
        <v>1794</v>
      </c>
      <c r="C34" s="130" t="s">
        <v>720</v>
      </c>
      <c r="D34" s="130" t="s">
        <v>721</v>
      </c>
    </row>
    <row r="35" spans="1:4" x14ac:dyDescent="0.2">
      <c r="A35">
        <v>1100</v>
      </c>
      <c r="B35" s="71" t="s">
        <v>727</v>
      </c>
      <c r="C35" s="128">
        <f>ROUND('DOE25'!F60+'DOE25'!G60+'DOE25'!H60+'DOE25'!I60+'DOE25'!J60,0)</f>
        <v>7987306</v>
      </c>
      <c r="D35" s="131">
        <f t="shared" ref="D35:D40" si="1">ROUND((C35/$C$41)*100,1)</f>
        <v>30.3</v>
      </c>
    </row>
    <row r="36" spans="1:4" x14ac:dyDescent="0.2">
      <c r="B36" s="71" t="s">
        <v>739</v>
      </c>
      <c r="C36" s="128">
        <f>SUM('DOE25'!F112:J112)-SUM('DOE25'!G97:G110)+('DOE25'!F175+'DOE25'!F176+'DOE25'!I175+'DOE25'!I176)-C35</f>
        <v>1883516.2999999989</v>
      </c>
      <c r="D36" s="131">
        <f t="shared" si="1"/>
        <v>7.2</v>
      </c>
    </row>
    <row r="37" spans="1:4" x14ac:dyDescent="0.2">
      <c r="A37" s="132" t="s">
        <v>831</v>
      </c>
      <c r="B37" s="71" t="s">
        <v>728</v>
      </c>
      <c r="C37" s="128">
        <f>ROUND('DOE25'!F117+'DOE25'!F118,0)</f>
        <v>11530512</v>
      </c>
      <c r="D37" s="131">
        <f t="shared" si="1"/>
        <v>43.8</v>
      </c>
    </row>
    <row r="38" spans="1:4" x14ac:dyDescent="0.2">
      <c r="A38" s="132" t="s">
        <v>734</v>
      </c>
      <c r="B38" s="71" t="s">
        <v>729</v>
      </c>
      <c r="C38" s="128">
        <f>ROUND(SUM('DOE25'!F140:J140)-SUM('DOE25'!F117:F119),0)</f>
        <v>88356</v>
      </c>
      <c r="D38" s="131">
        <f t="shared" si="1"/>
        <v>0.3</v>
      </c>
    </row>
    <row r="39" spans="1:4" x14ac:dyDescent="0.2">
      <c r="A39">
        <v>4000</v>
      </c>
      <c r="B39" s="71" t="s">
        <v>730</v>
      </c>
      <c r="C39" s="128">
        <f>ROUND('DOE25'!F170+'DOE25'!G170+'DOE25'!H170+'DOE25'!I170,0)</f>
        <v>4840947</v>
      </c>
      <c r="D39" s="131">
        <f t="shared" si="1"/>
        <v>18.399999999999999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26330637.299999997</v>
      </c>
      <c r="D41" s="133">
        <f>SUM(D35:D40)</f>
        <v>100</v>
      </c>
    </row>
    <row r="42" spans="1:4" x14ac:dyDescent="0.2">
      <c r="A42" s="132" t="s">
        <v>737</v>
      </c>
      <c r="B42" s="71" t="s">
        <v>733</v>
      </c>
      <c r="C42" s="128">
        <f>ROUND('DOE25'!F174+'DOE25'!I174+'DOE25'!F177+'DOE25'!I177,0)</f>
        <v>0</v>
      </c>
    </row>
  </sheetData>
  <sheetProtection algorithmName="SHA-512" hashValue="4+p7asuBvZfYK2Qx2TJb7n+hh9M7uCUzzduouImRcppmulsnJU4uoH7eu3WJEL83QVKGztwslhbvHtxswP8HoA==" saltValue="s9ARmqFhFuO6HrqtCMBqp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Berlin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22</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7</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f>IF('School Level Expenditures'!$B$2='School Tables'!L10,'School Tables'!S10,"")</f>
        <v>7</v>
      </c>
      <c r="U10" s="281" t="str">
        <f>IFERROR(SMALL($T$4:$T$75,ROWS($T$4:T10)),"")</f>
        <v/>
      </c>
      <c r="V10" s="256" t="b">
        <f t="shared" si="1"/>
        <v>0</v>
      </c>
      <c r="W10">
        <v>51</v>
      </c>
      <c r="X10" t="s">
        <v>929</v>
      </c>
      <c r="Y10" t="s">
        <v>931</v>
      </c>
      <c r="Z10">
        <v>20050</v>
      </c>
      <c r="AA10" t="s">
        <v>1518</v>
      </c>
      <c r="AB10">
        <v>3</v>
      </c>
      <c r="AC10" t="s">
        <v>1646</v>
      </c>
      <c r="AD10" s="281">
        <f>ROWS($AC$4:AC10)</f>
        <v>7</v>
      </c>
      <c r="AE10" s="281">
        <f>IF('School Level Expenditures'!$B$2='School Tables'!W10,'School Tables'!AD10,"")</f>
        <v>7</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f>IF('School Level Expenditures'!$B$2=A25,'School Tables'!H25,"")</f>
        <v>22</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2024-09-25T20:27:03Z</cp:lastPrinted>
  <dcterms:created xsi:type="dcterms:W3CDTF">1997-12-04T19:04:30Z</dcterms:created>
  <dcterms:modified xsi:type="dcterms:W3CDTF">2025-01-14T19:36:16Z</dcterms:modified>
</cp:coreProperties>
</file>