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A6F6778B-0A73-43FE-82DC-DC2703A13990}"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50" i="1" l="1"/>
  <c r="I22" i="1"/>
  <c r="H23" i="1"/>
  <c r="I361" i="1"/>
  <c r="I360" i="1"/>
  <c r="I359" i="1"/>
  <c r="G158" i="1"/>
  <c r="G97" i="1"/>
  <c r="G30" i="1"/>
  <c r="H12" i="1"/>
  <c r="F22" i="1"/>
  <c r="F12" i="1"/>
  <c r="D39" i="14"/>
  <c r="E40" i="14"/>
  <c r="E6" i="14"/>
  <c r="E27" i="14"/>
  <c r="Q6" i="14"/>
  <c r="F15" i="13"/>
  <c r="F5" i="13"/>
  <c r="D9" i="13"/>
  <c r="C10" i="12"/>
  <c r="B10" i="12"/>
  <c r="C12" i="12"/>
  <c r="B12" i="12"/>
  <c r="C11" i="12"/>
  <c r="B11" i="12"/>
  <c r="C21" i="12"/>
  <c r="B21" i="12"/>
  <c r="C20" i="12"/>
  <c r="B20" i="12"/>
  <c r="C19" i="12"/>
  <c r="B19" i="12"/>
  <c r="E13" i="17"/>
  <c r="E9" i="17"/>
  <c r="J605" i="1"/>
  <c r="I605" i="1"/>
  <c r="H605" i="1"/>
  <c r="J592" i="1"/>
  <c r="I592" i="1"/>
  <c r="H592" i="1"/>
  <c r="J595" i="1"/>
  <c r="J594" i="1"/>
  <c r="J593" i="1"/>
  <c r="I593" i="1"/>
  <c r="H593" i="1"/>
  <c r="H583" i="1"/>
  <c r="G527" i="1"/>
  <c r="G529" i="1"/>
  <c r="G528" i="1"/>
  <c r="J529" i="1"/>
  <c r="J528" i="1"/>
  <c r="J527" i="1"/>
  <c r="I529" i="1"/>
  <c r="I528" i="1"/>
  <c r="I527" i="1"/>
  <c r="H529" i="1"/>
  <c r="H528" i="1"/>
  <c r="H527" i="1"/>
  <c r="F529" i="1"/>
  <c r="F528" i="1"/>
  <c r="F527" i="1"/>
  <c r="J542" i="1"/>
  <c r="F542" i="1"/>
  <c r="G524" i="1"/>
  <c r="F524" i="1"/>
  <c r="G523" i="1"/>
  <c r="F523" i="1"/>
  <c r="G522" i="1"/>
  <c r="F522" i="1"/>
  <c r="K524" i="1" l="1"/>
  <c r="J524" i="1"/>
  <c r="I524" i="1"/>
  <c r="H524" i="1"/>
  <c r="K523" i="1"/>
  <c r="J523" i="1"/>
  <c r="I523" i="1"/>
  <c r="H523" i="1"/>
  <c r="K522" i="1"/>
  <c r="J522" i="1"/>
  <c r="I522" i="1"/>
  <c r="H522" i="1"/>
  <c r="F563" i="1"/>
  <c r="F565" i="1"/>
  <c r="F564" i="1"/>
  <c r="G503" i="1" l="1"/>
  <c r="G500" i="1"/>
  <c r="F500" i="1"/>
  <c r="H390" i="1"/>
  <c r="F441" i="1"/>
  <c r="F36" i="1" l="1"/>
  <c r="F9" i="1" l="1"/>
  <c r="F473" i="1"/>
  <c r="G245" i="1"/>
  <c r="F245" i="1"/>
  <c r="G240" i="1"/>
  <c r="G204" i="1"/>
  <c r="H240" i="1"/>
  <c r="H222" i="1"/>
  <c r="H204" i="1"/>
  <c r="G222" i="1"/>
  <c r="F240" i="1"/>
  <c r="F222" i="1"/>
  <c r="F204" i="1"/>
  <c r="G227" i="1"/>
  <c r="G209" i="1"/>
  <c r="H245" i="1"/>
  <c r="J245" i="1"/>
  <c r="I245" i="1"/>
  <c r="J227" i="1"/>
  <c r="I227" i="1"/>
  <c r="H227" i="1"/>
  <c r="F227" i="1"/>
  <c r="J209" i="1"/>
  <c r="I209" i="1"/>
  <c r="H209" i="1"/>
  <c r="F209" i="1"/>
  <c r="K245" i="1"/>
  <c r="K227" i="1"/>
  <c r="K209" i="1"/>
  <c r="H244" i="1"/>
  <c r="H226" i="1"/>
  <c r="H208" i="1"/>
  <c r="G244" i="1"/>
  <c r="G226" i="1"/>
  <c r="G208" i="1"/>
  <c r="I244" i="1"/>
  <c r="I226" i="1"/>
  <c r="I208" i="1"/>
  <c r="F244" i="1"/>
  <c r="F226" i="1"/>
  <c r="F208" i="1"/>
  <c r="I242" i="1"/>
  <c r="I224" i="1"/>
  <c r="I206" i="1"/>
  <c r="G206" i="1"/>
  <c r="K242" i="1"/>
  <c r="K224" i="1"/>
  <c r="K206" i="1"/>
  <c r="J206" i="1"/>
  <c r="H224" i="1"/>
  <c r="H242" i="1"/>
  <c r="H206" i="1"/>
  <c r="F242" i="1"/>
  <c r="F224" i="1"/>
  <c r="F206" i="1"/>
  <c r="F241" i="1"/>
  <c r="F223" i="1"/>
  <c r="F205" i="1"/>
  <c r="H241" i="1"/>
  <c r="H223" i="1"/>
  <c r="H205" i="1"/>
  <c r="I205" i="1"/>
  <c r="K241" i="1"/>
  <c r="I241" i="1"/>
  <c r="G241" i="1"/>
  <c r="K223" i="1"/>
  <c r="I223" i="1"/>
  <c r="G223" i="1"/>
  <c r="G205" i="1"/>
  <c r="K205" i="1"/>
  <c r="J240" i="1" l="1"/>
  <c r="J222" i="1"/>
  <c r="J204" i="1"/>
  <c r="K240" i="1"/>
  <c r="I240" i="1"/>
  <c r="I222" i="1"/>
  <c r="I204" i="1"/>
  <c r="G239" i="1"/>
  <c r="G221" i="1"/>
  <c r="G203" i="1"/>
  <c r="J239" i="1"/>
  <c r="J221" i="1"/>
  <c r="J203" i="1"/>
  <c r="I239" i="1"/>
  <c r="I221" i="1"/>
  <c r="I203" i="1"/>
  <c r="H239" i="1"/>
  <c r="H221" i="1"/>
  <c r="H203" i="1"/>
  <c r="F239" i="1"/>
  <c r="F221" i="1"/>
  <c r="F203" i="1"/>
  <c r="K239" i="1"/>
  <c r="K203" i="1"/>
  <c r="G237" i="1"/>
  <c r="F237" i="1"/>
  <c r="G219" i="1"/>
  <c r="F219" i="1"/>
  <c r="K237" i="1"/>
  <c r="J237" i="1"/>
  <c r="J219" i="1"/>
  <c r="I237" i="1"/>
  <c r="I219" i="1"/>
  <c r="H237" i="1"/>
  <c r="H219" i="1"/>
  <c r="G201" i="1"/>
  <c r="K219" i="1"/>
  <c r="K201" i="1"/>
  <c r="F201" i="1"/>
  <c r="G199" i="1"/>
  <c r="I217" i="1"/>
  <c r="F199" i="1"/>
  <c r="G235" i="1"/>
  <c r="G217" i="1"/>
  <c r="F235" i="1"/>
  <c r="F217" i="1"/>
  <c r="K235" i="1"/>
  <c r="K217" i="1"/>
  <c r="K199" i="1"/>
  <c r="J235" i="1" l="1"/>
  <c r="J217" i="1"/>
  <c r="J199" i="1"/>
  <c r="I235" i="1"/>
  <c r="I199" i="1"/>
  <c r="H235" i="1"/>
  <c r="H217" i="1"/>
  <c r="H199" i="1"/>
  <c r="G234" i="1"/>
  <c r="G216" i="1"/>
  <c r="G198" i="1"/>
  <c r="I234" i="1"/>
  <c r="I216" i="1"/>
  <c r="I198" i="1"/>
  <c r="H234" i="1"/>
  <c r="H216" i="1"/>
  <c r="H198" i="1"/>
  <c r="K234" i="1"/>
  <c r="K216" i="1"/>
  <c r="J234" i="1"/>
  <c r="J198" i="1"/>
  <c r="J216" i="1"/>
  <c r="F234" i="1"/>
  <c r="F216" i="1"/>
  <c r="F198" i="1"/>
  <c r="F68" i="1" l="1"/>
  <c r="F63" i="1"/>
  <c r="I296" i="1"/>
  <c r="G282" i="1"/>
  <c r="F320" i="1"/>
  <c r="F301" i="1"/>
  <c r="F282" i="1"/>
  <c r="H321" i="1"/>
  <c r="H302" i="1"/>
  <c r="H283" i="1"/>
  <c r="I321" i="1"/>
  <c r="G321" i="1"/>
  <c r="F321" i="1"/>
  <c r="I302" i="1"/>
  <c r="G302" i="1"/>
  <c r="F302" i="1"/>
  <c r="I283" i="1"/>
  <c r="G283" i="1"/>
  <c r="F283" i="1"/>
  <c r="H282" i="1"/>
  <c r="H320" i="1"/>
  <c r="H301" i="1"/>
  <c r="F278" i="1"/>
  <c r="F316" i="1"/>
  <c r="F297" i="1"/>
  <c r="I316" i="1"/>
  <c r="I297" i="1"/>
  <c r="I278" i="1"/>
  <c r="H316" i="1"/>
  <c r="H297" i="1"/>
  <c r="H278" i="1"/>
  <c r="F315" i="1"/>
  <c r="I277" i="1"/>
  <c r="H296" i="1"/>
  <c r="H315" i="1"/>
  <c r="H277" i="1"/>
  <c r="G277" i="1"/>
  <c r="G315" i="1"/>
  <c r="G296" i="1"/>
  <c r="F296" i="1"/>
  <c r="F277" i="1"/>
  <c r="H469" i="1"/>
  <c r="H135" i="1"/>
  <c r="H161" i="1"/>
  <c r="H155" i="1"/>
  <c r="H159" i="1"/>
  <c r="H154" i="1"/>
  <c r="H162" i="1"/>
  <c r="I473" i="1"/>
  <c r="I469" i="1"/>
  <c r="H379" i="1"/>
  <c r="H368" i="1"/>
  <c r="G368" i="1"/>
  <c r="F368"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L207"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L206" i="1"/>
  <c r="L224" i="1"/>
  <c r="L208" i="1"/>
  <c r="L226" i="1"/>
  <c r="G15" i="13"/>
  <c r="H15" i="13"/>
  <c r="L209" i="1"/>
  <c r="L227" i="1"/>
  <c r="G651" i="1" s="1"/>
  <c r="L245" i="1"/>
  <c r="G652" i="1" s="1"/>
  <c r="G17" i="13"/>
  <c r="H17" i="13"/>
  <c r="G18" i="13"/>
  <c r="H18" i="13"/>
  <c r="G19" i="13"/>
  <c r="H29" i="13"/>
  <c r="L359" i="1"/>
  <c r="L360" i="1"/>
  <c r="L361" i="1"/>
  <c r="I368" i="1"/>
  <c r="J291" i="1"/>
  <c r="J310" i="1"/>
  <c r="K291" i="1"/>
  <c r="K310" i="1"/>
  <c r="L277" i="1"/>
  <c r="L278" i="1"/>
  <c r="L279" i="1"/>
  <c r="L280" i="1"/>
  <c r="L282" i="1"/>
  <c r="L283" i="1"/>
  <c r="L284" i="1"/>
  <c r="L285" i="1"/>
  <c r="L286" i="1"/>
  <c r="L287" i="1"/>
  <c r="L288" i="1"/>
  <c r="L289" i="1"/>
  <c r="L296" i="1"/>
  <c r="L297" i="1"/>
  <c r="L298" i="1"/>
  <c r="L299" i="1"/>
  <c r="L301" i="1"/>
  <c r="L302" i="1"/>
  <c r="L303" i="1"/>
  <c r="E120" i="2" s="1"/>
  <c r="L304" i="1"/>
  <c r="L305" i="1"/>
  <c r="L306" i="1"/>
  <c r="L307" i="1"/>
  <c r="L308" i="1"/>
  <c r="L315" i="1"/>
  <c r="L316" i="1"/>
  <c r="L317" i="1"/>
  <c r="L320" i="1"/>
  <c r="L321" i="1"/>
  <c r="L322" i="1"/>
  <c r="L323" i="1"/>
  <c r="L324" i="1"/>
  <c r="L325" i="1"/>
  <c r="L326" i="1"/>
  <c r="L327"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C58" i="2" s="1"/>
  <c r="F111" i="1"/>
  <c r="G111" i="1"/>
  <c r="H79" i="1"/>
  <c r="H94" i="1"/>
  <c r="E58" i="2" s="1"/>
  <c r="H111" i="1"/>
  <c r="I111" i="1"/>
  <c r="J111" i="1"/>
  <c r="F121" i="1"/>
  <c r="F136" i="1"/>
  <c r="G121" i="1"/>
  <c r="G136" i="1"/>
  <c r="H121" i="1"/>
  <c r="H136" i="1"/>
  <c r="I121" i="1"/>
  <c r="I136" i="1"/>
  <c r="J121" i="1"/>
  <c r="J136" i="1"/>
  <c r="F147" i="1"/>
  <c r="C85" i="2" s="1"/>
  <c r="G147" i="1"/>
  <c r="D85" i="2" s="1"/>
  <c r="H147" i="1"/>
  <c r="H170" i="1" s="1"/>
  <c r="I147" i="1"/>
  <c r="F85"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H25" i="2" s="1"/>
  <c r="C26" i="2"/>
  <c r="F26" i="2"/>
  <c r="C27" i="2"/>
  <c r="D27" i="2"/>
  <c r="E27" i="2"/>
  <c r="F27" i="2"/>
  <c r="C28" i="2"/>
  <c r="D28" i="2"/>
  <c r="E28" i="2"/>
  <c r="F28" i="2"/>
  <c r="C29" i="2"/>
  <c r="D29" i="2"/>
  <c r="E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9" i="2"/>
  <c r="D59" i="2"/>
  <c r="E59" i="2"/>
  <c r="F59" i="2"/>
  <c r="D60" i="2"/>
  <c r="H60" i="2" s="1"/>
  <c r="C61" i="2"/>
  <c r="D61" i="2"/>
  <c r="E61" i="2"/>
  <c r="F61" i="2"/>
  <c r="C66" i="2"/>
  <c r="H66" i="2" s="1"/>
  <c r="C67" i="2"/>
  <c r="H67" i="2" s="1"/>
  <c r="C69" i="2"/>
  <c r="D69" i="2"/>
  <c r="E69" i="2"/>
  <c r="E70" i="2" s="1"/>
  <c r="F69" i="2"/>
  <c r="F70" i="2" s="1"/>
  <c r="G69" i="2"/>
  <c r="G70" i="2" s="1"/>
  <c r="C72" i="2"/>
  <c r="F72" i="2"/>
  <c r="C73" i="2"/>
  <c r="F73" i="2"/>
  <c r="H73" i="2" s="1"/>
  <c r="C74" i="2"/>
  <c r="H74" i="2" s="1"/>
  <c r="C75" i="2"/>
  <c r="H75" i="2" s="1"/>
  <c r="C76" i="2"/>
  <c r="E76" i="2"/>
  <c r="F76" i="2"/>
  <c r="C77" i="2"/>
  <c r="D77" i="2"/>
  <c r="E77" i="2"/>
  <c r="F77" i="2"/>
  <c r="G77" i="2"/>
  <c r="G78" i="2" s="1"/>
  <c r="C79" i="2"/>
  <c r="D79" i="2"/>
  <c r="E79" i="2"/>
  <c r="C80" i="2"/>
  <c r="E80" i="2"/>
  <c r="H80" i="2" s="1"/>
  <c r="C87" i="2"/>
  <c r="E87" i="2"/>
  <c r="F87" i="2"/>
  <c r="C89" i="2"/>
  <c r="D89" i="2"/>
  <c r="E89" i="2"/>
  <c r="F89" i="2"/>
  <c r="C90" i="2"/>
  <c r="H90" i="2" s="1"/>
  <c r="C93" i="2"/>
  <c r="F93" i="2"/>
  <c r="C94" i="2"/>
  <c r="F94" i="2"/>
  <c r="H94" i="2" s="1"/>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C130" i="2"/>
  <c r="D134" i="2"/>
  <c r="F134" i="2"/>
  <c r="K420" i="1"/>
  <c r="K428" i="1"/>
  <c r="K434" i="1"/>
  <c r="L264" i="1"/>
  <c r="C135"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G32" i="1"/>
  <c r="H32" i="1"/>
  <c r="H51" i="1"/>
  <c r="G625" i="1" s="1"/>
  <c r="F178" i="1"/>
  <c r="I178" i="1"/>
  <c r="F184" i="1"/>
  <c r="G184" i="1"/>
  <c r="H184" i="1"/>
  <c r="I184" i="1"/>
  <c r="J184" i="1"/>
  <c r="J193" i="1" s="1"/>
  <c r="F189" i="1"/>
  <c r="G189" i="1"/>
  <c r="H189" i="1"/>
  <c r="I189" i="1"/>
  <c r="F212" i="1"/>
  <c r="G212" i="1"/>
  <c r="H212" i="1"/>
  <c r="I212" i="1"/>
  <c r="J212" i="1"/>
  <c r="K212" i="1"/>
  <c r="F230" i="1"/>
  <c r="G230" i="1"/>
  <c r="I230" i="1"/>
  <c r="J230" i="1"/>
  <c r="K230" i="1"/>
  <c r="F248" i="1"/>
  <c r="G248" i="1"/>
  <c r="H248" i="1"/>
  <c r="F257" i="1"/>
  <c r="G257" i="1"/>
  <c r="F291" i="1"/>
  <c r="G291" i="1"/>
  <c r="H291" i="1"/>
  <c r="I291" i="1"/>
  <c r="F310" i="1"/>
  <c r="G310" i="1"/>
  <c r="H310" i="1"/>
  <c r="I310" i="1"/>
  <c r="F329" i="1"/>
  <c r="G329" i="1"/>
  <c r="H329" i="1"/>
  <c r="I329" i="1"/>
  <c r="F338" i="1"/>
  <c r="G338" i="1"/>
  <c r="H338" i="1"/>
  <c r="I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H471" i="1"/>
  <c r="I471" i="1"/>
  <c r="F475" i="1"/>
  <c r="I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H630" i="1"/>
  <c r="H631" i="1"/>
  <c r="H633" i="1"/>
  <c r="H637" i="1"/>
  <c r="G644" i="1"/>
  <c r="G645" i="1"/>
  <c r="H653" i="1"/>
  <c r="G654" i="1"/>
  <c r="H655" i="1"/>
  <c r="H656" i="1"/>
  <c r="I170" i="1"/>
  <c r="H618" i="1" l="1"/>
  <c r="J652" i="1"/>
  <c r="I409" i="1"/>
  <c r="F409" i="1"/>
  <c r="H644" i="1" s="1"/>
  <c r="G409" i="1"/>
  <c r="H646" i="1" s="1"/>
  <c r="J140" i="1"/>
  <c r="J112" i="1"/>
  <c r="G62" i="2"/>
  <c r="G63" i="2" s="1"/>
  <c r="G646" i="1"/>
  <c r="H26" i="2"/>
  <c r="L225" i="1"/>
  <c r="L253" i="1"/>
  <c r="D18" i="13" s="1"/>
  <c r="C18" i="13" s="1"/>
  <c r="H143" i="2"/>
  <c r="H135" i="2"/>
  <c r="H132" i="2"/>
  <c r="C125" i="2"/>
  <c r="G663" i="1"/>
  <c r="C120" i="2"/>
  <c r="H120" i="2" s="1"/>
  <c r="C119" i="2"/>
  <c r="G13" i="13"/>
  <c r="C112" i="2"/>
  <c r="H230" i="1"/>
  <c r="D15" i="13"/>
  <c r="C15" i="13" s="1"/>
  <c r="H654" i="1"/>
  <c r="J654" i="1" s="1"/>
  <c r="H137" i="2"/>
  <c r="L254" i="1"/>
  <c r="H93" i="2"/>
  <c r="F170" i="1"/>
  <c r="H58" i="2"/>
  <c r="H76" i="2"/>
  <c r="H72" i="2"/>
  <c r="E124" i="2"/>
  <c r="E125" i="2"/>
  <c r="H125" i="2" s="1"/>
  <c r="E111" i="2"/>
  <c r="C12" i="10"/>
  <c r="J329" i="1"/>
  <c r="K2" i="14"/>
  <c r="K3" i="14" s="1"/>
  <c r="H140" i="1"/>
  <c r="H79" i="2"/>
  <c r="H87" i="2"/>
  <c r="H98" i="2"/>
  <c r="H101" i="2"/>
  <c r="H8" i="2"/>
  <c r="H48" i="2"/>
  <c r="H44" i="2"/>
  <c r="H43" i="2"/>
  <c r="H38" i="2"/>
  <c r="H36" i="2"/>
  <c r="H35" i="2"/>
  <c r="H30" i="2"/>
  <c r="H28" i="2"/>
  <c r="H27" i="2"/>
  <c r="H24" i="2"/>
  <c r="H23" i="2"/>
  <c r="H22" i="2"/>
  <c r="H17" i="2"/>
  <c r="H15" i="2"/>
  <c r="H13" i="2"/>
  <c r="H12" i="2"/>
  <c r="H9" i="2"/>
  <c r="H47" i="2"/>
  <c r="H34" i="2"/>
  <c r="H11" i="2"/>
  <c r="H102" i="2"/>
  <c r="H100" i="2"/>
  <c r="H99" i="2"/>
  <c r="H97" i="2"/>
  <c r="H96" i="2"/>
  <c r="H89" i="2"/>
  <c r="H61" i="2"/>
  <c r="I112" i="1"/>
  <c r="H59" i="2"/>
  <c r="D144" i="2"/>
  <c r="D29" i="13"/>
  <c r="C29" i="13" s="1"/>
  <c r="G662" i="1"/>
  <c r="D70" i="2"/>
  <c r="H69" i="2"/>
  <c r="D78" i="2"/>
  <c r="D81" i="2" s="1"/>
  <c r="H77" i="2"/>
  <c r="A40" i="12"/>
  <c r="M23" i="14"/>
  <c r="M24" i="14" s="1"/>
  <c r="L23" i="14"/>
  <c r="L24" i="14" s="1"/>
  <c r="C7" i="14"/>
  <c r="M36" i="14"/>
  <c r="M37" i="14" s="1"/>
  <c r="L36" i="14"/>
  <c r="L37" i="14" s="1"/>
  <c r="C110" i="2"/>
  <c r="N23" i="14"/>
  <c r="N24" i="14" s="1"/>
  <c r="D6" i="13"/>
  <c r="C6" i="13" s="1"/>
  <c r="K23" i="14"/>
  <c r="K24" i="14" s="1"/>
  <c r="M2" i="14"/>
  <c r="M3" i="14" s="1"/>
  <c r="L2" i="14"/>
  <c r="L3" i="14" s="1"/>
  <c r="E121" i="2"/>
  <c r="N2" i="14"/>
  <c r="N3" i="14" s="1"/>
  <c r="C6" i="14"/>
  <c r="C20" i="14"/>
  <c r="I589" i="1"/>
  <c r="E119" i="2"/>
  <c r="H409" i="1"/>
  <c r="H645" i="1" s="1"/>
  <c r="J645" i="1" s="1"/>
  <c r="G339" i="1"/>
  <c r="G353" i="1" s="1"/>
  <c r="E123" i="2"/>
  <c r="E110" i="2"/>
  <c r="J656" i="1"/>
  <c r="J572" i="1"/>
  <c r="E131" i="2"/>
  <c r="H131" i="2" s="1"/>
  <c r="G553" i="1"/>
  <c r="H663" i="1"/>
  <c r="F258" i="1"/>
  <c r="F272" i="1" s="1"/>
  <c r="I370" i="1"/>
  <c r="H635" i="1" s="1"/>
  <c r="J635" i="1" s="1"/>
  <c r="H193" i="1"/>
  <c r="C11" i="10"/>
  <c r="A31" i="1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D31" i="2"/>
  <c r="E31" i="2"/>
  <c r="C18" i="2"/>
  <c r="F18" i="2"/>
  <c r="F662" i="1"/>
  <c r="F572" i="1"/>
  <c r="L420" i="1"/>
  <c r="D91" i="2"/>
  <c r="E78" i="2"/>
  <c r="E81" i="2" s="1"/>
  <c r="G546" i="1"/>
  <c r="J644" i="1"/>
  <c r="F112" i="1"/>
  <c r="L394" i="1"/>
  <c r="C138" i="2" s="1"/>
  <c r="H138" i="2" s="1"/>
  <c r="L363" i="1"/>
  <c r="B28" i="16"/>
  <c r="E122" i="2"/>
  <c r="L291" i="1"/>
  <c r="L615" i="1"/>
  <c r="K599" i="1"/>
  <c r="G648" i="1" s="1"/>
  <c r="K572" i="1"/>
  <c r="L571" i="1"/>
  <c r="H572" i="1"/>
  <c r="L566" i="1"/>
  <c r="I572" i="1"/>
  <c r="K546" i="1"/>
  <c r="H52" i="1"/>
  <c r="H620" i="1" s="1"/>
  <c r="J620" i="1" s="1"/>
  <c r="G112" i="1"/>
  <c r="B10" i="16" s="1"/>
  <c r="E118" i="2"/>
  <c r="L212" i="1"/>
  <c r="H648" i="1"/>
  <c r="L530" i="1"/>
  <c r="H546" i="1"/>
  <c r="G164" i="2"/>
  <c r="G161" i="2"/>
  <c r="G157" i="2"/>
  <c r="G156" i="2"/>
  <c r="G81" i="2"/>
  <c r="C78" i="2"/>
  <c r="F78" i="2"/>
  <c r="F81" i="2" s="1"/>
  <c r="C70" i="2"/>
  <c r="D62" i="2"/>
  <c r="E57" i="2"/>
  <c r="C26" i="10"/>
  <c r="J546" i="1"/>
  <c r="I477" i="1"/>
  <c r="H626" i="1" s="1"/>
  <c r="L434" i="1"/>
  <c r="L428" i="1"/>
  <c r="G193" i="1"/>
  <c r="B13" i="16" s="1"/>
  <c r="F193" i="1"/>
  <c r="J553" i="1"/>
  <c r="I553" i="1"/>
  <c r="K550" i="1"/>
  <c r="F553" i="1"/>
  <c r="L352" i="1"/>
  <c r="F130" i="2"/>
  <c r="G170" i="1"/>
  <c r="B12" i="16" s="1"/>
  <c r="J618" i="1"/>
  <c r="K552" i="1"/>
  <c r="I25" i="13"/>
  <c r="K551" i="1"/>
  <c r="L535" i="1"/>
  <c r="K501" i="1"/>
  <c r="I461" i="1"/>
  <c r="I453" i="1"/>
  <c r="I447" i="1"/>
  <c r="G643" i="1" s="1"/>
  <c r="H339" i="1"/>
  <c r="H353" i="1" s="1"/>
  <c r="E109" i="2"/>
  <c r="C56" i="2"/>
  <c r="H56" i="2" s="1"/>
  <c r="F663" i="1"/>
  <c r="C25" i="10"/>
  <c r="C21" i="10"/>
  <c r="C17" i="10"/>
  <c r="C62" i="2"/>
  <c r="G22" i="13"/>
  <c r="C22" i="13" s="1"/>
  <c r="L540" i="1"/>
  <c r="K504" i="1"/>
  <c r="L383" i="1"/>
  <c r="G637" i="1" s="1"/>
  <c r="J637" i="1" s="1"/>
  <c r="G258" i="1"/>
  <c r="G272" i="1" s="1"/>
  <c r="C142" i="2"/>
  <c r="H142" i="2" s="1"/>
  <c r="C111" i="2"/>
  <c r="H662" i="1"/>
  <c r="C15" i="10"/>
  <c r="A13" i="12"/>
  <c r="D5" i="13"/>
  <c r="C5" i="13" s="1"/>
  <c r="E8" i="13"/>
  <c r="C8" i="13" s="1"/>
  <c r="C35" i="10"/>
  <c r="C29" i="10"/>
  <c r="G650" i="1"/>
  <c r="J650" i="1" s="1"/>
  <c r="L545" i="1"/>
  <c r="L525" i="1"/>
  <c r="D127" i="2"/>
  <c r="C124" i="2"/>
  <c r="C118" i="2"/>
  <c r="C16" i="10"/>
  <c r="D7" i="13"/>
  <c r="C7" i="13" s="1"/>
  <c r="E16" i="13"/>
  <c r="C16" i="13" s="1"/>
  <c r="C10" i="10"/>
  <c r="C109" i="2"/>
  <c r="L230" i="1"/>
  <c r="F62" i="2"/>
  <c r="F63" i="2" s="1"/>
  <c r="G163" i="2"/>
  <c r="G162" i="2"/>
  <c r="G160" i="2"/>
  <c r="G159" i="2"/>
  <c r="G158" i="2"/>
  <c r="G103" i="2"/>
  <c r="F103" i="2"/>
  <c r="C103" i="2"/>
  <c r="F91" i="2"/>
  <c r="E50" i="2"/>
  <c r="C50" i="2"/>
  <c r="C31" i="2"/>
  <c r="E18" i="2"/>
  <c r="E144" i="2"/>
  <c r="I339" i="1"/>
  <c r="I353" i="1" s="1"/>
  <c r="J651" i="1"/>
  <c r="L408" i="1"/>
  <c r="C140" i="2" s="1"/>
  <c r="H140" i="2" s="1"/>
  <c r="I193" i="1"/>
  <c r="J655" i="1"/>
  <c r="G21" i="2"/>
  <c r="G31" i="2" s="1"/>
  <c r="J32" i="1"/>
  <c r="J435" i="1"/>
  <c r="F435" i="1"/>
  <c r="K435" i="1"/>
  <c r="G134" i="2" s="1"/>
  <c r="G144" i="2" s="1"/>
  <c r="G145" i="2" s="1"/>
  <c r="J194" i="1"/>
  <c r="G647" i="1" s="1"/>
  <c r="G140" i="1"/>
  <c r="B11" i="16" s="1"/>
  <c r="F140" i="1"/>
  <c r="G42" i="2"/>
  <c r="G50" i="2" s="1"/>
  <c r="J51" i="1"/>
  <c r="G16" i="2"/>
  <c r="G18" i="2" s="1"/>
  <c r="J19" i="1"/>
  <c r="G622" i="1" s="1"/>
  <c r="F546" i="1"/>
  <c r="H435" i="1"/>
  <c r="D103" i="2"/>
  <c r="I140" i="1"/>
  <c r="A22" i="12"/>
  <c r="J653" i="1"/>
  <c r="G572" i="1"/>
  <c r="I435" i="1"/>
  <c r="G435" i="1"/>
  <c r="I664" i="1"/>
  <c r="I51" i="1" l="1"/>
  <c r="G626" i="1" s="1"/>
  <c r="F40" i="2"/>
  <c r="B17" i="16"/>
  <c r="B19" i="16" s="1"/>
  <c r="G473" i="1"/>
  <c r="L572" i="1"/>
  <c r="H21" i="2"/>
  <c r="H16" i="2"/>
  <c r="H134" i="2"/>
  <c r="J646" i="1"/>
  <c r="H42" i="2"/>
  <c r="I257" i="1"/>
  <c r="L242" i="1"/>
  <c r="H12" i="13"/>
  <c r="H119" i="2"/>
  <c r="H13" i="13"/>
  <c r="K248" i="1"/>
  <c r="H111" i="2"/>
  <c r="K271" i="1"/>
  <c r="L271" i="1" s="1"/>
  <c r="L265" i="1"/>
  <c r="C136" i="2" s="1"/>
  <c r="H136" i="2" s="1"/>
  <c r="H19" i="13"/>
  <c r="D19" i="13" s="1"/>
  <c r="C19" i="13" s="1"/>
  <c r="K257" i="1"/>
  <c r="H124" i="2"/>
  <c r="H70" i="2"/>
  <c r="F194" i="1"/>
  <c r="C81" i="2"/>
  <c r="H81" i="2" s="1"/>
  <c r="I663" i="1"/>
  <c r="L334" i="1"/>
  <c r="J338" i="1"/>
  <c r="G31" i="13"/>
  <c r="K329" i="1"/>
  <c r="E62" i="2"/>
  <c r="E63" i="2" s="1"/>
  <c r="E104" i="2" s="1"/>
  <c r="H57" i="2"/>
  <c r="H85" i="2"/>
  <c r="E51" i="2"/>
  <c r="H18" i="2"/>
  <c r="H103" i="2"/>
  <c r="H91" i="2"/>
  <c r="H78" i="2"/>
  <c r="I32" i="1"/>
  <c r="F29" i="2"/>
  <c r="D128" i="2"/>
  <c r="D145" i="2" s="1"/>
  <c r="H127" i="2"/>
  <c r="I662" i="1"/>
  <c r="D63" i="2"/>
  <c r="G25" i="14"/>
  <c r="H25" i="14" s="1"/>
  <c r="I25" i="14" s="1"/>
  <c r="H110" i="2"/>
  <c r="E128" i="2"/>
  <c r="H118" i="2"/>
  <c r="F661" i="1"/>
  <c r="F665" i="1" s="1"/>
  <c r="F670" i="1" s="1"/>
  <c r="H109" i="2"/>
  <c r="F144" i="2"/>
  <c r="H130" i="2"/>
  <c r="H194" i="1"/>
  <c r="G630" i="1" s="1"/>
  <c r="J630" i="1" s="1"/>
  <c r="C141" i="2"/>
  <c r="C36" i="10"/>
  <c r="L435" i="1"/>
  <c r="G104" i="2"/>
  <c r="I194" i="1"/>
  <c r="G631" i="1" s="1"/>
  <c r="J631" i="1" s="1"/>
  <c r="G636" i="1"/>
  <c r="G51" i="2"/>
  <c r="L409" i="1"/>
  <c r="J469" i="1" s="1"/>
  <c r="C27" i="10"/>
  <c r="G4" i="14"/>
  <c r="H4" i="14" s="1"/>
  <c r="I4" i="14" s="1"/>
  <c r="L546" i="1"/>
  <c r="J626" i="1"/>
  <c r="F104" i="2"/>
  <c r="B14" i="16"/>
  <c r="B22" i="16" s="1"/>
  <c r="J648" i="1"/>
  <c r="C63" i="2"/>
  <c r="C39" i="10"/>
  <c r="I462" i="1"/>
  <c r="H643" i="1" s="1"/>
  <c r="J643" i="1" s="1"/>
  <c r="G661" i="1"/>
  <c r="G665" i="1" s="1"/>
  <c r="C25" i="13"/>
  <c r="I33" i="13"/>
  <c r="K553" i="1"/>
  <c r="C51" i="2"/>
  <c r="G632" i="1"/>
  <c r="G194" i="1"/>
  <c r="G627" i="1"/>
  <c r="J52" i="1"/>
  <c r="H622" i="1" s="1"/>
  <c r="J622" i="1" s="1"/>
  <c r="C38" i="10"/>
  <c r="I52" i="1" l="1"/>
  <c r="H621" i="1" s="1"/>
  <c r="J621" i="1" s="1"/>
  <c r="H40" i="2"/>
  <c r="F50" i="2"/>
  <c r="G475" i="1"/>
  <c r="H636" i="1"/>
  <c r="J636" i="1"/>
  <c r="G629" i="1"/>
  <c r="G469" i="1"/>
  <c r="G628" i="1"/>
  <c r="F469" i="1"/>
  <c r="G639" i="1"/>
  <c r="J473" i="1"/>
  <c r="H638" i="1"/>
  <c r="J471" i="1"/>
  <c r="H632" i="1"/>
  <c r="J632" i="1" s="1"/>
  <c r="L252" i="1"/>
  <c r="D17" i="13" s="1"/>
  <c r="C17" i="13" s="1"/>
  <c r="I248" i="1"/>
  <c r="I258" i="1" s="1"/>
  <c r="I272" i="1" s="1"/>
  <c r="L244" i="1"/>
  <c r="J257" i="1" s="1"/>
  <c r="L243" i="1"/>
  <c r="N36" i="14"/>
  <c r="N37" i="14" s="1"/>
  <c r="D12" i="13"/>
  <c r="C12" i="13" s="1"/>
  <c r="C121" i="2"/>
  <c r="H121" i="2" s="1"/>
  <c r="C18" i="10"/>
  <c r="H14" i="13"/>
  <c r="K258" i="1"/>
  <c r="K272" i="1" s="1"/>
  <c r="C104" i="2"/>
  <c r="C144" i="2"/>
  <c r="H144" i="2" s="1"/>
  <c r="H141" i="2"/>
  <c r="L335" i="1"/>
  <c r="K338" i="1"/>
  <c r="L338" i="1" s="1"/>
  <c r="J339" i="1"/>
  <c r="J353" i="1" s="1"/>
  <c r="H31" i="13"/>
  <c r="L318" i="1"/>
  <c r="H63" i="2"/>
  <c r="H62" i="2"/>
  <c r="H29" i="2"/>
  <c r="F31" i="2"/>
  <c r="D104" i="2"/>
  <c r="G670" i="1"/>
  <c r="G673" i="1" s="1"/>
  <c r="C5" i="10" s="1"/>
  <c r="F668" i="1"/>
  <c r="F145" i="2"/>
  <c r="G668" i="1"/>
  <c r="G638" i="1"/>
  <c r="J638" i="1" s="1"/>
  <c r="H647" i="1"/>
  <c r="J647" i="1" s="1"/>
  <c r="C41" i="10"/>
  <c r="D38" i="10" s="1"/>
  <c r="G471" i="1" l="1"/>
  <c r="G477" i="1" s="1"/>
  <c r="H629" i="1"/>
  <c r="J629" i="1" s="1"/>
  <c r="H628" i="1"/>
  <c r="F471" i="1"/>
  <c r="F477" i="1" s="1"/>
  <c r="H623" i="1" s="1"/>
  <c r="J623" i="1" s="1"/>
  <c r="J628" i="1"/>
  <c r="H639" i="1"/>
  <c r="J639" i="1" s="1"/>
  <c r="J475" i="1"/>
  <c r="J477" i="1" s="1"/>
  <c r="H627" i="1" s="1"/>
  <c r="J627" i="1" s="1"/>
  <c r="C24" i="10"/>
  <c r="C114" i="2"/>
  <c r="E13" i="13"/>
  <c r="C13" i="13" s="1"/>
  <c r="G14" i="13"/>
  <c r="G33" i="13" s="1"/>
  <c r="J248" i="1"/>
  <c r="J258" i="1" s="1"/>
  <c r="J272" i="1" s="1"/>
  <c r="C19" i="10"/>
  <c r="C122" i="2"/>
  <c r="H122" i="2" s="1"/>
  <c r="L248" i="1"/>
  <c r="H33" i="13"/>
  <c r="C20" i="10"/>
  <c r="C123" i="2"/>
  <c r="H123" i="2" s="1"/>
  <c r="H104" i="2"/>
  <c r="K339" i="1"/>
  <c r="K353" i="1" s="1"/>
  <c r="E114" i="2"/>
  <c r="L329" i="1"/>
  <c r="E112" i="2"/>
  <c r="K36" i="14"/>
  <c r="K37" i="14" s="1"/>
  <c r="C13" i="10"/>
  <c r="H31" i="2"/>
  <c r="F51" i="2"/>
  <c r="F673" i="1"/>
  <c r="C4" i="10" s="1"/>
  <c r="D37" i="10"/>
  <c r="D36" i="10"/>
  <c r="D35" i="10"/>
  <c r="D40" i="10"/>
  <c r="D39" i="10"/>
  <c r="G40" i="1" l="1"/>
  <c r="H624" i="1"/>
  <c r="B33" i="16"/>
  <c r="H114" i="2"/>
  <c r="E33" i="13"/>
  <c r="D35" i="13" s="1"/>
  <c r="H257" i="1"/>
  <c r="L251" i="1"/>
  <c r="D14" i="13"/>
  <c r="C14" i="13" s="1"/>
  <c r="H649" i="1"/>
  <c r="J649" i="1" s="1"/>
  <c r="C128" i="2"/>
  <c r="H128" i="2" s="1"/>
  <c r="H112" i="2"/>
  <c r="E115" i="2"/>
  <c r="G38" i="14"/>
  <c r="H38" i="14" s="1"/>
  <c r="I38" i="14" s="1"/>
  <c r="D31" i="13"/>
  <c r="L339" i="1"/>
  <c r="L353" i="1" s="1"/>
  <c r="H661" i="1"/>
  <c r="D41" i="10"/>
  <c r="G51" i="1" l="1"/>
  <c r="D39" i="2"/>
  <c r="C113" i="2"/>
  <c r="C23" i="10"/>
  <c r="C28" i="10" s="1"/>
  <c r="D13" i="10" s="1"/>
  <c r="H258" i="1"/>
  <c r="H272" i="1" s="1"/>
  <c r="L257" i="1"/>
  <c r="L258" i="1" s="1"/>
  <c r="L272" i="1" s="1"/>
  <c r="G633" i="1" s="1"/>
  <c r="J633" i="1" s="1"/>
  <c r="G634" i="1"/>
  <c r="H473" i="1"/>
  <c r="C31" i="13"/>
  <c r="D33" i="13"/>
  <c r="D36" i="13" s="1"/>
  <c r="E145" i="2"/>
  <c r="H665" i="1"/>
  <c r="I661" i="1"/>
  <c r="I665" i="1" s="1"/>
  <c r="I668" i="1" s="1"/>
  <c r="H39" i="2" l="1"/>
  <c r="D50" i="2"/>
  <c r="G52" i="1"/>
  <c r="H619" i="1" s="1"/>
  <c r="J619" i="1" s="1"/>
  <c r="G624" i="1"/>
  <c r="J624" i="1" s="1"/>
  <c r="D20" i="10"/>
  <c r="D19" i="10"/>
  <c r="D24" i="10"/>
  <c r="D17" i="10"/>
  <c r="C30" i="10"/>
  <c r="D27" i="10"/>
  <c r="D21" i="10"/>
  <c r="D22" i="10"/>
  <c r="D26" i="10"/>
  <c r="D10" i="10"/>
  <c r="D18" i="10"/>
  <c r="D11" i="10"/>
  <c r="D25" i="10"/>
  <c r="D12" i="10"/>
  <c r="D23" i="10"/>
  <c r="D15" i="10"/>
  <c r="D16" i="10"/>
  <c r="H113" i="2"/>
  <c r="C115" i="2"/>
  <c r="H475" i="1"/>
  <c r="H477" i="1" s="1"/>
  <c r="H625" i="1" s="1"/>
  <c r="H634" i="1"/>
  <c r="J634" i="1" s="1"/>
  <c r="H668" i="1"/>
  <c r="H670" i="1"/>
  <c r="H50" i="2" l="1"/>
  <c r="D51" i="2"/>
  <c r="H51" i="2" s="1"/>
  <c r="D28" i="10"/>
  <c r="H115" i="2"/>
  <c r="C145" i="2"/>
  <c r="H145" i="2" s="1"/>
  <c r="J625" i="1"/>
  <c r="H657" i="1"/>
  <c r="H673" i="1"/>
  <c r="C6" i="10" s="1"/>
  <c r="I670" i="1"/>
  <c r="I673" i="1" s="1"/>
  <c r="C7"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<sst xmlns="http://schemas.openxmlformats.org/spreadsheetml/2006/main" count="6643" uniqueCount="1844">
  <si>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</si>
  <si>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</si>
  <si>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</si>
  <si>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</si>
  <si>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</si>
  <si>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</si>
  <si>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</si>
  <si>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</si>
  <si>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</si>
  <si>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</si>
  <si>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</si>
  <si>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</si>
  <si>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</si>
  <si>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</si>
  <si>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</si>
  <si>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</si>
  <si>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</si>
  <si>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</si>
  <si>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</si>
  <si>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</si>
  <si>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</si>
  <si>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</si>
  <si>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</si>
  <si>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</si>
  <si>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</si>
  <si>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</si>
  <si>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</si>
  <si>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</si>
  <si>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</si>
  <si>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</si>
  <si>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</si>
  <si>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</si>
  <si>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</si>
  <si>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</si>
  <si>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</si>
  <si>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</si>
  <si>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</si>
  <si>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</si>
  <si>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</si>
  <si>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</si>
  <si>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</si>
  <si>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</si>
  <si>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</si>
  <si>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</si>
  <si>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</si>
  <si>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</si>
  <si>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</si>
  <si>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</si>
  <si>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</si>
  <si>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</si>
  <si>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</si>
  <si>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</si>
  <si>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</si>
  <si>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</si>
  <si>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</si>
  <si>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</si>
  <si>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</si>
  <si>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</si>
  <si>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</si>
  <si>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</si>
  <si>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</si>
  <si>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</si>
  <si>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</si>
  <si>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</si>
  <si>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</si>
  <si>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</si>
  <si>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</si>
  <si>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</si>
  <si>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</si>
  <si>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</si>
  <si>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</si>
  <si>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</si>
  <si>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</si>
  <si>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</si>
  <si>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</si>
  <si>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</si>
  <si>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</si>
  <si>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</si>
  <si>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</si>
  <si>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</si>
  <si>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</si>
  <si>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</si>
  <si>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</si>
  <si>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</si>
  <si>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</si>
  <si>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</si>
  <si>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</si>
  <si>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</si>
  <si>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</si>
  <si>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</si>
  <si>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</si>
  <si>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</si>
  <si>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</si>
  <si>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</si>
  <si>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</si>
  <si>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</si>
  <si>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</si>
  <si>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</si>
  <si>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</si>
  <si>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</si>
  <si>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</si>
  <si>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</si>
  <si>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</si>
  <si>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</si>
  <si>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</si>
  <si>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</si>
  <si>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</si>
  <si>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</si>
  <si>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</si>
  <si>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</si>
  <si>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</si>
  <si>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</si>
  <si>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</si>
  <si>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</si>
  <si>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</si>
  <si>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</si>
  <si>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</si>
  <si>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</si>
  <si>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</si>
  <si>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</si>
  <si>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</si>
  <si>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</si>
  <si>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</si>
  <si>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</si>
  <si>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</si>
  <si>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</si>
  <si>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</si>
  <si>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</si>
  <si>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</si>
  <si>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</si>
  <si>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</si>
  <si>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</si>
  <si>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</si>
  <si>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</si>
  <si>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</si>
  <si>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</si>
  <si>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</si>
  <si>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</si>
  <si>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</si>
  <si>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</si>
  <si>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</si>
  <si>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</si>
  <si>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</si>
  <si>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</si>
  <si>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</si>
  <si>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</si>
  <si>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</si>
  <si>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</si>
  <si>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</si>
  <si>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</si>
  <si>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</si>
  <si>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</si>
  <si>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</si>
  <si>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</si>
  <si>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</si>
  <si>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</si>
  <si>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</si>
  <si>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</si>
  <si>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</si>
  <si>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</si>
  <si>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</si>
  <si>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</si>
  <si>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</si>
  <si>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</si>
  <si>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</si>
  <si>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</si>
  <si>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</si>
  <si>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</si>
  <si>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</si>
  <si>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</si>
  <si>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</si>
  <si>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</si>
  <si>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</si>
  <si>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</si>
  <si>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</si>
  <si>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</si>
  <si>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</si>
  <si>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</si>
  <si>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</si>
  <si>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</si>
  <si>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</si>
  <si>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</si>
  <si>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</si>
  <si>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</si>
  <si>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</si>
  <si>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</si>
  <si>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</si>
  <si>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</si>
  <si>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</si>
  <si>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</si>
  <si>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</si>
  <si>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</si>
  <si>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</si>
  <si>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</si>
  <si>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</si>
  <si>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</si>
  <si>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</si>
  <si>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</si>
  <si>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</si>
  <si>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</si>
  <si>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</si>
  <si>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</si>
  <si>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</si>
  <si>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</si>
  <si>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</si>
  <si>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</si>
  <si>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</si>
  <si>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</si>
  <si>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</si>
  <si>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</si>
  <si>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</si>
  <si>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</si>
  <si>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</si>
  <si>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</si>
  <si>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</si>
  <si>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</si>
  <si>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</si>
  <si>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</si>
  <si>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</si>
  <si>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</si>
  <si>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</si>
  <si>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</si>
  <si>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</si>
  <si>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</si>
  <si>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</si>
  <si>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</si>
  <si>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</si>
  <si>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</si>
  <si>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</si>
  <si>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</si>
  <si>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</si>
  <si>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</si>
  <si>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</si>
  <si>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</si>
  <si>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</si>
  <si>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</si>
  <si>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</si>
  <si>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</si>
  <si>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</si>
  <si>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</si>
  <si>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</si>
  <si>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</si>
  <si>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</si>
  <si>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</si>
  <si>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</si>
  <si>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</si>
  <si>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</si>
  <si>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</si>
  <si>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</si>
  <si>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</si>
  <si>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</si>
  <si>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</si>
  <si>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</si>
  <si>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</si>
  <si>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</si>
  <si>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</si>
  <si>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</si>
  <si>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</si>
  <si>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</si>
  <si>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</si>
  <si>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</si>
  <si>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</si>
  <si>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</si>
  <si>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</si>
  <si>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</si>
  <si>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</si>
  <si>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</si>
  <si>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</si>
  <si>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</si>
  <si>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</si>
  <si>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</si>
  <si>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</si>
  <si>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</si>
  <si>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</si>
  <si>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</si>
  <si>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</si>
  <si>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</si>
  <si>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</si>
  <si>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</si>
  <si>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</si>
  <si>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</si>
  <si>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</si>
  <si>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</si>
  <si>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</si>
  <si>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</si>
  <si>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</si>
  <si>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</si>
  <si>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</si>
  <si>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</si>
  <si>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</si>
  <si>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</si>
  <si>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</si>
  <si>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</si>
  <si>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</si>
  <si>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</si>
  <si>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</si>
  <si>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</si>
  <si>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</si>
  <si>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</si>
  <si>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</si>
  <si>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</si>
  <si>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</si>
  <si>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</si>
  <si>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</si>
  <si>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</si>
  <si>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</si>
  <si>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</si>
  <si>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</si>
  <si>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</si>
  <si>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</si>
  <si>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</si>
  <si>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</si>
  <si>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</si>
  <si>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</si>
  <si>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</si>
  <si>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</si>
  <si>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</si>
  <si>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</si>
  <si>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</si>
  <si>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</si>
  <si>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</si>
  <si>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</si>
  <si>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</si>
  <si>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</si>
  <si>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</si>
  <si>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</si>
  <si>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</si>
  <si>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</si>
  <si>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</si>
  <si>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</si>
  <si>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</si>
  <si>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</si>
  <si>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</si>
  <si>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</si>
  <si>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</si>
  <si>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</si>
  <si>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</si>
  <si>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</si>
  <si>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</si>
  <si>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</si>
  <si>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</si>
  <si>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</si>
  <si>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</si>
  <si>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</si>
  <si>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</si>
  <si>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</si>
  <si>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</si>
  <si>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</si>
  <si>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</si>
  <si>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</si>
  <si>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</si>
  <si>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</si>
  <si>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</si>
  <si>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</si>
  <si>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</si>
  <si>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</si>
  <si>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</si>
  <si>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</si>
  <si>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</si>
  <si>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</si>
  <si>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</si>
  <si>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</si>
  <si>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</si>
  <si>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</si>
  <si>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</si>
  <si>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</si>
  <si>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</si>
  <si>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</si>
  <si>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</si>
  <si>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</si>
  <si>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</si>
  <si>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</si>
  <si>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</si>
  <si>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</si>
  <si>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</si>
  <si>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</si>
  <si>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</si>
  <si>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</si>
  <si>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</si>
  <si>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</si>
  <si>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</si>
  <si>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</si>
  <si>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</si>
  <si>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</si>
  <si>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</si>
  <si>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</si>
  <si>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</si>
  <si>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</si>
  <si>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</si>
  <si>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</si>
  <si>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</si>
  <si>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</si>
  <si>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</si>
  <si>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</si>
  <si>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</si>
  <si>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</si>
  <si>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</si>
  <si>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</si>
  <si>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</si>
  <si>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</si>
  <si>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</si>
  <si>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</si>
  <si>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</si>
  <si>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</si>
  <si>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</si>
  <si>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</si>
  <si>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</si>
  <si>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</si>
  <si>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</si>
  <si>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</si>
  <si>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</si>
  <si>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</si>
  <si>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</si>
  <si>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</si>
  <si>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</si>
  <si>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</si>
  <si>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</si>
  <si>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</si>
  <si>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</si>
  <si>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</si>
  <si>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</si>
  <si>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</si>
  <si>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</si>
  <si>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</si>
  <si>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</si>
  <si>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</si>
  <si>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</si>
  <si>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</si>
  <si>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</si>
  <si>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</si>
  <si>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</si>
  <si>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</si>
  <si>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</si>
  <si>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</si>
  <si>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</si>
  <si>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</si>
  <si>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</si>
  <si>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</si>
  <si>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</si>
  <si>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</si>
  <si>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</si>
  <si>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</si>
  <si>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</si>
  <si>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</si>
  <si>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</si>
  <si>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</si>
  <si>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</si>
  <si>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</si>
  <si>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</si>
  <si>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</si>
  <si>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</si>
  <si>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</si>
  <si>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</si>
  <si>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</si>
  <si>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</si>
  <si>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</si>
  <si>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</si>
  <si>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</si>
  <si>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</si>
  <si>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</si>
  <si>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</si>
  <si>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</si>
  <si>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</si>
  <si>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</si>
  <si>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</si>
  <si>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</si>
  <si>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</si>
  <si>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</si>
  <si>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</si>
  <si>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</si>
  <si>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</si>
  <si>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</si>
  <si>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</si>
  <si>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</si>
  <si>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</si>
  <si>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</si>
  <si>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</si>
  <si>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</si>
  <si>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</si>
  <si>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</si>
  <si>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</si>
  <si>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</si>
  <si>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</si>
  <si>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</si>
  <si>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</si>
  <si>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</si>
  <si>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</si>
  <si>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</si>
  <si>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</si>
  <si>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</si>
  <si>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</si>
  <si>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</si>
  <si>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</si>
  <si>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</si>
  <si>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</si>
  <si>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</si>
  <si>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</si>
  <si>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</si>
  <si>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</si>
  <si>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</si>
  <si>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</si>
  <si>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</si>
  <si>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</si>
  <si>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</si>
  <si>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</si>
  <si>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</si>
  <si>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</si>
  <si>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</si>
  <si>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</si>
  <si>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</si>
  <si>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</si>
  <si>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</si>
  <si>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</si>
  <si>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</si>
  <si>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</si>
  <si>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</si>
  <si>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</si>
  <si>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</si>
  <si>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</si>
  <si>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</si>
  <si>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</si>
  <si>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</si>
  <si>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</si>
  <si>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</si>
  <si>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</si>
  <si>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</si>
  <si>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</si>
  <si>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</si>
  <si>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</si>
  <si>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</si>
  <si>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</si>
  <si>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</si>
  <si>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</si>
  <si>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</si>
  <si>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</si>
  <si>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</si>
  <si>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</si>
  <si>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</si>
  <si>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</si>
  <si>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</si>
  <si>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</si>
  <si>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</si>
  <si>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</si>
  <si>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</si>
  <si>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</si>
  <si>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</si>
  <si>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</si>
  <si>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</si>
  <si>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</si>
  <si>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</si>
  <si>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</si>
  <si>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</si>
  <si>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</si>
  <si>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</si>
  <si>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</si>
  <si>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</si>
  <si>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</si>
  <si>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</si>
  <si>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</si>
  <si>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</si>
  <si>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</si>
  <si>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</si>
  <si>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</si>
  <si>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</si>
  <si>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</si>
  <si>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</si>
  <si>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</si>
  <si>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</si>
  <si>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</si>
  <si>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</si>
  <si>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</si>
  <si>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</si>
  <si>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</si>
  <si>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</si>
  <si>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</si>
  <si>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</si>
  <si>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</si>
  <si>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</si>
  <si>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</si>
  <si>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</si>
  <si>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</si>
  <si>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</si>
  <si>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</si>
  <si>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</si>
  <si>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</si>
  <si>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</si>
  <si>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</si>
  <si>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</si>
  <si>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</si>
  <si>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</si>
  <si>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</si>
  <si>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</si>
  <si>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</si>
  <si>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</si>
  <si>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</si>
  <si>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</si>
  <si>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</si>
  <si>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</si>
  <si>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</si>
  <si>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</si>
  <si>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</si>
  <si>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</si>
  <si>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</si>
  <si>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</si>
  <si>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</si>
  <si>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</si>
  <si>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</si>
  <si>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</si>
  <si>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</si>
  <si>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</si>
  <si>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</si>
  <si>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</si>
  <si>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</si>
  <si>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</si>
  <si>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</si>
  <si>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</si>
  <si>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</si>
  <si>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</si>
  <si>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</si>
  <si>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</si>
  <si>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</si>
  <si>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</si>
  <si>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</si>
  <si>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</si>
  <si>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</si>
  <si>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</si>
  <si>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</si>
  <si>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</si>
  <si>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</si>
  <si>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</si>
  <si>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</si>
  <si>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</si>
  <si>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</si>
  <si>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</si>
  <si>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</si>
  <si>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</si>
  <si>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</si>
  <si>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</si>
  <si>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</si>
  <si>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</si>
  <si>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</si>
  <si>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</si>
  <si>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</si>
  <si>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</si>
  <si>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</si>
  <si>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</si>
  <si>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</si>
  <si>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</si>
  <si>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</si>
  <si>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</si>
  <si>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</si>
  <si>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</si>
  <si>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</si>
  <si>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</si>
  <si>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</si>
  <si>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</si>
  <si>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</si>
  <si>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</si>
  <si>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</si>
  <si>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</si>
  <si>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</si>
  <si>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</si>
  <si>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</si>
  <si>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</si>
  <si>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</si>
  <si>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</si>
  <si>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</si>
  <si>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</si>
  <si>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</si>
  <si>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</si>
  <si>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</si>
  <si>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</si>
  <si>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</si>
  <si>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</si>
  <si>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</si>
  <si>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</si>
  <si>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</si>
  <si>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</si>
  <si>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</si>
  <si>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</si>
  <si>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</si>
  <si>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</si>
  <si>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</si>
  <si>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</si>
  <si>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</si>
  <si>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</si>
  <si>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</si>
  <si>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</si>
  <si>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</si>
  <si>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</si>
  <si>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</si>
  <si>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</si>
  <si>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</si>
  <si>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</si>
  <si>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</si>
  <si>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</si>
  <si>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</si>
  <si>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</si>
  <si>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</si>
  <si>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</si>
  <si>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</si>
  <si>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</si>
  <si>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</si>
  <si>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</si>
  <si>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</si>
  <si>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</si>
  <si>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</si>
  <si>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</si>
  <si>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</si>
  <si>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</si>
  <si>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</si>
  <si>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</si>
  <si>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</si>
  <si>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</si>
  <si>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</si>
  <si>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</si>
  <si>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</si>
  <si>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</si>
  <si>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</si>
  <si>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</si>
  <si>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</si>
  <si>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</si>
  <si>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</si>
  <si>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</si>
  <si>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</si>
  <si>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</si>
  <si>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</si>
  <si>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</si>
  <si>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</si>
  <si>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</si>
  <si>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</si>
  <si>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</si>
  <si>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</si>
  <si>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</si>
  <si>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</si>
  <si>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</si>
  <si>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</si>
  <si>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</si>
  <si>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</si>
  <si>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</si>
  <si>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</si>
  <si>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</si>
  <si>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</si>
  <si>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</si>
  <si>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</si>
  <si>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</si>
  <si>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</si>
  <si>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</si>
  <si>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</si>
  <si>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</si>
  <si>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</si>
  <si>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</si>
  <si>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</si>
  <si>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</si>
  <si>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</si>
  <si>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</si>
  <si>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</si>
  <si>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</si>
  <si>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</si>
  <si>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</si>
  <si>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</si>
  <si>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</si>
  <si>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</si>
  <si>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</si>
  <si>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</si>
  <si>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</si>
  <si>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</si>
  <si>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</si>
  <si>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</si>
  <si>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</si>
  <si>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</si>
  <si>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</si>
  <si>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</si>
  <si>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</si>
  <si>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</si>
  <si>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</si>
  <si>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</si>
  <si>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</si>
  <si>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</si>
  <si>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</si>
  <si>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</si>
  <si>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</si>
  <si>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</si>
  <si>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</si>
  <si>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</si>
  <si>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</si>
  <si>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</si>
  <si>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</si>
  <si>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</si>
  <si>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</si>
  <si>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</si>
  <si>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</si>
  <si>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</si>
  <si>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</si>
  <si>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</si>
  <si>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</si>
  <si>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</si>
  <si>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</si>
  <si>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</si>
  <si>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</si>
  <si>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</si>
  <si>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</si>
  <si>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</si>
  <si>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</si>
  <si>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</si>
  <si>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</si>
  <si>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</si>
  <si>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</si>
  <si>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</si>
  <si>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</si>
  <si>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</si>
  <si>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</si>
  <si>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</si>
  <si>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</si>
  <si>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</si>
  <si>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</si>
  <si>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</si>
  <si>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</si>
  <si>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</si>
  <si>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</si>
  <si>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</si>
  <si>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</si>
  <si>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</si>
  <si>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</si>
  <si>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</si>
  <si>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</si>
  <si>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</si>
  <si>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</si>
  <si>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</si>
  <si>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</si>
  <si>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</si>
  <si>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</si>
  <si>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</si>
  <si>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</si>
  <si>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</si>
  <si>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</si>
  <si>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</si>
  <si>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</si>
  <si>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</si>
  <si>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</si>
  <si>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</si>
  <si>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</si>
  <si>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</si>
  <si>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</si>
  <si>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</si>
  <si>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</si>
  <si>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</si>
  <si>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</si>
  <si>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</si>
  <si>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</si>
  <si>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</si>
  <si>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</si>
  <si>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</si>
  <si>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</si>
  <si>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</si>
  <si>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</si>
  <si>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</si>
  <si>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</si>
  <si>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</si>
  <si>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</si>
  <si>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</si>
  <si>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</si>
  <si>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</si>
  <si>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</si>
  <si>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</si>
  <si>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</si>
  <si>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</si>
  <si>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</si>
  <si>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</si>
  <si>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</si>
  <si>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</si>
  <si>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</si>
  <si>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</si>
  <si>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</si>
  <si>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</si>
  <si>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</si>
  <si>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</si>
  <si>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</si>
  <si>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</si>
  <si>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</si>
  <si>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</si>
  <si>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</si>
  <si>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</si>
  <si>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</si>
  <si>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</si>
  <si>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</si>
  <si>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</si>
  <si>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</si>
  <si>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</si>
  <si>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</si>
  <si>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</si>
  <si>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</si>
  <si>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</si>
  <si>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</si>
  <si>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</si>
  <si>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</si>
  <si>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</si>
  <si>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</si>
  <si>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</si>
  <si>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</si>
  <si>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</si>
  <si>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</si>
  <si>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</si>
  <si>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</si>
  <si>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</si>
  <si>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</si>
  <si>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</si>
  <si>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</si>
  <si>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</si>
  <si>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</si>
  <si>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</si>
  <si>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</si>
  <si>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</si>
  <si>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</si>
  <si>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</si>
  <si>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</si>
  <si>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</si>
  <si>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</si>
  <si>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</si>
  <si>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</si>
  <si>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</si>
  <si>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</si>
  <si>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</si>
  <si>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</si>
  <si>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</si>
  <si>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</si>
  <si>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</si>
  <si>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</si>
  <si>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</si>
  <si>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</si>
  <si>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</si>
  <si>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</si>
  <si>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</si>
  <si>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</si>
  <si>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</si>
  <si>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</si>
  <si>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</si>
  <si>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</si>
  <si>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</si>
  <si>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</si>
  <si>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</si>
  <si>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</si>
  <si>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</si>
  <si>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</si>
  <si>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</si>
  <si>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</si>
  <si>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</si>
  <si>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</si>
  <si>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</si>
  <si>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</si>
  <si>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</si>
  <si>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</si>
  <si>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</si>
  <si>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</si>
  <si>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</si>
  <si>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</si>
  <si>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</si>
  <si>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</si>
  <si>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</si>
  <si>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</si>
  <si>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</si>
  <si>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</si>
  <si>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</si>
  <si>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</si>
  <si>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</si>
  <si>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</si>
  <si>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</si>
  <si>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</si>
  <si>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</si>
  <si>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</si>
  <si>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</si>
  <si>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</si>
  <si>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</si>
  <si>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</si>
  <si>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</si>
  <si>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</si>
  <si>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</si>
  <si>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</si>
  <si>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</si>
  <si>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</si>
  <si>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</si>
  <si>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</si>
  <si>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</si>
  <si>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</si>
  <si>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</si>
  <si>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</si>
  <si>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</si>
  <si>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</si>
  <si>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</si>
  <si>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</si>
  <si>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</si>
  <si>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</si>
  <si>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</si>
  <si>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</si>
  <si>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</si>
  <si>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</si>
  <si>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</si>
  <si>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</si>
  <si>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</si>
  <si>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</si>
  <si>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</si>
  <si>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</si>
  <si>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</si>
  <si>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</si>
  <si>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</si>
  <si>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</si>
  <si>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</si>
  <si>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</si>
  <si>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</si>
  <si>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</si>
  <si>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</si>
  <si>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</si>
  <si>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</si>
  <si>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</si>
  <si>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</si>
  <si>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</si>
  <si>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</si>
  <si>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</si>
  <si>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</si>
  <si>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</si>
  <si>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</si>
  <si>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</si>
  <si>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</si>
  <si>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</si>
  <si>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</si>
  <si>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</si>
  <si>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</si>
  <si>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</si>
  <si>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</si>
  <si>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</si>
  <si>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</si>
  <si>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</si>
  <si>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</si>
  <si>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</si>
  <si>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</si>
  <si>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</si>
  <si>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</si>
  <si>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</si>
  <si>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</si>
  <si>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</si>
  <si>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</si>
  <si>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</si>
  <si>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</si>
  <si>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</si>
  <si>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</si>
  <si>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</si>
  <si>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</si>
  <si>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</si>
  <si>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</si>
  <si>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</si>
  <si>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</si>
  <si>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</si>
  <si>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</si>
  <si>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</si>
  <si>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</si>
  <si>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</si>
  <si>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</si>
  <si>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</si>
  <si>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</si>
  <si>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</si>
  <si>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</si>
  <si>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</si>
  <si>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</si>
  <si>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</si>
  <si>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</si>
  <si>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</si>
  <si>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</si>
  <si>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</si>
  <si>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</si>
  <si>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</si>
  <si>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</si>
  <si>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</si>
  <si>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</si>
  <si>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</si>
  <si>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</si>
  <si>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</si>
  <si>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</si>
  <si>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</si>
  <si>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</si>
  <si>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</si>
  <si>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</si>
  <si>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</si>
  <si>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</si>
  <si>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</si>
  <si>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</si>
  <si>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</si>
  <si>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</si>
  <si>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</si>
  <si>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</si>
  <si>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</si>
  <si>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</si>
  <si>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</si>
  <si>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</si>
  <si>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</si>
  <si>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</si>
  <si>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</si>
  <si>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</si>
  <si>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</si>
  <si>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</si>
  <si>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</si>
  <si>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</si>
  <si>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</si>
  <si>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</si>
  <si>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</si>
  <si>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</si>
  <si>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</si>
  <si>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</si>
  <si>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</si>
  <si>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</si>
  <si>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</si>
  <si>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</si>
  <si>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</si>
  <si>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</si>
  <si>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</si>
  <si>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</si>
  <si>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</si>
  <si>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</si>
  <si>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</si>
  <si>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</si>
  <si>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</si>
  <si>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</si>
  <si>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</si>
  <si>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</si>
  <si>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</si>
  <si>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</si>
  <si>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</si>
  <si>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</si>
  <si>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</si>
  <si>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</si>
  <si>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</si>
  <si>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</si>
  <si>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</si>
  <si>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</si>
  <si>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</si>
  <si>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</si>
  <si>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</si>
  <si>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</si>
  <si>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</si>
  <si>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</si>
  <si>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</si>
  <si>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</si>
  <si>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</si>
  <si>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</si>
  <si>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</si>
  <si>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</si>
  <si>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</si>
  <si>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</si>
  <si>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</si>
  <si>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</si>
  <si>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</si>
  <si>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</si>
  <si>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</si>
  <si>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</si>
  <si>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</si>
  <si>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</si>
  <si>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</si>
  <si>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</si>
  <si>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</si>
  <si>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</si>
  <si>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</si>
  <si>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</si>
  <si>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</si>
  <si>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</si>
  <si>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</si>
  <si>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</si>
  <si>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</si>
  <si>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</si>
  <si>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</si>
  <si>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</si>
  <si>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</si>
  <si>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</si>
  <si>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</si>
  <si>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</si>
  <si>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</si>
  <si>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</si>
  <si>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</si>
  <si>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</si>
  <si>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</si>
  <si>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</si>
  <si>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</si>
  <si>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</si>
  <si>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</si>
  <si>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</si>
  <si>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</si>
  <si>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</si>
  <si>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</si>
  <si>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</si>
  <si>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</si>
  <si>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</si>
  <si>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</si>
  <si>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</si>
  <si>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</si>
  <si>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</si>
  <si>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</si>
  <si>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</si>
  <si>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</si>
  <si>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</si>
  <si>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</si>
  <si>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</si>
  <si>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</si>
  <si>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</si>
  <si>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</si>
  <si>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</si>
  <si>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</si>
  <si>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</si>
  <si>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</si>
  <si>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</si>
  <si>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</si>
  <si>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</si>
  <si>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</si>
  <si>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</si>
  <si>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</si>
  <si>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</si>
  <si>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</si>
  <si>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</si>
  <si>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</si>
  <si>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</si>
  <si>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</si>
  <si>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</si>
  <si>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</si>
  <si>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</si>
  <si>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</si>
  <si>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</si>
  <si>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</si>
  <si>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</si>
  <si>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</si>
  <si>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</si>
  <si>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</si>
  <si>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</si>
  <si>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</si>
  <si>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</si>
  <si>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</si>
  <si>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</si>
  <si>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</si>
  <si>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</si>
  <si>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</si>
  <si>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</si>
  <si>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</si>
  <si>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</si>
  <si>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</si>
  <si>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</si>
  <si>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</si>
  <si>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</si>
  <si>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</si>
  <si>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</si>
  <si>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</si>
  <si>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</si>
  <si>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</si>
  <si>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</si>
  <si>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</si>
  <si>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</si>
  <si>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</si>
  <si>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</si>
  <si>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</si>
  <si>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</si>
  <si>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</si>
  <si>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</si>
  <si>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</si>
  <si>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</si>
  <si>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</si>
  <si>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</si>
  <si>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</si>
  <si>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</si>
  <si>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</si>
  <si>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</si>
  <si>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</si>
  <si>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</si>
  <si>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</si>
  <si>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</si>
  <si>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</si>
  <si>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</si>
  <si>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</si>
  <si>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</si>
  <si>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</si>
  <si>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</si>
  <si>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</si>
  <si>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</si>
  <si>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</si>
  <si>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</si>
  <si>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</si>
  <si>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</si>
  <si>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</si>
  <si>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</si>
  <si>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</si>
  <si>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</si>
  <si>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</si>
  <si>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</si>
  <si>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</si>
  <si>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</si>
  <si>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</si>
  <si>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</si>
  <si>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</si>
  <si>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</si>
  <si>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</si>
  <si>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</si>
  <si>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</si>
  <si>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</si>
  <si>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</si>
  <si>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</si>
  <si>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</si>
  <si>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</si>
  <si>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</si>
  <si>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</si>
  <si>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</si>
  <si>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</si>
  <si>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</si>
  <si>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</si>
  <si>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</si>
  <si>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</si>
  <si>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</si>
  <si>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</si>
  <si>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</si>
  <si>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</si>
  <si>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</si>
  <si>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</si>
  <si>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</si>
  <si>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</si>
  <si>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</si>
  <si>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</si>
  <si>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</si>
  <si>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</si>
  <si>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</si>
  <si>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</si>
  <si>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</si>
  <si>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</si>
  <si>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</si>
  <si>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</si>
  <si>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</si>
  <si>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</si>
  <si>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</si>
  <si>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</si>
  <si>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</si>
  <si>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</si>
  <si>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</si>
  <si>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</si>
  <si>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</si>
  <si>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</si>
  <si>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</si>
  <si>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</si>
  <si>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</si>
  <si>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</si>
  <si>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</si>
  <si>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</si>
  <si>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</si>
  <si>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</si>
  <si>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</si>
  <si>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</si>
  <si>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</si>
  <si>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</si>
  <si>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</si>
  <si>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</si>
  <si>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</si>
  <si>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</si>
  <si>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</si>
  <si>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</si>
  <si>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</si>
  <si>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</si>
  <si>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</si>
  <si>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</si>
  <si>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</si>
  <si>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</si>
  <si>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</si>
  <si>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</si>
  <si>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</si>
  <si>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</si>
  <si>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</si>
  <si>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</si>
  <si>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</si>
  <si>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</si>
  <si>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</si>
  <si>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</si>
  <si>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</si>
  <si>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</si>
  <si>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</si>
  <si>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</si>
  <si>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</si>
  <si>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</si>
  <si>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</si>
  <si>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</si>
  <si>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</si>
  <si>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</si>
  <si>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</si>
  <si>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</si>
  <si>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</si>
  <si>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</si>
  <si>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</si>
  <si>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</si>
  <si>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</si>
  <si>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</si>
  <si>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</si>
  <si>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</si>
  <si>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</si>
  <si>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</si>
  <si>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</si>
  <si>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</si>
  <si>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</si>
  <si>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</si>
  <si>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</si>
  <si>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</si>
  <si>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</si>
  <si>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</si>
  <si>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</si>
  <si>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</si>
  <si>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</si>
  <si>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</si>
  <si>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</si>
  <si>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</si>
  <si>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</si>
  <si>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</si>
  <si>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</si>
  <si>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</si>
  <si>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</si>
  <si>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</si>
  <si>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</si>
  <si>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</si>
  <si>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</si>
  <si>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</si>
  <si>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</si>
  <si>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</si>
  <si>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</si>
  <si>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</si>
  <si>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</si>
  <si>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</si>
  <si>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</si>
  <si>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</si>
  <si>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</si>
  <si>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</si>
  <si>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</si>
  <si>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</si>
  <si>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</si>
  <si>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</si>
  <si>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</si>
  <si>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</si>
  <si>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</si>
  <si>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</si>
  <si>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</si>
  <si>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</si>
  <si>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</si>
  <si>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</si>
  <si>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</si>
  <si>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</si>
  <si>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</si>
  <si>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</si>
  <si>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</si>
  <si>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</si>
  <si>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</si>
  <si>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</si>
  <si>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</si>
  <si>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</si>
  <si>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</si>
  <si>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</si>
  <si>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</si>
  <si>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</si>
  <si>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</si>
  <si>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</si>
  <si>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</si>
  <si>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</si>
  <si>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</si>
  <si>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</si>
  <si>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</si>
  <si>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</si>
  <si>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</si>
  <si>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</si>
  <si>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</si>
  <si>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</si>
  <si>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</si>
  <si>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</si>
  <si>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</si>
  <si>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</si>
  <si>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</si>
  <si>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</si>
  <si>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</si>
  <si>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</si>
  <si>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</si>
  <si>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</si>
  <si>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</si>
  <si>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</si>
  <si>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</si>
  <si>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</si>
  <si>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</si>
  <si>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</si>
  <si>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</si>
  <si>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</si>
  <si>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</si>
  <si>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</si>
  <si>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</si>
  <si>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</si>
  <si>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</si>
  <si>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</si>
  <si>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</si>
  <si>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</si>
  <si>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</si>
  <si>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</si>
  <si>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</si>
  <si>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</si>
  <si>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</si>
  <si>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</si>
  <si>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</si>
  <si>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</si>
  <si>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</si>
  <si>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</si>
  <si>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</si>
  <si>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</si>
  <si>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</si>
  <si>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</si>
  <si>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</si>
  <si>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</si>
  <si>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</si>
  <si>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</si>
  <si>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</si>
  <si>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</si>
  <si>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</si>
  <si>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</si>
  <si>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</si>
  <si>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</si>
  <si>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</si>
  <si>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</si>
  <si>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</si>
  <si>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</si>
  <si>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</si>
  <si>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</si>
  <si>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</si>
  <si>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</si>
  <si>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</si>
  <si>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</si>
  <si>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</si>
  <si>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</si>
  <si>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</si>
  <si>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</si>
  <si>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</si>
  <si>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</si>
  <si>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</si>
  <si>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</si>
  <si>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</si>
  <si>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</si>
  <si>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</si>
  <si>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</si>
  <si>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</si>
  <si>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</si>
  <si>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</si>
  <si>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</si>
  <si>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</si>
  <si>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</si>
  <si>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</si>
  <si>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</si>
  <si>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</si>
  <si>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</si>
  <si>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</si>
  <si>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</si>
  <si>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</si>
  <si>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</si>
  <si>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</si>
  <si>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</si>
  <si>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</si>
  <si>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</si>
  <si>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</si>
  <si>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</si>
  <si>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</si>
  <si>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</si>
  <si>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</si>
  <si>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</si>
  <si>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</si>
  <si>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</si>
  <si>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</si>
  <si>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</si>
  <si>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</si>
  <si>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</si>
  <si>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</si>
  <si>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</si>
  <si>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</si>
  <si>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</si>
  <si>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</si>
  <si>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</si>
  <si>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</si>
  <si>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</si>
  <si>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</si>
  <si>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</si>
  <si>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</si>
  <si>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</si>
  <si>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</si>
  <si>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</si>
  <si>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</si>
  <si>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</si>
  <si>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</si>
  <si>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</si>
  <si>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</si>
  <si>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</si>
  <si>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</si>
  <si>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</si>
  <si>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</si>
  <si>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</si>
  <si>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</si>
  <si>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</si>
  <si>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</si>
  <si>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</si>
  <si>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</si>
  <si>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</si>
  <si>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</si>
  <si>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</si>
  <si>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</si>
  <si>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</si>
  <si>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</si>
  <si>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</si>
  <si>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</si>
  <si>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</si>
  <si>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</si>
  <si>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</si>
  <si>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</si>
  <si>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</si>
  <si>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</si>
  <si>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</si>
  <si>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</si>
  <si>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</si>
  <si>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</si>
  <si>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</si>
  <si>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</si>
  <si>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</si>
  <si>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</si>
  <si>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</si>
  <si>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</si>
  <si>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</si>
  <si>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</si>
  <si>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</si>
  <si>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</si>
  <si>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</si>
  <si>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</si>
  <si>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</si>
  <si>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</si>
  <si>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</si>
  <si>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</si>
  <si>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</si>
  <si>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</si>
  <si>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</si>
  <si>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</si>
  <si>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</si>
  <si>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</si>
  <si>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</si>
  <si>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</si>
  <si>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</si>
  <si>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</si>
  <si>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</si>
  <si>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</si>
  <si>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</si>
  <si>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</si>
  <si>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</si>
  <si>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</si>
  <si>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</si>
  <si>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</si>
  <si>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</si>
  <si>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</si>
  <si>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</si>
  <si>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</si>
  <si>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</si>
  <si>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</si>
  <si>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</si>
  <si>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</si>
  <si>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</si>
  <si>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</si>
  <si>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</si>
  <si>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</si>
  <si>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</si>
  <si>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</si>
  <si>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</si>
  <si>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</si>
  <si>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</si>
  <si>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</si>
  <si>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</si>
  <si>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</si>
  <si>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</si>
  <si>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</si>
  <si>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</si>
  <si>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</si>
  <si>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</si>
  <si>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</si>
  <si>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</si>
  <si>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</si>
  <si>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</si>
  <si>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</si>
  <si>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</si>
  <si>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</si>
  <si>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</si>
  <si>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</si>
  <si>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</si>
  <si>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</si>
  <si>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</si>
  <si>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</si>
  <si>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</si>
  <si>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</si>
  <si>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</si>
  <si>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</si>
  <si>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</si>
  <si>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</si>
  <si>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</si>
  <si>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</si>
  <si>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</si>
  <si>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</si>
  <si>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</si>
  <si>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</si>
  <si>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</si>
  <si>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</si>
  <si>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</si>
  <si>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</si>
  <si>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</si>
  <si>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</si>
  <si>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</si>
  <si>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</si>
  <si>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</si>
  <si>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</si>
  <si>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</si>
  <si>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</si>
  <si>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</si>
  <si>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</si>
  <si>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</si>
  <si>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</si>
  <si>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</si>
  <si>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</si>
  <si>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</si>
  <si>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</si>
  <si>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</si>
  <si>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</si>
  <si>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</si>
  <si>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</si>
  <si>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</si>
  <si>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</si>
  <si>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</si>
  <si>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</si>
  <si>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</si>
  <si>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</si>
  <si>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</si>
  <si>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</si>
  <si>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</si>
  <si>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</si>
  <si>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</si>
  <si>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</si>
  <si>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</si>
  <si>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</si>
  <si>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</si>
  <si>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</si>
  <si>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</si>
  <si>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</si>
  <si>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</si>
  <si>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</si>
  <si>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</si>
  <si>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</si>
  <si>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</si>
  <si>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</si>
  <si>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</si>
  <si>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</si>
  <si>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</si>
  <si>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</si>
  <si>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</si>
  <si>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</si>
  <si>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</si>
  <si>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</si>
  <si>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</si>
  <si>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</si>
  <si>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</si>
  <si>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</si>
  <si>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</si>
  <si>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</si>
  <si>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</si>
  <si>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</si>
  <si>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</si>
  <si>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</si>
  <si>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</si>
  <si>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</si>
  <si>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</si>
  <si>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</si>
  <si>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</si>
  <si>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</si>
  <si>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</si>
  <si>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</si>
  <si>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</si>
  <si>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</si>
  <si>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</si>
  <si>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</si>
  <si>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</si>
  <si>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</si>
  <si>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</si>
  <si>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</si>
  <si>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</si>
  <si>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</si>
  <si>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</si>
  <si>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</si>
  <si>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</si>
  <si>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</si>
  <si>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</si>
  <si>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</si>
  <si>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</si>
  <si>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</si>
  <si>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</si>
  <si>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</si>
  <si>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</si>
  <si>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</si>
  <si>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</si>
  <si>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</si>
  <si>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</si>
  <si>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</si>
  <si>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</si>
  <si>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</si>
  <si>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</si>
  <si>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</si>
  <si>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</si>
  <si>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</si>
  <si>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</si>
  <si>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</si>
  <si>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</si>
  <si>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</si>
  <si>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</si>
  <si>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</si>
  <si>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</si>
  <si>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</si>
  <si>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</si>
  <si>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</si>
  <si>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</si>
  <si>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</si>
  <si>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</si>
  <si>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</si>
  <si>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</si>
  <si>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</si>
  <si>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</si>
  <si>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</si>
  <si>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</si>
  <si>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</si>
  <si>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</si>
  <si>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</si>
  <si>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</si>
  <si>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</si>
  <si>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</si>
  <si>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</si>
  <si>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</si>
  <si>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</si>
  <si>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</si>
  <si>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</si>
  <si>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</si>
  <si>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</si>
  <si>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</si>
  <si>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</si>
  <si>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</si>
  <si>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</si>
  <si>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7/06</t>
  </si>
  <si>
    <t>7/26</t>
  </si>
  <si>
    <t>7/23</t>
  </si>
  <si>
    <t>8/43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</si>
</sst>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4"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934</v>
      </c>
      <c r="B2">
        <f>INDEX('School Tables'!$AH$3:$AH$213,MATCH('DOE25'!A2,'School Tables'!$AJ$3:$AJ$213,0))</f>
        <v>57</v>
      </c>
      <c r="C2">
        <f>INDEX('School Tables'!$AI$3:$AI$213,MATCH('DOE25'!A2,'School Tables'!$AJ$3:$AJ$213,0))</f>
        <v>57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1384033.37+6039.09</f>
        <v>1390072.4600000002</v>
      </c>
      <c r="G9" s="18">
        <v>0</v>
      </c>
      <c r="H9" s="18">
        <v>0</v>
      </c>
      <c r="I9" s="18">
        <v>9159686.3800000008</v>
      </c>
      <c r="J9" s="13">
        <f>SUM(I440)</f>
        <v>0</v>
      </c>
      <c r="K9" s="23" t="s">
        <v>288</v>
      </c>
      <c r="L9" s="23" t="s">
        <v>288</v>
      </c>
      <c r="M9" s="8"/>
      <c r="N9" s="164"/>
    </row>
    <row r="10" spans="1:14" s="3" customFormat="1" ht="12.2" customHeight="1" x14ac:dyDescent="0.15">
      <c r="A10" s="1" t="s">
        <v>562</v>
      </c>
      <c r="B10" s="2" t="s">
        <v>289</v>
      </c>
      <c r="C10" s="6">
        <v>2</v>
      </c>
      <c r="D10" s="2" t="s">
        <v>428</v>
      </c>
      <c r="E10" s="6">
        <v>110</v>
      </c>
      <c r="F10" s="18">
        <v>1280344.3799999999</v>
      </c>
      <c r="G10" s="18">
        <v>0</v>
      </c>
      <c r="H10" s="18">
        <v>0</v>
      </c>
      <c r="I10" s="18">
        <v>0</v>
      </c>
      <c r="J10" s="13">
        <f>SUM(I441)</f>
        <v>2303971.91</v>
      </c>
      <c r="K10" s="23" t="s">
        <v>288</v>
      </c>
      <c r="L10" s="23" t="s">
        <v>288</v>
      </c>
      <c r="M10" s="8"/>
      <c r="N10" s="164"/>
    </row>
    <row r="11" spans="1:14" s="3" customFormat="1" ht="12.2" customHeight="1" x14ac:dyDescent="0.15">
      <c r="A11" s="1" t="s">
        <v>563</v>
      </c>
      <c r="B11" s="2" t="s">
        <v>289</v>
      </c>
      <c r="C11" s="6">
        <v>3</v>
      </c>
      <c r="D11" s="2" t="s">
        <v>428</v>
      </c>
      <c r="E11" s="6">
        <v>120</v>
      </c>
      <c r="F11" s="18">
        <v>1669.2</v>
      </c>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f>114789.75-78.22-489221.46</f>
        <v>-374509.93000000005</v>
      </c>
      <c r="G12" s="18">
        <v>489220.77</v>
      </c>
      <c r="H12" s="18">
        <f>-0.48</f>
        <v>-0.48</v>
      </c>
      <c r="I12" s="18">
        <v>78.06</v>
      </c>
      <c r="J12" s="13">
        <f>SUM(I442)</f>
        <v>0</v>
      </c>
      <c r="K12" s="23" t="s">
        <v>288</v>
      </c>
      <c r="L12" s="23" t="s">
        <v>288</v>
      </c>
      <c r="M12" s="8"/>
      <c r="N12" s="164"/>
    </row>
    <row r="13" spans="1:14" s="3" customFormat="1" ht="12.2" customHeight="1" x14ac:dyDescent="0.15">
      <c r="A13" s="1" t="s">
        <v>604</v>
      </c>
      <c r="B13" s="2" t="s">
        <v>289</v>
      </c>
      <c r="C13" s="6">
        <v>5</v>
      </c>
      <c r="D13" s="2" t="s">
        <v>428</v>
      </c>
      <c r="E13" s="6">
        <v>140</v>
      </c>
      <c r="F13" s="18">
        <v>0</v>
      </c>
      <c r="G13" s="18">
        <v>0</v>
      </c>
      <c r="H13" s="18">
        <v>0</v>
      </c>
      <c r="I13" s="18">
        <v>0</v>
      </c>
      <c r="J13" s="13">
        <f>SUM(I443)</f>
        <v>0</v>
      </c>
      <c r="K13" s="23" t="s">
        <v>288</v>
      </c>
      <c r="L13" s="23" t="s">
        <v>288</v>
      </c>
      <c r="M13" s="8"/>
      <c r="N13" s="164"/>
    </row>
    <row r="14" spans="1:14" s="3" customFormat="1" ht="12.2" customHeight="1" x14ac:dyDescent="0.15">
      <c r="A14" s="1" t="s">
        <v>565</v>
      </c>
      <c r="B14" s="2" t="s">
        <v>289</v>
      </c>
      <c r="C14" s="6">
        <v>6</v>
      </c>
      <c r="D14" s="2" t="s">
        <v>428</v>
      </c>
      <c r="E14" s="6">
        <v>150</v>
      </c>
      <c r="F14" s="18">
        <v>256837.88</v>
      </c>
      <c r="G14" s="18">
        <v>5576.19</v>
      </c>
      <c r="H14" s="18">
        <v>123505.09</v>
      </c>
      <c r="I14" s="18">
        <v>0</v>
      </c>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v>0</v>
      </c>
      <c r="J15" s="23" t="s">
        <v>288</v>
      </c>
      <c r="K15" s="23" t="s">
        <v>288</v>
      </c>
      <c r="L15" s="23" t="s">
        <v>288</v>
      </c>
      <c r="M15" s="8"/>
      <c r="N15" s="164"/>
    </row>
    <row r="16" spans="1:14" s="3" customFormat="1" ht="12.2" customHeight="1" x14ac:dyDescent="0.15">
      <c r="A16" s="1" t="s">
        <v>566</v>
      </c>
      <c r="B16" s="2" t="s">
        <v>289</v>
      </c>
      <c r="C16" s="6">
        <v>8</v>
      </c>
      <c r="D16" s="2" t="s">
        <v>428</v>
      </c>
      <c r="E16" s="6">
        <v>170</v>
      </c>
      <c r="F16" s="18">
        <v>0</v>
      </c>
      <c r="G16" s="18">
        <v>0</v>
      </c>
      <c r="H16" s="18">
        <v>0</v>
      </c>
      <c r="I16" s="18">
        <v>0</v>
      </c>
      <c r="J16" s="23" t="s">
        <v>288</v>
      </c>
      <c r="K16" s="23" t="s">
        <v>288</v>
      </c>
      <c r="L16" s="23" t="s">
        <v>288</v>
      </c>
      <c r="M16" s="8"/>
      <c r="N16" s="164"/>
    </row>
    <row r="17" spans="1:14" s="3" customFormat="1" ht="12.2" customHeight="1" x14ac:dyDescent="0.15">
      <c r="A17" s="1" t="s">
        <v>567</v>
      </c>
      <c r="B17" s="2" t="s">
        <v>289</v>
      </c>
      <c r="C17" s="6">
        <v>9</v>
      </c>
      <c r="D17" s="2" t="s">
        <v>428</v>
      </c>
      <c r="E17" s="6">
        <v>180</v>
      </c>
      <c r="F17" s="18">
        <v>84259.62</v>
      </c>
      <c r="G17" s="18">
        <v>0</v>
      </c>
      <c r="H17" s="18">
        <v>0</v>
      </c>
      <c r="I17" s="18">
        <v>0</v>
      </c>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2638673.61</v>
      </c>
      <c r="G19" s="38">
        <f>SUM(G9:G18)</f>
        <v>494796.96</v>
      </c>
      <c r="H19" s="38">
        <f>SUM(H9:H18)</f>
        <v>123504.61</v>
      </c>
      <c r="I19" s="38">
        <f>SUM(I9:I18)</f>
        <v>9159764.4400000013</v>
      </c>
      <c r="J19" s="38">
        <f>SUM(J9:J18)</f>
        <v>2303971.91</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f>-0.22+0.22+0.27-0.48</f>
        <v>-0.20999999999999996</v>
      </c>
      <c r="G22" s="18">
        <v>-0.17</v>
      </c>
      <c r="H22" s="18">
        <v>114780.04</v>
      </c>
      <c r="I22" s="18">
        <f>-0.22+0.28</f>
        <v>6.0000000000000026E-2</v>
      </c>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0</v>
      </c>
      <c r="G23" s="18">
        <v>2726</v>
      </c>
      <c r="H23" s="18">
        <f>123504.61-123495.08</f>
        <v>9.5299999999988358</v>
      </c>
      <c r="I23" s="18">
        <v>0</v>
      </c>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1302420.71</v>
      </c>
      <c r="G24" s="18">
        <v>28848.47</v>
      </c>
      <c r="H24" s="18">
        <v>8715.0400000000009</v>
      </c>
      <c r="I24" s="18">
        <v>0</v>
      </c>
      <c r="J24" s="13">
        <f>SUM(I451)</f>
        <v>0</v>
      </c>
      <c r="K24" s="23" t="s">
        <v>288</v>
      </c>
      <c r="L24" s="23" t="s">
        <v>288</v>
      </c>
      <c r="M24" s="8"/>
      <c r="N24" s="164"/>
    </row>
    <row r="25" spans="1:14" s="3" customFormat="1" ht="12.2" customHeight="1" x14ac:dyDescent="0.15">
      <c r="A25" s="1" t="s">
        <v>574</v>
      </c>
      <c r="B25" s="2" t="s">
        <v>289</v>
      </c>
      <c r="C25" s="6">
        <v>15</v>
      </c>
      <c r="D25" s="2" t="s">
        <v>429</v>
      </c>
      <c r="E25" s="6">
        <v>430</v>
      </c>
      <c r="F25" s="18">
        <v>406844.33</v>
      </c>
      <c r="G25" s="102">
        <v>6396.48</v>
      </c>
      <c r="H25" s="18">
        <v>0</v>
      </c>
      <c r="I25" s="18">
        <v>0</v>
      </c>
      <c r="J25" s="23" t="s">
        <v>288</v>
      </c>
      <c r="K25" s="23" t="s">
        <v>288</v>
      </c>
      <c r="L25" s="23" t="s">
        <v>288</v>
      </c>
      <c r="M25" s="8"/>
      <c r="N25" s="164"/>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4"/>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4"/>
    </row>
    <row r="28" spans="1:14" s="3" customFormat="1" ht="12.2" customHeight="1" x14ac:dyDescent="0.15">
      <c r="A28" s="1" t="s">
        <v>573</v>
      </c>
      <c r="B28" s="2" t="s">
        <v>289</v>
      </c>
      <c r="C28" s="6">
        <v>18</v>
      </c>
      <c r="D28" s="2" t="s">
        <v>429</v>
      </c>
      <c r="E28" s="6">
        <v>460</v>
      </c>
      <c r="F28" s="18">
        <v>0</v>
      </c>
      <c r="G28" s="18">
        <v>0</v>
      </c>
      <c r="H28" s="18">
        <v>0</v>
      </c>
      <c r="I28" s="18">
        <v>0</v>
      </c>
      <c r="J28" s="23" t="s">
        <v>288</v>
      </c>
      <c r="K28" s="23" t="s">
        <v>288</v>
      </c>
      <c r="L28" s="23" t="s">
        <v>288</v>
      </c>
      <c r="M28" s="8"/>
      <c r="N28" s="164"/>
    </row>
    <row r="29" spans="1:14" s="3" customFormat="1" ht="12.2" customHeight="1" x14ac:dyDescent="0.15">
      <c r="A29" s="1" t="s">
        <v>575</v>
      </c>
      <c r="B29" s="2" t="s">
        <v>289</v>
      </c>
      <c r="C29" s="6">
        <v>19</v>
      </c>
      <c r="D29" s="2" t="s">
        <v>429</v>
      </c>
      <c r="E29" s="6">
        <v>470</v>
      </c>
      <c r="F29" s="18">
        <v>42194.12</v>
      </c>
      <c r="G29" s="18">
        <v>0</v>
      </c>
      <c r="H29" s="18">
        <v>0</v>
      </c>
      <c r="I29" s="18">
        <v>0</v>
      </c>
      <c r="J29" s="23" t="s">
        <v>288</v>
      </c>
      <c r="K29" s="23" t="s">
        <v>288</v>
      </c>
      <c r="L29" s="23" t="s">
        <v>288</v>
      </c>
      <c r="M29" s="8"/>
      <c r="N29" s="164"/>
    </row>
    <row r="30" spans="1:14" s="3" customFormat="1" ht="12.2" customHeight="1" x14ac:dyDescent="0.15">
      <c r="A30" s="1" t="s">
        <v>576</v>
      </c>
      <c r="B30" s="2" t="s">
        <v>289</v>
      </c>
      <c r="C30" s="6">
        <v>20</v>
      </c>
      <c r="D30" s="2" t="s">
        <v>429</v>
      </c>
      <c r="E30" s="6">
        <v>480</v>
      </c>
      <c r="F30" s="18">
        <v>0</v>
      </c>
      <c r="G30" s="18">
        <f>60619.97+38108.83</f>
        <v>98728.8</v>
      </c>
      <c r="H30" s="18">
        <v>0</v>
      </c>
      <c r="I30" s="18">
        <v>0</v>
      </c>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v>0</v>
      </c>
      <c r="G31" s="18">
        <v>0</v>
      </c>
      <c r="H31" s="18">
        <v>0</v>
      </c>
      <c r="I31" s="18">
        <v>0</v>
      </c>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1751458.9500000002</v>
      </c>
      <c r="G32" s="38">
        <f>SUM(G22:G31)</f>
        <v>136699.58000000002</v>
      </c>
      <c r="H32" s="38">
        <f>SUM(H22:H31)</f>
        <v>123504.60999999999</v>
      </c>
      <c r="I32" s="38">
        <f>SUM(I22:I31)</f>
        <v>6.0000000000000026E-2</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v>0</v>
      </c>
      <c r="G35" s="18">
        <v>0</v>
      </c>
      <c r="H35" s="18">
        <v>0</v>
      </c>
      <c r="I35" s="18">
        <v>0</v>
      </c>
      <c r="J35" s="23" t="s">
        <v>288</v>
      </c>
      <c r="K35" s="23" t="s">
        <v>288</v>
      </c>
      <c r="L35" s="23" t="s">
        <v>288</v>
      </c>
      <c r="M35" s="8"/>
      <c r="N35" s="164"/>
    </row>
    <row r="36" spans="1:14" s="3" customFormat="1" ht="12.2" customHeight="1" x14ac:dyDescent="0.15">
      <c r="A36" s="1" t="s">
        <v>578</v>
      </c>
      <c r="B36" s="6">
        <v>1</v>
      </c>
      <c r="C36" s="6">
        <v>24</v>
      </c>
      <c r="D36" s="2" t="s">
        <v>653</v>
      </c>
      <c r="E36" s="6">
        <v>752</v>
      </c>
      <c r="F36" s="18">
        <f>F17</f>
        <v>84259.62</v>
      </c>
      <c r="G36" s="18">
        <v>0</v>
      </c>
      <c r="H36" s="18">
        <v>0</v>
      </c>
      <c r="I36" s="18">
        <v>0</v>
      </c>
      <c r="J36" s="23" t="s">
        <v>288</v>
      </c>
      <c r="K36" s="23" t="s">
        <v>288</v>
      </c>
      <c r="L36" s="23" t="s">
        <v>288</v>
      </c>
      <c r="M36" s="8"/>
      <c r="N36" s="164"/>
    </row>
    <row r="37" spans="1:14" s="3" customFormat="1" ht="12.2" customHeight="1" x14ac:dyDescent="0.15">
      <c r="A37" s="1" t="s">
        <v>848</v>
      </c>
      <c r="B37" s="6">
        <v>1</v>
      </c>
      <c r="C37" s="6">
        <v>25</v>
      </c>
      <c r="D37" s="2" t="s">
        <v>653</v>
      </c>
      <c r="E37" s="6">
        <v>756</v>
      </c>
      <c r="F37" s="18">
        <v>0</v>
      </c>
      <c r="G37" s="18">
        <v>0</v>
      </c>
      <c r="H37" s="18">
        <v>0</v>
      </c>
      <c r="I37" s="18">
        <v>0</v>
      </c>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v>0</v>
      </c>
      <c r="G39" s="18">
        <v>0</v>
      </c>
      <c r="H39" s="18">
        <v>0</v>
      </c>
      <c r="I39" s="18">
        <v>0</v>
      </c>
      <c r="J39" s="13">
        <f>I459</f>
        <v>0</v>
      </c>
      <c r="K39" s="23" t="s">
        <v>288</v>
      </c>
      <c r="L39" s="23" t="s">
        <v>288</v>
      </c>
      <c r="M39" s="8"/>
      <c r="N39" s="164"/>
    </row>
    <row r="40" spans="1:14" s="3" customFormat="1" ht="12.2" customHeight="1" x14ac:dyDescent="0.15">
      <c r="A40" s="1" t="s">
        <v>856</v>
      </c>
      <c r="B40" s="6">
        <v>1</v>
      </c>
      <c r="C40" s="6">
        <v>27</v>
      </c>
      <c r="D40" s="2"/>
      <c r="E40" s="6"/>
      <c r="F40" s="23" t="s">
        <v>288</v>
      </c>
      <c r="G40" s="18">
        <f>G477</f>
        <v>358097.37999999966</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v>0</v>
      </c>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v>0</v>
      </c>
      <c r="G43" s="18">
        <v>0</v>
      </c>
      <c r="H43" s="18">
        <v>0</v>
      </c>
      <c r="I43" s="18">
        <v>0</v>
      </c>
      <c r="J43" s="13">
        <f>SUM(I457)</f>
        <v>0</v>
      </c>
      <c r="K43" s="23" t="s">
        <v>288</v>
      </c>
      <c r="L43" s="23" t="s">
        <v>288</v>
      </c>
      <c r="M43" s="8"/>
      <c r="N43" s="164"/>
    </row>
    <row r="44" spans="1:14" s="3" customFormat="1" ht="12.2" customHeight="1" x14ac:dyDescent="0.15">
      <c r="A44" s="1" t="s">
        <v>833</v>
      </c>
      <c r="B44" s="6">
        <v>1</v>
      </c>
      <c r="C44" s="6">
        <v>30</v>
      </c>
      <c r="D44" s="2" t="s">
        <v>653</v>
      </c>
      <c r="E44" s="6">
        <v>755</v>
      </c>
      <c r="F44" s="18">
        <v>0</v>
      </c>
      <c r="G44" s="18">
        <v>0</v>
      </c>
      <c r="H44" s="18">
        <v>0</v>
      </c>
      <c r="I44" s="18">
        <v>0</v>
      </c>
      <c r="J44" s="23" t="s">
        <v>288</v>
      </c>
      <c r="K44" s="23" t="s">
        <v>288</v>
      </c>
      <c r="L44" s="23" t="s">
        <v>288</v>
      </c>
      <c r="M44" s="8"/>
      <c r="N44" s="164"/>
    </row>
    <row r="45" spans="1:14" s="3" customFormat="1" ht="12.2" customHeight="1" x14ac:dyDescent="0.15">
      <c r="A45" s="1" t="s">
        <v>834</v>
      </c>
      <c r="B45" s="6">
        <v>1</v>
      </c>
      <c r="C45" s="6">
        <v>31</v>
      </c>
      <c r="D45" s="2"/>
      <c r="E45" s="6">
        <v>753</v>
      </c>
      <c r="F45" s="18">
        <v>0</v>
      </c>
      <c r="G45" s="18">
        <v>0</v>
      </c>
      <c r="H45" s="18">
        <v>0</v>
      </c>
      <c r="I45" s="18">
        <v>0</v>
      </c>
      <c r="J45" s="13">
        <f>I456</f>
        <v>0</v>
      </c>
      <c r="K45" s="23" t="s">
        <v>288</v>
      </c>
      <c r="L45" s="23" t="s">
        <v>288</v>
      </c>
      <c r="M45" s="8"/>
      <c r="N45" s="164"/>
    </row>
    <row r="46" spans="1:14" s="3" customFormat="1" ht="12.2" customHeight="1" x14ac:dyDescent="0.15">
      <c r="A46" s="1" t="s">
        <v>870</v>
      </c>
      <c r="B46" s="6">
        <v>1</v>
      </c>
      <c r="C46" s="6">
        <v>32</v>
      </c>
      <c r="D46" s="2"/>
      <c r="E46" s="6"/>
      <c r="F46" s="18">
        <v>0</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v>0</v>
      </c>
      <c r="G48" s="18">
        <v>0</v>
      </c>
      <c r="H48" s="18">
        <v>0</v>
      </c>
      <c r="I48" s="18">
        <v>9159764.3800000008</v>
      </c>
      <c r="J48" s="13">
        <f>SUM(I460)</f>
        <v>2303971.91</v>
      </c>
      <c r="K48" s="23" t="s">
        <v>288</v>
      </c>
      <c r="L48" s="23" t="s">
        <v>288</v>
      </c>
      <c r="M48" s="8"/>
      <c r="N48" s="164"/>
    </row>
    <row r="49" spans="1:14" s="3" customFormat="1" ht="12.2" customHeight="1" x14ac:dyDescent="0.15">
      <c r="A49" s="1" t="s">
        <v>855</v>
      </c>
      <c r="B49" s="2" t="s">
        <v>289</v>
      </c>
      <c r="C49" s="6">
        <v>34</v>
      </c>
      <c r="D49" s="2"/>
      <c r="E49" s="6">
        <v>753</v>
      </c>
      <c r="F49" s="18">
        <v>0</v>
      </c>
      <c r="G49" s="18">
        <v>0</v>
      </c>
      <c r="H49" s="18">
        <v>0</v>
      </c>
      <c r="I49" s="18">
        <v>0</v>
      </c>
      <c r="J49" s="13">
        <f>I455</f>
        <v>0</v>
      </c>
      <c r="K49" s="23"/>
      <c r="L49" s="23"/>
      <c r="M49" s="8"/>
      <c r="N49" s="164"/>
    </row>
    <row r="50" spans="1:14" s="3" customFormat="1" ht="12.2" customHeight="1" thickBot="1" x14ac:dyDescent="0.2">
      <c r="A50" s="28" t="s">
        <v>836</v>
      </c>
      <c r="B50" s="2" t="s">
        <v>289</v>
      </c>
      <c r="C50" s="56">
        <v>35</v>
      </c>
      <c r="D50" s="2" t="s">
        <v>653</v>
      </c>
      <c r="E50" s="6">
        <v>770</v>
      </c>
      <c r="F50" s="18">
        <f>887214.66-84259.62</f>
        <v>802955.04</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887214.66</v>
      </c>
      <c r="G51" s="38">
        <f>SUM(G35:G50)</f>
        <v>358097.37999999966</v>
      </c>
      <c r="H51" s="38">
        <f>SUM(H35:H50)</f>
        <v>0</v>
      </c>
      <c r="I51" s="38">
        <f>SUM(I35:I50)</f>
        <v>9159764.3800000008</v>
      </c>
      <c r="J51" s="38">
        <f>SUM(J35:J50)</f>
        <v>2303971.91</v>
      </c>
      <c r="K51" s="42" t="s">
        <v>288</v>
      </c>
      <c r="L51" s="42" t="s">
        <v>288</v>
      </c>
      <c r="N51" s="130"/>
    </row>
    <row r="52" spans="1:14" s="3" customFormat="1" ht="12.2" customHeight="1" thickTop="1" x14ac:dyDescent="0.15">
      <c r="A52" s="35" t="s">
        <v>455</v>
      </c>
      <c r="B52" s="36" t="s">
        <v>289</v>
      </c>
      <c r="C52" s="6">
        <v>37</v>
      </c>
      <c r="D52" s="36" t="s">
        <v>653</v>
      </c>
      <c r="E52" s="36"/>
      <c r="F52" s="38">
        <f>F51+F32</f>
        <v>2638673.6100000003</v>
      </c>
      <c r="G52" s="38">
        <f>G51+G32</f>
        <v>494796.95999999967</v>
      </c>
      <c r="H52" s="38">
        <f>H51+H32</f>
        <v>123504.60999999999</v>
      </c>
      <c r="I52" s="38">
        <f>I51+I32</f>
        <v>9159764.4400000013</v>
      </c>
      <c r="J52" s="38">
        <f>J51+J32</f>
        <v>2303971.91</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21752114</v>
      </c>
      <c r="G57" s="18">
        <v>0</v>
      </c>
      <c r="H57" s="18">
        <v>0</v>
      </c>
      <c r="I57" s="18">
        <v>0</v>
      </c>
      <c r="J57" s="18">
        <v>0</v>
      </c>
      <c r="K57" s="23" t="s">
        <v>288</v>
      </c>
      <c r="L57" s="23" t="s">
        <v>288</v>
      </c>
      <c r="M57" s="8"/>
      <c r="N57" s="164"/>
    </row>
    <row r="58" spans="1:14" s="3" customFormat="1" ht="12.2" customHeight="1" x14ac:dyDescent="0.15">
      <c r="A58" s="1" t="s">
        <v>512</v>
      </c>
      <c r="B58" s="2" t="s">
        <v>309</v>
      </c>
      <c r="C58" s="6">
        <v>2</v>
      </c>
      <c r="D58" s="2" t="s">
        <v>430</v>
      </c>
      <c r="E58" s="6">
        <v>1112</v>
      </c>
      <c r="F58" s="18">
        <v>0</v>
      </c>
      <c r="G58" s="18">
        <v>0</v>
      </c>
      <c r="H58" s="23" t="s">
        <v>288</v>
      </c>
      <c r="I58" s="18">
        <v>0</v>
      </c>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v>0</v>
      </c>
      <c r="G59" s="18">
        <v>0</v>
      </c>
      <c r="H59" s="18">
        <v>0</v>
      </c>
      <c r="I59" s="18">
        <v>0</v>
      </c>
      <c r="J59" s="18">
        <v>0</v>
      </c>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21752114</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f>181775.52-156417.6</f>
        <v>25357.919999999984</v>
      </c>
      <c r="G63" s="23" t="s">
        <v>288</v>
      </c>
      <c r="H63" s="18">
        <v>0</v>
      </c>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v>0</v>
      </c>
      <c r="G64" s="23" t="s">
        <v>288</v>
      </c>
      <c r="H64" s="18">
        <v>0</v>
      </c>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v>0</v>
      </c>
      <c r="G66" s="23" t="s">
        <v>288</v>
      </c>
      <c r="H66" s="18">
        <v>0</v>
      </c>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f>4107.6+69336+13638+69336+989119.95+2911282.52</f>
        <v>4056820.0700000003</v>
      </c>
      <c r="G68" s="23" t="s">
        <v>288</v>
      </c>
      <c r="H68" s="18">
        <v>0</v>
      </c>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196801</v>
      </c>
      <c r="G69" s="23" t="s">
        <v>288</v>
      </c>
      <c r="H69" s="18">
        <v>0</v>
      </c>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v>0</v>
      </c>
      <c r="G70" s="23" t="s">
        <v>288</v>
      </c>
      <c r="H70" s="18">
        <v>0</v>
      </c>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v>0</v>
      </c>
      <c r="G74" s="23" t="s">
        <v>288</v>
      </c>
      <c r="H74" s="18">
        <v>0</v>
      </c>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v>0</v>
      </c>
      <c r="G77" s="23" t="s">
        <v>288</v>
      </c>
      <c r="H77" s="18">
        <v>0</v>
      </c>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v>0</v>
      </c>
      <c r="G78" s="23" t="s">
        <v>288</v>
      </c>
      <c r="H78" s="18">
        <v>0</v>
      </c>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4278978.99</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v>0</v>
      </c>
      <c r="G83" s="23" t="s">
        <v>288</v>
      </c>
      <c r="H83" s="18">
        <v>0</v>
      </c>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v>0</v>
      </c>
      <c r="G86" s="23" t="s">
        <v>288</v>
      </c>
      <c r="H86" s="18">
        <v>0</v>
      </c>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v>0</v>
      </c>
      <c r="G93" s="23" t="s">
        <v>288</v>
      </c>
      <c r="H93" s="18">
        <v>0</v>
      </c>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69110.880000000005</v>
      </c>
      <c r="G96" s="18">
        <v>0</v>
      </c>
      <c r="H96" s="18">
        <v>0</v>
      </c>
      <c r="I96" s="18">
        <v>535867.16</v>
      </c>
      <c r="J96" s="18">
        <v>13655</v>
      </c>
      <c r="K96" s="23" t="s">
        <v>288</v>
      </c>
      <c r="L96" s="23" t="s">
        <v>288</v>
      </c>
      <c r="M96" s="8"/>
      <c r="N96" s="164"/>
    </row>
    <row r="97" spans="1:14" s="3" customFormat="1" ht="12.2" customHeight="1" x14ac:dyDescent="0.15">
      <c r="A97" s="1" t="s">
        <v>503</v>
      </c>
      <c r="B97" s="2" t="s">
        <v>315</v>
      </c>
      <c r="C97" s="6">
        <v>12</v>
      </c>
      <c r="D97" s="2" t="s">
        <v>430</v>
      </c>
      <c r="E97" s="6">
        <v>1600</v>
      </c>
      <c r="F97" s="23" t="s">
        <v>288</v>
      </c>
      <c r="G97" s="18">
        <f>163410.54+260855.31+284441.04</f>
        <v>708706.8899999999</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v>49396</v>
      </c>
      <c r="G98" s="23" t="s">
        <v>288</v>
      </c>
      <c r="H98" s="18">
        <v>0</v>
      </c>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v>0</v>
      </c>
      <c r="G99" s="18">
        <v>0</v>
      </c>
      <c r="H99" s="18">
        <v>0</v>
      </c>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5520</v>
      </c>
      <c r="G101" s="18">
        <v>0</v>
      </c>
      <c r="H101" s="18">
        <v>0</v>
      </c>
      <c r="I101" s="18">
        <v>0</v>
      </c>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v>0</v>
      </c>
      <c r="G102" s="18">
        <v>0</v>
      </c>
      <c r="H102" s="18">
        <v>0</v>
      </c>
      <c r="I102" s="18">
        <v>0</v>
      </c>
      <c r="J102" s="18">
        <v>0</v>
      </c>
      <c r="K102" s="23" t="s">
        <v>288</v>
      </c>
      <c r="L102" s="23" t="s">
        <v>288</v>
      </c>
      <c r="M102" s="8"/>
      <c r="N102" s="164"/>
    </row>
    <row r="103" spans="1:14" s="3" customFormat="1" ht="12.2" customHeight="1" x14ac:dyDescent="0.15">
      <c r="A103" s="1" t="s">
        <v>507</v>
      </c>
      <c r="B103" s="2" t="s">
        <v>315</v>
      </c>
      <c r="C103" s="6">
        <v>17</v>
      </c>
      <c r="D103" s="2" t="s">
        <v>430</v>
      </c>
      <c r="E103" s="6">
        <v>1930</v>
      </c>
      <c r="F103" s="18">
        <v>0</v>
      </c>
      <c r="G103" s="18">
        <v>0</v>
      </c>
      <c r="H103" s="18">
        <v>0</v>
      </c>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v>0</v>
      </c>
      <c r="G104" s="23" t="s">
        <v>288</v>
      </c>
      <c r="H104" s="18">
        <v>0</v>
      </c>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v>0</v>
      </c>
      <c r="G105" s="18">
        <v>0</v>
      </c>
      <c r="H105" s="18">
        <v>0</v>
      </c>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v>0</v>
      </c>
      <c r="G107" s="18">
        <v>0</v>
      </c>
      <c r="H107" s="18">
        <v>0</v>
      </c>
      <c r="I107" s="18">
        <v>0</v>
      </c>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v>0</v>
      </c>
      <c r="G108" s="18">
        <v>0</v>
      </c>
      <c r="H108" s="18">
        <v>0</v>
      </c>
      <c r="I108" s="18">
        <v>0</v>
      </c>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0</v>
      </c>
      <c r="G109" s="18">
        <v>0</v>
      </c>
      <c r="H109" s="18">
        <v>0</v>
      </c>
      <c r="I109" s="18">
        <v>0</v>
      </c>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205433.07</v>
      </c>
      <c r="G110" s="18">
        <v>134.57</v>
      </c>
      <c r="H110" s="18">
        <v>0</v>
      </c>
      <c r="I110" s="18">
        <v>0</v>
      </c>
      <c r="J110" s="18">
        <v>0</v>
      </c>
      <c r="K110" s="23" t="s">
        <v>288</v>
      </c>
      <c r="L110" s="23" t="s">
        <v>288</v>
      </c>
      <c r="M110" s="8"/>
      <c r="N110" s="164"/>
    </row>
    <row r="111" spans="1:14" ht="12.2" customHeight="1" thickTop="1" thickBot="1" x14ac:dyDescent="0.25">
      <c r="A111" s="35" t="s">
        <v>433</v>
      </c>
      <c r="B111" s="36" t="s">
        <v>315</v>
      </c>
      <c r="C111" s="37">
        <v>25</v>
      </c>
      <c r="D111" s="36" t="s">
        <v>430</v>
      </c>
      <c r="E111" s="37"/>
      <c r="F111" s="38">
        <f>SUM(F96:F110)</f>
        <v>329459.95</v>
      </c>
      <c r="G111" s="38">
        <f>SUM(G96:G110)</f>
        <v>708841.45999999985</v>
      </c>
      <c r="H111" s="38">
        <f>SUM(H96:H110)</f>
        <v>0</v>
      </c>
      <c r="I111" s="38">
        <f>SUM(I96:I110)</f>
        <v>535867.16</v>
      </c>
      <c r="J111" s="38">
        <f>SUM(J96:J110)</f>
        <v>13655</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26360552.940000001</v>
      </c>
      <c r="G112" s="38">
        <f>G60+G111</f>
        <v>708841.45999999985</v>
      </c>
      <c r="H112" s="38">
        <f>H60+H79+H94+H111</f>
        <v>0</v>
      </c>
      <c r="I112" s="38">
        <f>I60+I111</f>
        <v>535867.16</v>
      </c>
      <c r="J112" s="38">
        <f>J60+J111</f>
        <v>13655</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4481616.16</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2124000</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8148.44</v>
      </c>
      <c r="G120" s="18">
        <v>0</v>
      </c>
      <c r="H120" s="18">
        <v>0</v>
      </c>
      <c r="I120" s="18">
        <v>0</v>
      </c>
      <c r="J120" s="18">
        <v>0</v>
      </c>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6613764.6000000006</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67289.929999999993</v>
      </c>
      <c r="G123" s="23" t="s">
        <v>288</v>
      </c>
      <c r="H123" s="23" t="s">
        <v>288</v>
      </c>
      <c r="I123" s="18">
        <v>0</v>
      </c>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4"/>
    </row>
    <row r="125" spans="1:14" s="3" customFormat="1" ht="12.2" customHeight="1" x14ac:dyDescent="0.15">
      <c r="A125" s="1" t="s">
        <v>892</v>
      </c>
      <c r="B125" s="2" t="s">
        <v>321</v>
      </c>
      <c r="C125" s="6">
        <v>8</v>
      </c>
      <c r="D125" s="2" t="s">
        <v>430</v>
      </c>
      <c r="E125" s="6">
        <v>3220</v>
      </c>
      <c r="F125" s="18">
        <v>0</v>
      </c>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424948.13</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0</v>
      </c>
      <c r="G127" s="23" t="s">
        <v>288</v>
      </c>
      <c r="H127" s="18">
        <v>0</v>
      </c>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16863.599999999999</v>
      </c>
      <c r="G128" s="23" t="s">
        <v>288</v>
      </c>
      <c r="H128" s="18">
        <v>0</v>
      </c>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v>0</v>
      </c>
      <c r="G129" s="23" t="s">
        <v>288</v>
      </c>
      <c r="H129" s="18">
        <v>0</v>
      </c>
      <c r="I129" s="18">
        <v>0</v>
      </c>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v>0</v>
      </c>
      <c r="G130" s="23" t="s">
        <v>288</v>
      </c>
      <c r="H130" s="18">
        <v>0</v>
      </c>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7886.86</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4"/>
    </row>
    <row r="135" spans="1:14" s="3" customFormat="1" ht="12.2" customHeight="1" thickBot="1" x14ac:dyDescent="0.2">
      <c r="A135" s="1" t="s">
        <v>501</v>
      </c>
      <c r="B135" s="2" t="s">
        <v>321</v>
      </c>
      <c r="C135" s="6">
        <v>18</v>
      </c>
      <c r="D135" s="2" t="s">
        <v>430</v>
      </c>
      <c r="E135" s="6">
        <v>3290</v>
      </c>
      <c r="F135" s="18">
        <v>0</v>
      </c>
      <c r="G135" s="18">
        <v>0</v>
      </c>
      <c r="H135" s="18">
        <f>1138+17250.1+17487.6+77752</f>
        <v>113627.7</v>
      </c>
      <c r="I135" s="18">
        <v>0</v>
      </c>
      <c r="J135" s="18">
        <v>0</v>
      </c>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509101.66</v>
      </c>
      <c r="G136" s="38">
        <f>SUM(G123:G135)</f>
        <v>7886.86</v>
      </c>
      <c r="H136" s="38">
        <f>SUM(H123:H135)</f>
        <v>113627.7</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v>0</v>
      </c>
      <c r="G137" s="18">
        <v>0</v>
      </c>
      <c r="H137" s="18">
        <v>0</v>
      </c>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v>0</v>
      </c>
      <c r="G138" s="23" t="s">
        <v>288</v>
      </c>
      <c r="H138" s="18">
        <v>0</v>
      </c>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7122866.2600000007</v>
      </c>
      <c r="G140" s="38">
        <f>G121+SUM(G136:G137)</f>
        <v>7886.86</v>
      </c>
      <c r="H140" s="38">
        <f>H121+SUM(H136:H139)</f>
        <v>113627.7</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v>0</v>
      </c>
      <c r="G145" s="18">
        <v>0</v>
      </c>
      <c r="H145" s="18">
        <v>0</v>
      </c>
      <c r="I145" s="18">
        <v>0</v>
      </c>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v>0</v>
      </c>
      <c r="G146" s="18">
        <v>0</v>
      </c>
      <c r="H146" s="18">
        <v>0</v>
      </c>
      <c r="I146" s="18">
        <v>0</v>
      </c>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v>0</v>
      </c>
      <c r="G150" s="23" t="s">
        <v>288</v>
      </c>
      <c r="H150" s="18">
        <v>0</v>
      </c>
      <c r="I150" s="18">
        <v>0</v>
      </c>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f>18994.26+46033.68</f>
        <v>65027.94</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25456.31+4245.75+5714.53+10459.22+10022.06</f>
        <v>55897.87</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v>0</v>
      </c>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v>0</v>
      </c>
      <c r="G157" s="23" t="s">
        <v>288</v>
      </c>
      <c r="H157" s="18">
        <v>0</v>
      </c>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45882.48+53738.72+90976.75</f>
        <v>190597.95</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12373.62+135757.64+202844.21</f>
        <v>350975.47</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136973.59</v>
      </c>
      <c r="G160" s="23" t="s">
        <v>288</v>
      </c>
      <c r="H160" s="18">
        <v>0</v>
      </c>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v>0</v>
      </c>
      <c r="G161" s="18">
        <v>0</v>
      </c>
      <c r="H161" s="18">
        <f>60000+6820+165897.48</f>
        <v>232717.48</v>
      </c>
      <c r="I161" s="18">
        <v>0</v>
      </c>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v>0</v>
      </c>
      <c r="G162" s="18">
        <v>0</v>
      </c>
      <c r="H162" s="18">
        <f>27553.42+42520</f>
        <v>70073.42</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136973.59</v>
      </c>
      <c r="G163" s="38">
        <f>SUM(G150:G162)</f>
        <v>190597.95</v>
      </c>
      <c r="H163" s="38">
        <f>SUM(H150:H162)</f>
        <v>774692.18</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v>0</v>
      </c>
      <c r="G164" s="18">
        <v>0</v>
      </c>
      <c r="H164" s="18">
        <v>0</v>
      </c>
      <c r="I164" s="18">
        <v>0</v>
      </c>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v>0</v>
      </c>
      <c r="G169" s="18">
        <v>0</v>
      </c>
      <c r="H169" s="18">
        <v>0</v>
      </c>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136973.59</v>
      </c>
      <c r="G170" s="38">
        <f>G147+G163+SUM(G164:G169)</f>
        <v>190597.95</v>
      </c>
      <c r="H170" s="38">
        <f>H147+H163+SUM(H164:H169)</f>
        <v>774692.18</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v>0</v>
      </c>
      <c r="G174" s="23" t="s">
        <v>288</v>
      </c>
      <c r="H174" s="23" t="s">
        <v>288</v>
      </c>
      <c r="I174" s="18">
        <v>12400000</v>
      </c>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v>0</v>
      </c>
      <c r="G175" s="23" t="s">
        <v>288</v>
      </c>
      <c r="H175" s="23" t="s">
        <v>288</v>
      </c>
      <c r="I175" s="18">
        <v>0</v>
      </c>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v>0</v>
      </c>
      <c r="G176" s="23" t="s">
        <v>288</v>
      </c>
      <c r="H176" s="23" t="s">
        <v>288</v>
      </c>
      <c r="I176" s="18">
        <v>0</v>
      </c>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v>0</v>
      </c>
      <c r="G177" s="23" t="s">
        <v>288</v>
      </c>
      <c r="H177" s="23" t="s">
        <v>288</v>
      </c>
      <c r="I177" s="18">
        <v>0</v>
      </c>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12400000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0</v>
      </c>
      <c r="H180" s="18">
        <v>0</v>
      </c>
      <c r="I180" s="18">
        <v>0</v>
      </c>
      <c r="J180" s="18">
        <v>1159585</v>
      </c>
      <c r="K180" s="23" t="s">
        <v>288</v>
      </c>
      <c r="L180" s="23" t="s">
        <v>288</v>
      </c>
      <c r="M180" s="8"/>
      <c r="N180" s="164"/>
    </row>
    <row r="181" spans="1:14" s="3" customFormat="1" ht="12.2" customHeight="1" x14ac:dyDescent="0.15">
      <c r="A181" s="1" t="s">
        <v>525</v>
      </c>
      <c r="B181" s="2" t="s">
        <v>330</v>
      </c>
      <c r="C181" s="6">
        <v>7</v>
      </c>
      <c r="D181" s="2" t="s">
        <v>430</v>
      </c>
      <c r="E181" s="6">
        <v>5221</v>
      </c>
      <c r="F181" s="18">
        <v>0</v>
      </c>
      <c r="G181" s="23" t="s">
        <v>288</v>
      </c>
      <c r="H181" s="18">
        <v>0</v>
      </c>
      <c r="I181" s="18">
        <v>0</v>
      </c>
      <c r="J181" s="18">
        <v>0</v>
      </c>
      <c r="K181" s="23" t="s">
        <v>288</v>
      </c>
      <c r="L181" s="23" t="s">
        <v>288</v>
      </c>
      <c r="M181" s="8"/>
      <c r="N181" s="164"/>
    </row>
    <row r="182" spans="1:14" s="3" customFormat="1" ht="12.2" customHeight="1" x14ac:dyDescent="0.15">
      <c r="A182" s="3" t="s">
        <v>526</v>
      </c>
      <c r="B182" s="2" t="s">
        <v>330</v>
      </c>
      <c r="C182" s="6">
        <v>8</v>
      </c>
      <c r="D182" s="2" t="s">
        <v>430</v>
      </c>
      <c r="E182" s="6">
        <v>5222</v>
      </c>
      <c r="F182" s="18">
        <v>0</v>
      </c>
      <c r="G182" s="18">
        <v>0</v>
      </c>
      <c r="H182" s="23" t="s">
        <v>288</v>
      </c>
      <c r="I182" s="18">
        <v>0</v>
      </c>
      <c r="J182" s="18">
        <v>0</v>
      </c>
      <c r="K182" s="23" t="s">
        <v>288</v>
      </c>
      <c r="L182" s="23" t="s">
        <v>288</v>
      </c>
      <c r="M182" s="8"/>
      <c r="N182" s="164"/>
    </row>
    <row r="183" spans="1:14" s="3" customFormat="1" ht="12.2" customHeight="1" thickBot="1" x14ac:dyDescent="0.2">
      <c r="A183" s="3" t="s">
        <v>527</v>
      </c>
      <c r="B183" s="2" t="s">
        <v>330</v>
      </c>
      <c r="C183" s="6">
        <v>9</v>
      </c>
      <c r="D183" s="2" t="s">
        <v>430</v>
      </c>
      <c r="E183" s="6">
        <v>5230</v>
      </c>
      <c r="F183" s="18">
        <v>0</v>
      </c>
      <c r="G183" s="18">
        <v>0</v>
      </c>
      <c r="H183" s="18">
        <v>0</v>
      </c>
      <c r="I183" s="23" t="s">
        <v>288</v>
      </c>
      <c r="J183" s="18">
        <v>0</v>
      </c>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1159585</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v>29750</v>
      </c>
      <c r="G186" s="18">
        <v>0</v>
      </c>
      <c r="H186" s="18">
        <v>0</v>
      </c>
      <c r="I186" s="18">
        <v>0</v>
      </c>
      <c r="J186" s="23" t="s">
        <v>288</v>
      </c>
      <c r="K186" s="23" t="s">
        <v>288</v>
      </c>
      <c r="L186" s="23" t="s">
        <v>288</v>
      </c>
      <c r="M186" s="8"/>
      <c r="N186" s="164"/>
    </row>
    <row r="187" spans="1:14" ht="12.2" customHeight="1" x14ac:dyDescent="0.2">
      <c r="A187" s="1" t="s">
        <v>529</v>
      </c>
      <c r="B187" s="2" t="s">
        <v>330</v>
      </c>
      <c r="C187" s="6">
        <v>12</v>
      </c>
      <c r="D187" s="2" t="s">
        <v>430</v>
      </c>
      <c r="E187" s="6">
        <v>5252</v>
      </c>
      <c r="F187" s="18">
        <v>0</v>
      </c>
      <c r="G187" s="18">
        <v>0</v>
      </c>
      <c r="H187" s="18">
        <v>0</v>
      </c>
      <c r="I187" s="18">
        <v>0</v>
      </c>
      <c r="J187" s="23" t="s">
        <v>288</v>
      </c>
      <c r="K187" s="23" t="s">
        <v>288</v>
      </c>
      <c r="L187" s="23" t="s">
        <v>288</v>
      </c>
      <c r="N187" s="130"/>
    </row>
    <row r="188" spans="1:14" ht="12.2" customHeight="1" thickBot="1" x14ac:dyDescent="0.25">
      <c r="A188" s="1" t="s">
        <v>530</v>
      </c>
      <c r="B188" s="2" t="s">
        <v>330</v>
      </c>
      <c r="C188" s="6">
        <v>13</v>
      </c>
      <c r="D188" s="2" t="s">
        <v>430</v>
      </c>
      <c r="E188" s="6">
        <v>5253</v>
      </c>
      <c r="F188" s="18">
        <v>0</v>
      </c>
      <c r="G188" s="18">
        <v>0</v>
      </c>
      <c r="H188" s="18">
        <v>0</v>
      </c>
      <c r="I188" s="18">
        <v>0</v>
      </c>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29750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v>0</v>
      </c>
      <c r="G190" s="18">
        <v>0</v>
      </c>
      <c r="H190" s="18">
        <v>0</v>
      </c>
      <c r="I190" s="18">
        <v>0</v>
      </c>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v>0</v>
      </c>
      <c r="G191" s="18">
        <v>0</v>
      </c>
      <c r="H191" s="18">
        <v>0</v>
      </c>
      <c r="I191" s="18">
        <v>0</v>
      </c>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v>0</v>
      </c>
      <c r="G192" s="18">
        <v>0</v>
      </c>
      <c r="H192" s="18">
        <v>0</v>
      </c>
      <c r="I192" s="18">
        <v>0</v>
      </c>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29750</v>
      </c>
      <c r="G193" s="38">
        <f>G184+SUM(G189:G192)</f>
        <v>0</v>
      </c>
      <c r="H193" s="38">
        <f>+H184+SUM(H189:H192)</f>
        <v>0</v>
      </c>
      <c r="I193" s="38">
        <f>I178+I184+SUM(I189:I192)</f>
        <v>12400000</v>
      </c>
      <c r="J193" s="38">
        <f>J184</f>
        <v>1159585</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33650142.790000007</v>
      </c>
      <c r="G194" s="38">
        <f>G112+G140+G170+G193</f>
        <v>907326.26999999979</v>
      </c>
      <c r="H194" s="38">
        <f>H112+H140+H170+H193</f>
        <v>888319.88</v>
      </c>
      <c r="I194" s="38">
        <f>I112+I140+I170+I193</f>
        <v>12935867.16</v>
      </c>
      <c r="J194" s="38">
        <f>J112+J140+J193</f>
        <v>1173240</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2577021.43+33499.17+45795.45</f>
        <v>2656316.0500000003</v>
      </c>
      <c r="G198" s="18">
        <f>27759.34+1321644.83</f>
        <v>1349404.1700000002</v>
      </c>
      <c r="H198" s="18">
        <f>173.27+19850.6+1248.95</f>
        <v>21272.82</v>
      </c>
      <c r="I198" s="18">
        <f>3498.22+2250+1499.51+6451.52+172.68+1395+39472.82+4605.27+13249.57+27970.15+17000+2625.93</f>
        <v>120190.66999999998</v>
      </c>
      <c r="J198" s="18">
        <f>481.28+1001+1063.62+3785.79</f>
        <v>6331.69</v>
      </c>
      <c r="K198" s="18">
        <v>0</v>
      </c>
      <c r="L198" s="13">
        <f>SUM(F198:K198)</f>
        <v>4153515.4000000004</v>
      </c>
      <c r="M198" s="8"/>
      <c r="N198" s="164"/>
    </row>
    <row r="199" spans="1:14" s="3" customFormat="1" ht="12.2" customHeight="1" x14ac:dyDescent="0.15">
      <c r="A199" s="1" t="s">
        <v>439</v>
      </c>
      <c r="B199" s="2" t="s">
        <v>341</v>
      </c>
      <c r="C199" s="2" t="s">
        <v>291</v>
      </c>
      <c r="D199" s="2" t="s">
        <v>431</v>
      </c>
      <c r="E199" s="6">
        <v>1200</v>
      </c>
      <c r="F199" s="18">
        <f>589918.17+498420.73+11083.72+46673.28+4714.13+43759</f>
        <v>1194569.0299999998</v>
      </c>
      <c r="G199" s="18">
        <f>570054.4+717.61+38833.04</f>
        <v>609605.05000000005</v>
      </c>
      <c r="H199" s="18">
        <f>3138.5+75635.28+73.7</f>
        <v>78847.48</v>
      </c>
      <c r="I199" s="18">
        <f>1780.04+3637.81-100.97+5795.58+220.8</f>
        <v>11333.259999999998</v>
      </c>
      <c r="J199" s="18">
        <f>713.79+1140.34</f>
        <v>1854.1299999999999</v>
      </c>
      <c r="K199" s="18">
        <f>926.53</f>
        <v>926.53</v>
      </c>
      <c r="L199" s="13">
        <f>SUM(F199:K199)</f>
        <v>1897135.4799999997</v>
      </c>
      <c r="M199" s="8"/>
      <c r="N199" s="1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4"/>
    </row>
    <row r="201" spans="1:14" s="3" customFormat="1" ht="12.2" customHeight="1" x14ac:dyDescent="0.15">
      <c r="A201" s="1" t="s">
        <v>441</v>
      </c>
      <c r="B201" s="2" t="s">
        <v>341</v>
      </c>
      <c r="C201" s="2" t="s">
        <v>293</v>
      </c>
      <c r="D201" s="2" t="s">
        <v>431</v>
      </c>
      <c r="E201" s="6">
        <v>1400</v>
      </c>
      <c r="F201" s="18">
        <f>12842.5</f>
        <v>12842.5</v>
      </c>
      <c r="G201" s="18">
        <f>3253.57</f>
        <v>3253.57</v>
      </c>
      <c r="H201" s="18">
        <v>0</v>
      </c>
      <c r="I201" s="18">
        <v>0</v>
      </c>
      <c r="J201" s="18">
        <v>0</v>
      </c>
      <c r="K201" s="18">
        <f>572</f>
        <v>572</v>
      </c>
      <c r="L201" s="13">
        <f>SUM(F201:K201)</f>
        <v>16668.07</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f>59895+81596.9+26148.1+72580.02+211494.44+38296.43+199802.16</f>
        <v>689813.05</v>
      </c>
      <c r="G203" s="18">
        <f>189.4+32940.1+57652.45+41934.73+131161.89+126208.93</f>
        <v>390087.5</v>
      </c>
      <c r="H203" s="18">
        <f>16961.1+1893.33+2048.78+629.06+8502.99+3158.69+666.67</f>
        <v>33860.620000000003</v>
      </c>
      <c r="I203" s="18">
        <f>1130.99+1972.59+1843.39+418.67+2235.11+1187.58</f>
        <v>8788.33</v>
      </c>
      <c r="J203" s="18">
        <f>2599.5+659.48+257.95</f>
        <v>3516.93</v>
      </c>
      <c r="K203" s="18">
        <f>3096</f>
        <v>3096</v>
      </c>
      <c r="L203" s="13">
        <f t="shared" ref="L203:L209" si="0">SUM(F203:K203)</f>
        <v>1129162.4300000002</v>
      </c>
      <c r="M203" s="8"/>
      <c r="N203" s="164"/>
    </row>
    <row r="204" spans="1:14" s="3" customFormat="1" ht="12.2" customHeight="1" x14ac:dyDescent="0.15">
      <c r="A204" s="1" t="s">
        <v>443</v>
      </c>
      <c r="B204" s="2" t="s">
        <v>341</v>
      </c>
      <c r="C204" s="2" t="s">
        <v>295</v>
      </c>
      <c r="D204" s="2" t="s">
        <v>431</v>
      </c>
      <c r="E204" s="6">
        <v>2200</v>
      </c>
      <c r="F204" s="18">
        <f>75405.06+15964.2+82801.75+2859.17</f>
        <v>177030.18000000002</v>
      </c>
      <c r="G204" s="18">
        <f>42492.14+33718.14+69.9</f>
        <v>76280.179999999993</v>
      </c>
      <c r="H204" s="18">
        <f>350.35+35489.7+21264.81+24029.88</f>
        <v>81134.740000000005</v>
      </c>
      <c r="I204" s="18">
        <f>696.89+4909.01+6200.73</f>
        <v>11806.630000000001</v>
      </c>
      <c r="J204" s="18">
        <f>60.83+110084.12</f>
        <v>110144.95</v>
      </c>
      <c r="K204" s="18">
        <v>0</v>
      </c>
      <c r="L204" s="13">
        <f t="shared" si="0"/>
        <v>456396.68000000005</v>
      </c>
      <c r="M204" s="8"/>
      <c r="N204" s="164"/>
    </row>
    <row r="205" spans="1:14" s="3" customFormat="1" ht="12.2" customHeight="1" x14ac:dyDescent="0.15">
      <c r="A205" s="1" t="s">
        <v>444</v>
      </c>
      <c r="B205" s="2" t="s">
        <v>341</v>
      </c>
      <c r="C205" s="2" t="s">
        <v>296</v>
      </c>
      <c r="D205" s="2" t="s">
        <v>431</v>
      </c>
      <c r="E205" s="6">
        <v>2300</v>
      </c>
      <c r="F205" s="18">
        <f>4754.17+100+500</f>
        <v>5354.17</v>
      </c>
      <c r="G205" s="18">
        <f>363.7+38.25</f>
        <v>401.95</v>
      </c>
      <c r="H205" s="18">
        <f>1737.56+17174.85+5711.67+294004.33</f>
        <v>318628.41000000003</v>
      </c>
      <c r="I205" s="18">
        <f>5637.15</f>
        <v>5637.15</v>
      </c>
      <c r="J205" s="18">
        <v>0</v>
      </c>
      <c r="K205" s="18">
        <f>77328.91+1908.17</f>
        <v>79237.08</v>
      </c>
      <c r="L205" s="13">
        <f t="shared" si="0"/>
        <v>409258.76000000007</v>
      </c>
      <c r="M205" s="8"/>
      <c r="N205" s="164"/>
    </row>
    <row r="206" spans="1:14" s="3" customFormat="1" ht="12.2" customHeight="1" x14ac:dyDescent="0.15">
      <c r="A206" s="1" t="s">
        <v>445</v>
      </c>
      <c r="B206" s="2" t="s">
        <v>341</v>
      </c>
      <c r="C206" s="2" t="s">
        <v>297</v>
      </c>
      <c r="D206" s="2" t="s">
        <v>431</v>
      </c>
      <c r="E206" s="6">
        <v>2400</v>
      </c>
      <c r="F206" s="18">
        <f>116684.1+66101.61+102368</f>
        <v>285153.71000000002</v>
      </c>
      <c r="G206" s="18">
        <f>127012.77</f>
        <v>127012.77</v>
      </c>
      <c r="H206" s="18">
        <f>1160+9984.89+1417.95</f>
        <v>12562.84</v>
      </c>
      <c r="I206" s="18">
        <f>9626.24</f>
        <v>9626.24</v>
      </c>
      <c r="J206" s="18">
        <f>376.01</f>
        <v>376.01</v>
      </c>
      <c r="K206" s="18">
        <f>1977</f>
        <v>1977</v>
      </c>
      <c r="L206" s="13">
        <f t="shared" si="0"/>
        <v>436708.57000000007</v>
      </c>
      <c r="M206" s="8"/>
      <c r="N206" s="1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4"/>
    </row>
    <row r="208" spans="1:14" s="3" customFormat="1" ht="12.2" customHeight="1" x14ac:dyDescent="0.15">
      <c r="A208" s="1" t="s">
        <v>447</v>
      </c>
      <c r="B208" s="2" t="s">
        <v>341</v>
      </c>
      <c r="C208" s="2" t="s">
        <v>299</v>
      </c>
      <c r="D208" s="2" t="s">
        <v>431</v>
      </c>
      <c r="E208" s="6">
        <v>2600</v>
      </c>
      <c r="F208" s="18">
        <f>152709.64+20093.61</f>
        <v>172803.25</v>
      </c>
      <c r="G208" s="18">
        <f>91674.38+11629.35</f>
        <v>103303.73000000001</v>
      </c>
      <c r="H208" s="18">
        <f>517+12970.9+6456.53+27339.37+165-93.55+1194+6032.5+16313.65+14638.5+1416.55+17111.9</f>
        <v>104062.35</v>
      </c>
      <c r="I208" s="18">
        <f>26689.95+46800.9+93252.39+1070.23+1028.67</f>
        <v>168842.14</v>
      </c>
      <c r="J208" s="18">
        <v>0</v>
      </c>
      <c r="K208" s="18">
        <v>0</v>
      </c>
      <c r="L208" s="13">
        <f t="shared" si="0"/>
        <v>549011.47</v>
      </c>
      <c r="M208" s="8"/>
      <c r="N208" s="164"/>
    </row>
    <row r="209" spans="1:14" s="3" customFormat="1" ht="12.2" customHeight="1" x14ac:dyDescent="0.15">
      <c r="A209" s="1" t="s">
        <v>448</v>
      </c>
      <c r="B209" s="2" t="s">
        <v>341</v>
      </c>
      <c r="C209" s="2" t="s">
        <v>300</v>
      </c>
      <c r="D209" s="2" t="s">
        <v>431</v>
      </c>
      <c r="E209" s="6">
        <v>2700</v>
      </c>
      <c r="F209" s="18">
        <f>166878.35+23973.07+1372.7+37072.1</f>
        <v>229296.22000000003</v>
      </c>
      <c r="G209" s="18">
        <f>47631.65+2591.51+145.48+24749.03</f>
        <v>75117.670000000013</v>
      </c>
      <c r="H209" s="18">
        <f>2818.42+60730.52+152.92+39076.33</f>
        <v>102778.19</v>
      </c>
      <c r="I209" s="18">
        <f>1803.32+60674.11</f>
        <v>62477.43</v>
      </c>
      <c r="J209" s="18">
        <f>5020.67+60077.94</f>
        <v>65098.61</v>
      </c>
      <c r="K209" s="18">
        <f>5583.86</f>
        <v>5583.86</v>
      </c>
      <c r="L209" s="13">
        <f t="shared" si="0"/>
        <v>540351.98</v>
      </c>
      <c r="M209" s="8"/>
      <c r="N209" s="164"/>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5423178.1599999992</v>
      </c>
      <c r="G212" s="38">
        <f t="shared" si="1"/>
        <v>2734466.5900000003</v>
      </c>
      <c r="H212" s="38">
        <f t="shared" si="1"/>
        <v>753147.45</v>
      </c>
      <c r="I212" s="38">
        <f t="shared" si="1"/>
        <v>398701.85</v>
      </c>
      <c r="J212" s="38">
        <f t="shared" si="1"/>
        <v>187322.32</v>
      </c>
      <c r="K212" s="38">
        <f t="shared" si="1"/>
        <v>91392.47</v>
      </c>
      <c r="L212" s="38">
        <f t="shared" si="1"/>
        <v>9588208.8400000017</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f>2628386.22+28592.04+45485.16</f>
        <v>2702463.4200000004</v>
      </c>
      <c r="G216" s="18">
        <f>27571.26+1344605.36</f>
        <v>1372176.62</v>
      </c>
      <c r="H216" s="18">
        <f>172.09+20370.13+803.59</f>
        <v>21345.81</v>
      </c>
      <c r="I216" s="18">
        <f>5116.45+3426.25+1623.49+2113.07+504.75+1755.11+2574.51+7554.88+22231.65+100+3208.32+13210.47+1645.5+17244.37+21953.39+1618.18+3060.99</f>
        <v>108941.38</v>
      </c>
      <c r="J216" s="18">
        <f>846.58+5932.84</f>
        <v>6779.42</v>
      </c>
      <c r="K216" s="18">
        <f>674</f>
        <v>674</v>
      </c>
      <c r="L216" s="13">
        <f>SUM(F216:K216)</f>
        <v>4212380.6500000004</v>
      </c>
      <c r="M216" s="8"/>
      <c r="N216" s="164"/>
    </row>
    <row r="217" spans="1:14" s="3" customFormat="1" ht="12.2" customHeight="1" x14ac:dyDescent="0.15">
      <c r="A217" s="1" t="s">
        <v>439</v>
      </c>
      <c r="B217" s="2" t="s">
        <v>346</v>
      </c>
      <c r="C217" s="2" t="s">
        <v>291</v>
      </c>
      <c r="D217" s="2" t="s">
        <v>431</v>
      </c>
      <c r="E217" s="6">
        <v>1200</v>
      </c>
      <c r="F217" s="18">
        <f>566576.62+467829.68+11008.62+46357.03+4714.13</f>
        <v>1096486.0799999998</v>
      </c>
      <c r="G217" s="18">
        <f>543034.32+717.61</f>
        <v>543751.92999999993</v>
      </c>
      <c r="H217" s="18">
        <f>1097.3+3117.24+75122.8+73.2</f>
        <v>79410.539999999994</v>
      </c>
      <c r="I217" s="18">
        <f>1767.98+2339.15+5756.31+108.96</f>
        <v>9972.4</v>
      </c>
      <c r="J217" s="18">
        <f>708.95+446.96</f>
        <v>1155.9100000000001</v>
      </c>
      <c r="K217" s="18">
        <f>920.25</f>
        <v>920.25</v>
      </c>
      <c r="L217" s="13">
        <f>SUM(F217:K217)</f>
        <v>1731697.1099999996</v>
      </c>
      <c r="M217" s="8"/>
      <c r="N217" s="1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4"/>
    </row>
    <row r="219" spans="1:14" s="3" customFormat="1" ht="12.2" customHeight="1" x14ac:dyDescent="0.15">
      <c r="A219" s="1" t="s">
        <v>441</v>
      </c>
      <c r="B219" s="2" t="s">
        <v>346</v>
      </c>
      <c r="C219" s="2" t="s">
        <v>293</v>
      </c>
      <c r="D219" s="2" t="s">
        <v>431</v>
      </c>
      <c r="E219" s="6">
        <v>1400</v>
      </c>
      <c r="F219" s="18">
        <f>36401.5+35631.59</f>
        <v>72033.09</v>
      </c>
      <c r="G219" s="18">
        <f>9222.1+12687.74</f>
        <v>21909.84</v>
      </c>
      <c r="H219" s="18">
        <f>8000</f>
        <v>8000</v>
      </c>
      <c r="I219" s="18">
        <f>2040.77+2744.33</f>
        <v>4785.1000000000004</v>
      </c>
      <c r="J219" s="18">
        <f>5798.75</f>
        <v>5798.75</v>
      </c>
      <c r="K219" s="18">
        <f>1138.95+5053.7</f>
        <v>6192.65</v>
      </c>
      <c r="L219" s="13">
        <f>SUM(F219:K219)</f>
        <v>118719.43</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f>171835.02+73249.02+25424.08+72088.24+35249.07+13196.74+49950.54</f>
        <v>440992.70999999996</v>
      </c>
      <c r="G221" s="18">
        <f>94503.1+52798.24+41650.6+25438.26+31552.23</f>
        <v>245942.43000000002</v>
      </c>
      <c r="H221" s="18">
        <f>16961.1+1893.33+2034.89+154.22+2084.56+786.67+166.67</f>
        <v>24081.439999999999</v>
      </c>
      <c r="I221" s="18">
        <f>776.93+1830.06+1830.9+415.84+547.95+296.9</f>
        <v>5698.579999999999</v>
      </c>
      <c r="J221" s="18">
        <f>161.68+64.49</f>
        <v>226.17000000000002</v>
      </c>
      <c r="K221" s="18">
        <v>0</v>
      </c>
      <c r="L221" s="13">
        <f t="shared" ref="L221:L227" si="2">SUM(F221:K221)</f>
        <v>716941.33</v>
      </c>
      <c r="M221" s="8"/>
      <c r="N221" s="164"/>
    </row>
    <row r="222" spans="1:14" s="3" customFormat="1" ht="12.2" customHeight="1" x14ac:dyDescent="0.15">
      <c r="A222" s="1" t="s">
        <v>443</v>
      </c>
      <c r="B222" s="2" t="s">
        <v>346</v>
      </c>
      <c r="C222" s="2" t="s">
        <v>295</v>
      </c>
      <c r="D222" s="2" t="s">
        <v>431</v>
      </c>
      <c r="E222" s="6">
        <v>2200</v>
      </c>
      <c r="F222" s="18">
        <f>85595+22994.25+82240.71+2859.17</f>
        <v>193689.13000000003</v>
      </c>
      <c r="G222" s="18">
        <f>56075.87+33489.68+69.9</f>
        <v>89635.45</v>
      </c>
      <c r="H222" s="18">
        <f>347.98+35249.23+21120.72+15198.09</f>
        <v>71916.02</v>
      </c>
      <c r="I222" s="18">
        <f>950.46+4857.05+5939.31</f>
        <v>11746.82</v>
      </c>
      <c r="J222" s="18">
        <f>109338.23</f>
        <v>109338.23</v>
      </c>
      <c r="K222" s="18">
        <v>0</v>
      </c>
      <c r="L222" s="13">
        <f t="shared" si="2"/>
        <v>476325.65</v>
      </c>
      <c r="M222" s="8"/>
      <c r="N222" s="164"/>
    </row>
    <row r="223" spans="1:14" s="3" customFormat="1" ht="12.2" customHeight="1" x14ac:dyDescent="0.15">
      <c r="A223" s="1" t="s">
        <v>444</v>
      </c>
      <c r="B223" s="2" t="s">
        <v>346</v>
      </c>
      <c r="C223" s="2" t="s">
        <v>296</v>
      </c>
      <c r="D223" s="2" t="s">
        <v>431</v>
      </c>
      <c r="E223" s="6">
        <v>2300</v>
      </c>
      <c r="F223" s="18">
        <f>4754.17+100+500</f>
        <v>5354.17</v>
      </c>
      <c r="G223" s="18">
        <f>363.7+38.25</f>
        <v>401.95</v>
      </c>
      <c r="H223" s="18">
        <f>1737.56+17174.85+5711.67+294004.33</f>
        <v>318628.41000000003</v>
      </c>
      <c r="I223" s="18">
        <f>5637.15</f>
        <v>5637.15</v>
      </c>
      <c r="J223" s="18">
        <v>0</v>
      </c>
      <c r="K223" s="18">
        <f>77328.91+1908.17</f>
        <v>79237.08</v>
      </c>
      <c r="L223" s="13">
        <f t="shared" si="2"/>
        <v>409258.76000000007</v>
      </c>
      <c r="M223" s="8"/>
      <c r="N223" s="164"/>
    </row>
    <row r="224" spans="1:14" s="3" customFormat="1" ht="12.2" customHeight="1" x14ac:dyDescent="0.15">
      <c r="A224" s="1" t="s">
        <v>445</v>
      </c>
      <c r="B224" s="2" t="s">
        <v>346</v>
      </c>
      <c r="C224" s="2" t="s">
        <v>297</v>
      </c>
      <c r="D224" s="2" t="s">
        <v>431</v>
      </c>
      <c r="E224" s="6">
        <v>2400</v>
      </c>
      <c r="F224" s="18">
        <f>126975.04+96043.65+102368</f>
        <v>325386.69</v>
      </c>
      <c r="G224" s="18">
        <v>144933.29</v>
      </c>
      <c r="H224" s="18">
        <f>52934.01+1947.37+286.22</f>
        <v>55167.600000000006</v>
      </c>
      <c r="I224" s="18">
        <f>598+9626.24</f>
        <v>10224.24</v>
      </c>
      <c r="J224" s="18">
        <v>0</v>
      </c>
      <c r="K224" s="18">
        <f>2045</f>
        <v>2045</v>
      </c>
      <c r="L224" s="13">
        <f t="shared" si="2"/>
        <v>537756.81999999995</v>
      </c>
      <c r="M224" s="8"/>
      <c r="N224" s="164"/>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3">
        <f t="shared" si="2"/>
        <v>0</v>
      </c>
      <c r="M225" s="8"/>
      <c r="N225" s="164"/>
    </row>
    <row r="226" spans="1:14" s="3" customFormat="1" ht="12.2" customHeight="1" x14ac:dyDescent="0.15">
      <c r="A226" s="1" t="s">
        <v>447</v>
      </c>
      <c r="B226" s="2" t="s">
        <v>346</v>
      </c>
      <c r="C226" s="2" t="s">
        <v>299</v>
      </c>
      <c r="D226" s="2" t="s">
        <v>431</v>
      </c>
      <c r="E226" s="6">
        <v>2600</v>
      </c>
      <c r="F226" s="18">
        <f>153851.85+35443.8</f>
        <v>189295.65000000002</v>
      </c>
      <c r="G226" s="18">
        <f>92360.07+20513.4</f>
        <v>112873.47</v>
      </c>
      <c r="H226" s="18">
        <f>517+12461.16+6140.54+43328.82+1010+4745.56+45581.88+22258.01+14876.1+4249.65+22363.56+1041</f>
        <v>178573.28</v>
      </c>
      <c r="I226" s="18">
        <f>22588.2+60920.27+127231.61+3210.7+3086</f>
        <v>217036.78000000003</v>
      </c>
      <c r="J226" s="18">
        <v>0</v>
      </c>
      <c r="K226" s="18">
        <v>0</v>
      </c>
      <c r="L226" s="13">
        <f t="shared" si="2"/>
        <v>697779.18</v>
      </c>
      <c r="M226" s="8"/>
      <c r="N226" s="164"/>
    </row>
    <row r="227" spans="1:14" s="3" customFormat="1" ht="12.2" customHeight="1" x14ac:dyDescent="0.15">
      <c r="A227" s="1" t="s">
        <v>448</v>
      </c>
      <c r="B227" s="2" t="s">
        <v>346</v>
      </c>
      <c r="C227" s="2" t="s">
        <v>300</v>
      </c>
      <c r="D227" s="2" t="s">
        <v>431</v>
      </c>
      <c r="E227" s="6">
        <v>2700</v>
      </c>
      <c r="F227" s="18">
        <f>166878.35+23973.07+8922.54+11218.12+37072.1</f>
        <v>248064.18000000002</v>
      </c>
      <c r="G227" s="18">
        <f>47631.65+2591.51+945.63+1172.54+24749.03</f>
        <v>77090.36</v>
      </c>
      <c r="H227" s="18">
        <f>2818.42+60730.52+993.99+39076.33</f>
        <v>103619.26</v>
      </c>
      <c r="I227" s="18">
        <f>1803.32+60674.11</f>
        <v>62477.43</v>
      </c>
      <c r="J227" s="18">
        <f>5020.67+60077.94</f>
        <v>65098.61</v>
      </c>
      <c r="K227" s="18">
        <f>5583.86</f>
        <v>5583.86</v>
      </c>
      <c r="L227" s="13">
        <f t="shared" si="2"/>
        <v>561933.70000000007</v>
      </c>
      <c r="M227" s="8"/>
      <c r="N227" s="164"/>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5273765.12</v>
      </c>
      <c r="G230" s="38">
        <f>SUM(G216:G229)</f>
        <v>2608715.3400000008</v>
      </c>
      <c r="H230" s="38">
        <f>SUM(H216:H229)</f>
        <v>860742.3600000001</v>
      </c>
      <c r="I230" s="38">
        <f>SUM(I216:I229)</f>
        <v>436519.88</v>
      </c>
      <c r="J230" s="38">
        <f>SUM(J216:J229)</f>
        <v>188397.09</v>
      </c>
      <c r="K230" s="38">
        <f t="shared" si="3"/>
        <v>94652.84</v>
      </c>
      <c r="L230" s="38">
        <f t="shared" si="3"/>
        <v>9462792.629999999</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f>3410704.14+51489.98+52502.44</f>
        <v>3514696.56</v>
      </c>
      <c r="G234" s="18">
        <f>31824.85+1748730.37</f>
        <v>1780555.2200000002</v>
      </c>
      <c r="H234" s="18">
        <f>198.64+30307.02+1495.01</f>
        <v>32000.67</v>
      </c>
      <c r="I234" s="18">
        <f>16107.06+150.97+2992.74+9667.2+13561.23+1505.75+4517.67+9795.99+16157.01+16207.43+1317.01+1087.07+338.47</f>
        <v>93405.599999999991</v>
      </c>
      <c r="J234" s="18">
        <f>6961.14+1264.95+6004.08+12729.6+5655.41</f>
        <v>32615.18</v>
      </c>
      <c r="K234" s="18">
        <f>7965</f>
        <v>7965</v>
      </c>
      <c r="L234" s="13">
        <f>SUM(F234:K234)</f>
        <v>5461238.2299999995</v>
      </c>
      <c r="M234" s="8"/>
      <c r="N234" s="164"/>
    </row>
    <row r="235" spans="1:14" s="3" customFormat="1" ht="12.2" customHeight="1" x14ac:dyDescent="0.15">
      <c r="A235" s="1" t="s">
        <v>439</v>
      </c>
      <c r="B235" s="2" t="s">
        <v>350</v>
      </c>
      <c r="C235" s="2" t="s">
        <v>291</v>
      </c>
      <c r="D235" s="2" t="s">
        <v>431</v>
      </c>
      <c r="E235" s="6">
        <v>1200</v>
      </c>
      <c r="F235" s="18">
        <f>610418.99+317578.13+12706.99+53508.83+4714.13</f>
        <v>998927.07</v>
      </c>
      <c r="G235" s="18">
        <f>494509.63+717.61</f>
        <v>495227.24</v>
      </c>
      <c r="H235" s="18">
        <f>3598.16+86712.48+1600+901358.99+84.49</f>
        <v>993354.12</v>
      </c>
      <c r="I235" s="18">
        <f>2040.74+4216.16+164.85+6644.37+7000</f>
        <v>20066.12</v>
      </c>
      <c r="J235" s="18">
        <f>1269.69+818.32+3397.81</f>
        <v>5485.82</v>
      </c>
      <c r="K235" s="18">
        <f>1062.22</f>
        <v>1062.22</v>
      </c>
      <c r="L235" s="13">
        <f>SUM(F235:K235)</f>
        <v>2514122.5900000003</v>
      </c>
      <c r="M235" s="8"/>
      <c r="N235" s="164"/>
    </row>
    <row r="236" spans="1:14" s="3" customFormat="1" ht="12.2" customHeight="1" x14ac:dyDescent="0.15">
      <c r="A236" s="1" t="s">
        <v>440</v>
      </c>
      <c r="B236" s="2" t="s">
        <v>350</v>
      </c>
      <c r="C236" s="2" t="s">
        <v>292</v>
      </c>
      <c r="D236" s="2" t="s">
        <v>431</v>
      </c>
      <c r="E236" s="6">
        <v>1300</v>
      </c>
      <c r="F236" s="18">
        <v>0</v>
      </c>
      <c r="G236" s="18">
        <v>0</v>
      </c>
      <c r="H236" s="18">
        <v>353738.84</v>
      </c>
      <c r="I236" s="18">
        <v>0</v>
      </c>
      <c r="J236" s="18">
        <v>0</v>
      </c>
      <c r="K236" s="18">
        <v>0</v>
      </c>
      <c r="L236" s="13">
        <f>SUM(F236:K236)</f>
        <v>353738.84</v>
      </c>
      <c r="M236" s="8"/>
      <c r="N236" s="164"/>
    </row>
    <row r="237" spans="1:14" s="3" customFormat="1" ht="12.2" customHeight="1" x14ac:dyDescent="0.15">
      <c r="A237" s="1" t="s">
        <v>441</v>
      </c>
      <c r="B237" s="2" t="s">
        <v>350</v>
      </c>
      <c r="C237" s="2" t="s">
        <v>293</v>
      </c>
      <c r="D237" s="2" t="s">
        <v>431</v>
      </c>
      <c r="E237" s="6">
        <v>1400</v>
      </c>
      <c r="F237" s="18">
        <f>77332.5+89122.02+180161+8400</f>
        <v>355015.52</v>
      </c>
      <c r="G237" s="18">
        <f>19591.71+95886.61+2319.4</f>
        <v>117797.72</v>
      </c>
      <c r="H237" s="18">
        <f>300+59114.9+3338.4+40000+35311.09+3189</f>
        <v>141253.39000000001</v>
      </c>
      <c r="I237" s="18">
        <f>8828.4+27361.71</f>
        <v>36190.11</v>
      </c>
      <c r="J237" s="18">
        <f>29750+27715.57</f>
        <v>57465.57</v>
      </c>
      <c r="K237" s="18">
        <f>17272.28+600+13449.4</f>
        <v>31321.68</v>
      </c>
      <c r="L237" s="13">
        <f>SUM(F237:K237)</f>
        <v>739043.99</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f>323732.38+55815.02+72976.8+83209.76+35249.07+13196.74+49950.54</f>
        <v>634130.30999999994</v>
      </c>
      <c r="G239" s="18">
        <f>208737.45+39048.6+48076.31+25438.25+31555.2</f>
        <v>352855.81</v>
      </c>
      <c r="H239" s="18">
        <f>16961.11+1833.94+600+1893.33+2348.83+154.22+2084.56+789.67+166.67</f>
        <v>26832.329999999998</v>
      </c>
      <c r="I239" s="18">
        <f>903.35+139.27+19442.05+720.65+2113.36+479.99+547.95+296.9</f>
        <v>24643.520000000004</v>
      </c>
      <c r="J239" s="18">
        <f>219.9+161.68+64.49</f>
        <v>446.07000000000005</v>
      </c>
      <c r="K239" s="18">
        <f>575+105</f>
        <v>680</v>
      </c>
      <c r="L239" s="13">
        <f t="shared" ref="L239:L245" si="4">SUM(F239:K239)</f>
        <v>1039588.0399999998</v>
      </c>
      <c r="M239" s="8"/>
      <c r="N239" s="164"/>
    </row>
    <row r="240" spans="1:14" s="3" customFormat="1" ht="12.2" customHeight="1" x14ac:dyDescent="0.15">
      <c r="A240" s="1" t="s">
        <v>443</v>
      </c>
      <c r="B240" s="2" t="s">
        <v>350</v>
      </c>
      <c r="C240" s="2" t="s">
        <v>295</v>
      </c>
      <c r="D240" s="2" t="s">
        <v>431</v>
      </c>
      <c r="E240" s="6">
        <v>2200</v>
      </c>
      <c r="F240" s="18">
        <f>87495.92+94928.51+2859.17</f>
        <v>185283.6</v>
      </c>
      <c r="G240" s="18">
        <f>42753.21+38656.34+69.9-269.99</f>
        <v>81209.459999999977</v>
      </c>
      <c r="H240" s="18">
        <f>401.67+40687.35+24379.15+21140.39</f>
        <v>86608.56</v>
      </c>
      <c r="I240" s="18">
        <f>3299.86+3692.12+50099.56</f>
        <v>57091.539999999994</v>
      </c>
      <c r="J240" s="18">
        <f>1808.05+126206.54</f>
        <v>128014.59</v>
      </c>
      <c r="K240" s="18">
        <f>391</f>
        <v>391</v>
      </c>
      <c r="L240" s="13">
        <f t="shared" si="4"/>
        <v>538598.75</v>
      </c>
      <c r="M240" s="8"/>
      <c r="N240" s="164"/>
    </row>
    <row r="241" spans="1:14" s="3" customFormat="1" ht="12.2" customHeight="1" x14ac:dyDescent="0.15">
      <c r="A241" s="1" t="s">
        <v>444</v>
      </c>
      <c r="B241" s="2" t="s">
        <v>350</v>
      </c>
      <c r="C241" s="2" t="s">
        <v>296</v>
      </c>
      <c r="D241" s="2" t="s">
        <v>431</v>
      </c>
      <c r="E241" s="6">
        <v>2300</v>
      </c>
      <c r="F241" s="18">
        <f>4754.17+100+500-0.01</f>
        <v>5354.16</v>
      </c>
      <c r="G241" s="18">
        <f>363.7+38.25</f>
        <v>401.95</v>
      </c>
      <c r="H241" s="18">
        <f>1737.56+17174.85+5711.67+294004.33</f>
        <v>318628.41000000003</v>
      </c>
      <c r="I241" s="18">
        <f>5637.15</f>
        <v>5637.15</v>
      </c>
      <c r="J241" s="18">
        <v>0</v>
      </c>
      <c r="K241" s="18">
        <f>77328.91+1908.17</f>
        <v>79237.08</v>
      </c>
      <c r="L241" s="13">
        <f t="shared" si="4"/>
        <v>409258.75000000006</v>
      </c>
      <c r="M241" s="8"/>
      <c r="N241" s="164"/>
    </row>
    <row r="242" spans="1:14" s="3" customFormat="1" ht="12.2" customHeight="1" x14ac:dyDescent="0.15">
      <c r="A242" s="1" t="s">
        <v>445</v>
      </c>
      <c r="B242" s="2" t="s">
        <v>350</v>
      </c>
      <c r="C242" s="2" t="s">
        <v>297</v>
      </c>
      <c r="D242" s="2" t="s">
        <v>431</v>
      </c>
      <c r="E242" s="6">
        <v>2400</v>
      </c>
      <c r="F242" s="18">
        <f>135222.43+131001.87+103780.04</f>
        <v>370004.33999999997</v>
      </c>
      <c r="G242" s="18">
        <v>164806.82</v>
      </c>
      <c r="H242" s="18">
        <f>830+22735.1+3981.14+4958.87</f>
        <v>32505.109999999997</v>
      </c>
      <c r="I242" s="18">
        <f>1488.58+9626.24</f>
        <v>11114.82</v>
      </c>
      <c r="J242" s="18">
        <v>0</v>
      </c>
      <c r="K242" s="18">
        <f>1209+9661.18</f>
        <v>10870.18</v>
      </c>
      <c r="L242" s="13">
        <f t="shared" si="4"/>
        <v>589301.2699999999</v>
      </c>
      <c r="M242" s="8"/>
      <c r="N242" s="164"/>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4"/>
    </row>
    <row r="244" spans="1:14" s="3" customFormat="1" ht="12.2" customHeight="1" x14ac:dyDescent="0.15">
      <c r="A244" s="1" t="s">
        <v>447</v>
      </c>
      <c r="B244" s="2" t="s">
        <v>350</v>
      </c>
      <c r="C244" s="2" t="s">
        <v>299</v>
      </c>
      <c r="D244" s="2" t="s">
        <v>431</v>
      </c>
      <c r="E244" s="6">
        <v>2600</v>
      </c>
      <c r="F244" s="18">
        <f>231146.58+112529.27</f>
        <v>343675.85</v>
      </c>
      <c r="G244" s="18">
        <f>138761.5+65127.28</f>
        <v>203888.78</v>
      </c>
      <c r="H244" s="18">
        <f>516+31030.65+12952.76+214.14+37573.71+3103.7+379.25+5412.16+29168.82+36519.12-300.01+82557.35+22664.82+45258.8+5542.99</f>
        <v>312594.26</v>
      </c>
      <c r="I244" s="18">
        <f>34904.31+86191.46+208751.26+17123.71+16458.69</f>
        <v>363429.43000000005</v>
      </c>
      <c r="J244" s="18">
        <v>0</v>
      </c>
      <c r="K244" s="18">
        <v>0</v>
      </c>
      <c r="L244" s="13">
        <f t="shared" si="4"/>
        <v>1223588.32</v>
      </c>
      <c r="M244" s="8"/>
      <c r="N244" s="164"/>
    </row>
    <row r="245" spans="1:14" s="3" customFormat="1" ht="12.2" customHeight="1" x14ac:dyDescent="0.15">
      <c r="A245" s="1" t="s">
        <v>448</v>
      </c>
      <c r="B245" s="2" t="s">
        <v>350</v>
      </c>
      <c r="C245" s="2" t="s">
        <v>300</v>
      </c>
      <c r="D245" s="2" t="s">
        <v>431</v>
      </c>
      <c r="E245" s="6">
        <v>2700</v>
      </c>
      <c r="F245" s="18">
        <f>51347.19+23973.06+18531.44+32407.9+11406.8+43964.63</f>
        <v>181631.02</v>
      </c>
      <c r="G245" s="18">
        <f>14655.89+9.67+2591.51+1963.99+3387.33+7615.08+4606.27</f>
        <v>34829.740000000005</v>
      </c>
      <c r="H245" s="18">
        <f>867.21+60730.52+2064.44+5326+12023.49</f>
        <v>81011.66</v>
      </c>
      <c r="I245" s="18">
        <f>554.87+18668.96</f>
        <v>19223.829999999998</v>
      </c>
      <c r="J245" s="18">
        <f>5020.67+18485.52</f>
        <v>23506.190000000002</v>
      </c>
      <c r="K245" s="18">
        <f>1718.11</f>
        <v>1718.11</v>
      </c>
      <c r="L245" s="13">
        <f t="shared" si="4"/>
        <v>341920.55000000005</v>
      </c>
      <c r="M245" s="8"/>
      <c r="N245" s="164"/>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6588718.4299999988</v>
      </c>
      <c r="G248" s="38">
        <f t="shared" si="5"/>
        <v>3231572.74</v>
      </c>
      <c r="H248" s="38">
        <f t="shared" si="5"/>
        <v>2378527.3500000006</v>
      </c>
      <c r="I248" s="38">
        <f t="shared" si="5"/>
        <v>630802.12</v>
      </c>
      <c r="J248" s="38">
        <f t="shared" si="5"/>
        <v>247533.42</v>
      </c>
      <c r="K248" s="38">
        <f t="shared" si="5"/>
        <v>133245.26999999999</v>
      </c>
      <c r="L248" s="38">
        <f t="shared" si="5"/>
        <v>13210399.33</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4"/>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3">
        <f t="shared" si="6"/>
        <v>0</v>
      </c>
      <c r="M252" s="8"/>
      <c r="N252" s="164"/>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4"/>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3">
        <f t="shared" si="6"/>
        <v>0</v>
      </c>
      <c r="M254" s="8"/>
      <c r="N254" s="164"/>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6"/>
        <v>0</v>
      </c>
      <c r="M255" s="8"/>
      <c r="N255" s="164"/>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17285661.709999997</v>
      </c>
      <c r="G258" s="38">
        <f t="shared" si="8"/>
        <v>8574754.6700000018</v>
      </c>
      <c r="H258" s="38">
        <f t="shared" si="8"/>
        <v>3992417.1600000006</v>
      </c>
      <c r="I258" s="38">
        <f t="shared" si="8"/>
        <v>1466023.85</v>
      </c>
      <c r="J258" s="38">
        <f t="shared" si="8"/>
        <v>623252.83000000007</v>
      </c>
      <c r="K258" s="38">
        <f t="shared" si="8"/>
        <v>319290.57999999996</v>
      </c>
      <c r="L258" s="38">
        <f t="shared" si="8"/>
        <v>32261400.799999997</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200000</v>
      </c>
      <c r="L261" s="13">
        <f>SUM(F261:K261)</f>
        <v>200000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318762.27</v>
      </c>
      <c r="L262" s="13">
        <f>SUM(F262:K262)</f>
        <v>318762.27</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0</v>
      </c>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1159585</v>
      </c>
      <c r="L267" s="13">
        <f t="shared" si="9"/>
        <v>1159585</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0</v>
      </c>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v>0</v>
      </c>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1678347.27</v>
      </c>
      <c r="L271" s="38">
        <f t="shared" si="9"/>
        <v>1678347.27</v>
      </c>
      <c r="M271" s="8"/>
      <c r="N271" s="164"/>
    </row>
    <row r="272" spans="1:14" s="33" customFormat="1" ht="12.2" customHeight="1" thickTop="1" x14ac:dyDescent="0.2">
      <c r="A272" s="40" t="s">
        <v>464</v>
      </c>
      <c r="B272" s="37">
        <v>10</v>
      </c>
      <c r="C272" s="37">
        <v>18</v>
      </c>
      <c r="D272" s="36" t="s">
        <v>431</v>
      </c>
      <c r="E272" s="37"/>
      <c r="F272" s="39">
        <f t="shared" ref="F272:L272" si="11">F258+F271</f>
        <v>17285661.709999997</v>
      </c>
      <c r="G272" s="39">
        <f t="shared" si="11"/>
        <v>8574754.6700000018</v>
      </c>
      <c r="H272" s="39">
        <f t="shared" si="11"/>
        <v>3992417.1600000006</v>
      </c>
      <c r="I272" s="39">
        <f t="shared" si="11"/>
        <v>1466023.85</v>
      </c>
      <c r="J272" s="39">
        <f t="shared" si="11"/>
        <v>623252.83000000007</v>
      </c>
      <c r="K272" s="39">
        <f t="shared" si="11"/>
        <v>1997637.85</v>
      </c>
      <c r="L272" s="39">
        <f t="shared" si="11"/>
        <v>33939748.07</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f>37917.71+11991.78+3333.33</f>
        <v>53242.82</v>
      </c>
      <c r="G277" s="18">
        <f>22+38+917.4+255+2900.69+1984.08+1746.29+654.66+28+64</f>
        <v>8610.1200000000008</v>
      </c>
      <c r="H277" s="18">
        <f>2000</f>
        <v>2000</v>
      </c>
      <c r="I277" s="18">
        <f>3752+12390+1670.99+8353.01+1000</f>
        <v>27166</v>
      </c>
      <c r="J277" s="18">
        <v>0</v>
      </c>
      <c r="K277" s="18">
        <v>1436.22</v>
      </c>
      <c r="L277" s="13">
        <f>SUM(F277:K277)</f>
        <v>92455.16</v>
      </c>
      <c r="M277" s="8"/>
      <c r="N277" s="164"/>
    </row>
    <row r="278" spans="1:14" s="3" customFormat="1" ht="12.2" customHeight="1" x14ac:dyDescent="0.15">
      <c r="A278" s="1" t="s">
        <v>439</v>
      </c>
      <c r="B278" s="2" t="s">
        <v>357</v>
      </c>
      <c r="C278" s="2" t="s">
        <v>291</v>
      </c>
      <c r="D278" s="2" t="s">
        <v>431</v>
      </c>
      <c r="E278" s="6">
        <v>1200</v>
      </c>
      <c r="F278" s="18">
        <f>28066+5800.41+64804.62+20666.28+50701</f>
        <v>170038.31</v>
      </c>
      <c r="G278" s="18">
        <v>16949.990000000002</v>
      </c>
      <c r="H278" s="18">
        <f>666.67+9615.44+14689.17</f>
        <v>24971.279999999999</v>
      </c>
      <c r="I278" s="18">
        <f>1975.73+2561.18</f>
        <v>4536.91</v>
      </c>
      <c r="J278" s="18">
        <v>0</v>
      </c>
      <c r="K278" s="18">
        <v>3178.32</v>
      </c>
      <c r="L278" s="13">
        <f>SUM(F278:K278)</f>
        <v>219674.81</v>
      </c>
      <c r="M278" s="8"/>
      <c r="N278" s="1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4"/>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f>8700+5230.67</f>
        <v>13930.67</v>
      </c>
      <c r="G282" s="18">
        <f>665.56+4929</f>
        <v>5594.5599999999995</v>
      </c>
      <c r="H282" s="18">
        <f>3927.51</f>
        <v>3927.51</v>
      </c>
      <c r="I282" s="18">
        <v>1122.55</v>
      </c>
      <c r="J282" s="18">
        <v>0</v>
      </c>
      <c r="K282" s="18">
        <v>360.78</v>
      </c>
      <c r="L282" s="13">
        <f t="shared" ref="L282:L288" si="12">SUM(F282:K282)</f>
        <v>24936.069999999996</v>
      </c>
      <c r="M282" s="8"/>
      <c r="N282" s="164"/>
    </row>
    <row r="283" spans="1:14" s="3" customFormat="1" ht="12.2" customHeight="1" x14ac:dyDescent="0.15">
      <c r="A283" s="1" t="s">
        <v>443</v>
      </c>
      <c r="B283" s="2" t="s">
        <v>357</v>
      </c>
      <c r="C283" s="2" t="s">
        <v>295</v>
      </c>
      <c r="D283" s="2" t="s">
        <v>431</v>
      </c>
      <c r="E283" s="6">
        <v>2200</v>
      </c>
      <c r="F283" s="18">
        <f>27560.61+7333.33</f>
        <v>34893.94</v>
      </c>
      <c r="G283" s="18">
        <f>13781.48+2102.47</f>
        <v>15883.949999999999</v>
      </c>
      <c r="H283" s="18">
        <f>10404.05+666.67+4860.75+12556.99+1133.75</f>
        <v>29622.21</v>
      </c>
      <c r="I283" s="18">
        <f>116.67+435+413.18</f>
        <v>964.84999999999991</v>
      </c>
      <c r="J283" s="18">
        <v>0</v>
      </c>
      <c r="K283" s="18">
        <v>1194.49</v>
      </c>
      <c r="L283" s="13">
        <f t="shared" si="12"/>
        <v>82559.440000000017</v>
      </c>
      <c r="M283" s="8"/>
      <c r="N283" s="164"/>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3">
        <f t="shared" si="12"/>
        <v>0</v>
      </c>
      <c r="M284" s="8"/>
      <c r="N284" s="164"/>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4"/>
    </row>
    <row r="287" spans="1:14" s="3" customFormat="1" ht="12.2" customHeight="1" x14ac:dyDescent="0.15">
      <c r="A287" s="1" t="s">
        <v>447</v>
      </c>
      <c r="B287" s="2" t="s">
        <v>357</v>
      </c>
      <c r="C287" s="2" t="s">
        <v>299</v>
      </c>
      <c r="D287" s="2" t="s">
        <v>431</v>
      </c>
      <c r="E287" s="6">
        <v>2600</v>
      </c>
      <c r="F287" s="18">
        <v>0</v>
      </c>
      <c r="G287" s="18">
        <v>0</v>
      </c>
      <c r="H287" s="18">
        <v>0</v>
      </c>
      <c r="I287" s="18">
        <v>0</v>
      </c>
      <c r="J287" s="18">
        <v>17487.599999999999</v>
      </c>
      <c r="K287" s="18">
        <v>0</v>
      </c>
      <c r="L287" s="13">
        <f t="shared" si="12"/>
        <v>17487.599999999999</v>
      </c>
      <c r="M287" s="8"/>
      <c r="N287" s="164"/>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3">
        <f t="shared" si="12"/>
        <v>0</v>
      </c>
      <c r="M288" s="8"/>
      <c r="N288" s="1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272105.74</v>
      </c>
      <c r="G291" s="39">
        <f t="shared" si="13"/>
        <v>47038.619999999995</v>
      </c>
      <c r="H291" s="39">
        <f t="shared" si="13"/>
        <v>60521</v>
      </c>
      <c r="I291" s="39">
        <f t="shared" si="13"/>
        <v>33790.31</v>
      </c>
      <c r="J291" s="39">
        <f t="shared" si="13"/>
        <v>17487.599999999999</v>
      </c>
      <c r="K291" s="39">
        <f t="shared" si="13"/>
        <v>6169.8099999999995</v>
      </c>
      <c r="L291" s="38">
        <f t="shared" si="13"/>
        <v>437113.07999999996</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f>3333.33</f>
        <v>3333.33</v>
      </c>
      <c r="G296" s="18">
        <f>255+654.66</f>
        <v>909.66</v>
      </c>
      <c r="H296" s="18">
        <f>2000+400</f>
        <v>2400</v>
      </c>
      <c r="I296" s="18">
        <f>12390+6420+8353.01+3200</f>
        <v>30363.010000000002</v>
      </c>
      <c r="J296" s="18">
        <v>0</v>
      </c>
      <c r="K296" s="18">
        <v>751.07</v>
      </c>
      <c r="L296" s="13">
        <f>SUM(F296:K296)</f>
        <v>37757.07</v>
      </c>
      <c r="M296" s="8"/>
      <c r="N296" s="164"/>
    </row>
    <row r="297" spans="1:14" s="3" customFormat="1" ht="12.2" customHeight="1" x14ac:dyDescent="0.15">
      <c r="A297" s="1" t="s">
        <v>439</v>
      </c>
      <c r="B297" s="2" t="s">
        <v>358</v>
      </c>
      <c r="C297" s="2" t="s">
        <v>291</v>
      </c>
      <c r="D297" s="2" t="s">
        <v>431</v>
      </c>
      <c r="E297" s="6">
        <v>1200</v>
      </c>
      <c r="F297" s="18">
        <f>9030.7</f>
        <v>9030.7000000000007</v>
      </c>
      <c r="G297" s="18">
        <v>900.21</v>
      </c>
      <c r="H297" s="18">
        <f>666.67+9615.44+14689.17</f>
        <v>24971.279999999999</v>
      </c>
      <c r="I297" s="18">
        <f>1975.73+2561.18</f>
        <v>4536.91</v>
      </c>
      <c r="J297" s="18">
        <v>0</v>
      </c>
      <c r="K297" s="18">
        <v>800.46</v>
      </c>
      <c r="L297" s="13">
        <f>SUM(F297:K297)</f>
        <v>40239.560000000005</v>
      </c>
      <c r="M297" s="8"/>
      <c r="N297" s="1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4"/>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f>8530.67</f>
        <v>8530.67</v>
      </c>
      <c r="G301" s="18">
        <v>4929</v>
      </c>
      <c r="H301" s="18">
        <f>3927.51</f>
        <v>3927.51</v>
      </c>
      <c r="I301" s="18">
        <v>1122.55</v>
      </c>
      <c r="J301" s="18">
        <v>0</v>
      </c>
      <c r="K301" s="18">
        <v>375.67</v>
      </c>
      <c r="L301" s="13">
        <f t="shared" ref="L301:L307" si="14">SUM(F301:K301)</f>
        <v>18885.399999999998</v>
      </c>
      <c r="M301" s="8"/>
      <c r="N301" s="164"/>
    </row>
    <row r="302" spans="1:14" s="3" customFormat="1" ht="12.2" customHeight="1" x14ac:dyDescent="0.15">
      <c r="A302" s="1" t="s">
        <v>443</v>
      </c>
      <c r="B302" s="2" t="s">
        <v>358</v>
      </c>
      <c r="C302" s="2" t="s">
        <v>295</v>
      </c>
      <c r="D302" s="2" t="s">
        <v>431</v>
      </c>
      <c r="E302" s="6">
        <v>2200</v>
      </c>
      <c r="F302" s="18">
        <f>27560.61+7333.33</f>
        <v>34893.94</v>
      </c>
      <c r="G302" s="18">
        <f>13781.48+2102.47</f>
        <v>15883.949999999999</v>
      </c>
      <c r="H302" s="18">
        <f>10404.05+666.67+4860.75+12556.99+1133.75</f>
        <v>29622.21</v>
      </c>
      <c r="I302" s="18">
        <f>116.67+435+413.18</f>
        <v>964.84999999999991</v>
      </c>
      <c r="J302" s="18">
        <v>0</v>
      </c>
      <c r="K302" s="18">
        <v>1651.38</v>
      </c>
      <c r="L302" s="13">
        <f t="shared" si="14"/>
        <v>83016.330000000016</v>
      </c>
      <c r="M302" s="8"/>
      <c r="N302" s="164"/>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4"/>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4"/>
    </row>
    <row r="306" spans="1:14" s="3" customFormat="1" ht="12.2" customHeight="1" x14ac:dyDescent="0.15">
      <c r="A306" s="1" t="s">
        <v>447</v>
      </c>
      <c r="B306" s="2" t="s">
        <v>358</v>
      </c>
      <c r="C306" s="2" t="s">
        <v>299</v>
      </c>
      <c r="D306" s="2" t="s">
        <v>431</v>
      </c>
      <c r="E306" s="6">
        <v>2600</v>
      </c>
      <c r="F306" s="18">
        <v>0</v>
      </c>
      <c r="G306" s="18">
        <v>0</v>
      </c>
      <c r="H306" s="18">
        <v>0</v>
      </c>
      <c r="I306" s="18">
        <v>0</v>
      </c>
      <c r="J306" s="18">
        <v>77752</v>
      </c>
      <c r="K306" s="18">
        <v>0</v>
      </c>
      <c r="L306" s="13">
        <f t="shared" si="14"/>
        <v>77752</v>
      </c>
      <c r="M306" s="8"/>
      <c r="N306" s="164"/>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3">
        <f t="shared" si="14"/>
        <v>0</v>
      </c>
      <c r="M307" s="8"/>
      <c r="N307" s="164"/>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55788.639999999999</v>
      </c>
      <c r="G310" s="39">
        <f t="shared" si="15"/>
        <v>22622.82</v>
      </c>
      <c r="H310" s="39">
        <f t="shared" si="15"/>
        <v>60921</v>
      </c>
      <c r="I310" s="39">
        <f t="shared" si="15"/>
        <v>36987.32</v>
      </c>
      <c r="J310" s="39">
        <f t="shared" si="15"/>
        <v>77752</v>
      </c>
      <c r="K310" s="39">
        <f t="shared" si="15"/>
        <v>3578.5800000000004</v>
      </c>
      <c r="L310" s="38">
        <f t="shared" si="15"/>
        <v>257650.36000000002</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f>3333.33+0.03</f>
        <v>3333.36</v>
      </c>
      <c r="G315" s="18">
        <f>255+654.66</f>
        <v>909.66</v>
      </c>
      <c r="H315" s="18">
        <f>2000</f>
        <v>2000</v>
      </c>
      <c r="I315" s="18">
        <v>0</v>
      </c>
      <c r="J315" s="18">
        <v>0</v>
      </c>
      <c r="K315" s="18">
        <v>167.03</v>
      </c>
      <c r="L315" s="13">
        <f>SUM(F315:K315)</f>
        <v>6410.05</v>
      </c>
      <c r="M315" s="8"/>
      <c r="N315" s="164"/>
    </row>
    <row r="316" spans="1:14" s="3" customFormat="1" ht="12.2" customHeight="1" x14ac:dyDescent="0.15">
      <c r="A316" s="1" t="s">
        <v>439</v>
      </c>
      <c r="B316" s="2" t="s">
        <v>359</v>
      </c>
      <c r="C316" s="2" t="s">
        <v>291</v>
      </c>
      <c r="D316" s="2" t="s">
        <v>431</v>
      </c>
      <c r="E316" s="6">
        <v>1200</v>
      </c>
      <c r="F316" s="18">
        <f>3200+6046+29361.11+7356</f>
        <v>45963.11</v>
      </c>
      <c r="G316" s="18">
        <v>4581.76</v>
      </c>
      <c r="H316" s="18">
        <f>666.67+9615.44+14689.17</f>
        <v>24971.279999999999</v>
      </c>
      <c r="I316" s="18">
        <f>1975.73+2561.18</f>
        <v>4536.91</v>
      </c>
      <c r="J316" s="18">
        <v>0</v>
      </c>
      <c r="K316" s="18">
        <v>215.46</v>
      </c>
      <c r="L316" s="13">
        <f>SUM(F316:K316)</f>
        <v>80268.52</v>
      </c>
      <c r="M316" s="8"/>
      <c r="N316" s="164"/>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4"/>
    </row>
    <row r="318" spans="1:14" s="3" customFormat="1" ht="12.2" customHeight="1" x14ac:dyDescent="0.15">
      <c r="A318" s="1" t="s">
        <v>441</v>
      </c>
      <c r="B318" s="2" t="s">
        <v>359</v>
      </c>
      <c r="C318" s="2" t="s">
        <v>293</v>
      </c>
      <c r="D318" s="2" t="s">
        <v>431</v>
      </c>
      <c r="E318" s="6">
        <v>1400</v>
      </c>
      <c r="F318" s="18">
        <v>0</v>
      </c>
      <c r="G318" s="18">
        <v>0</v>
      </c>
      <c r="H318" s="18">
        <v>0</v>
      </c>
      <c r="I318" s="18">
        <v>1138</v>
      </c>
      <c r="J318" s="18">
        <v>0</v>
      </c>
      <c r="K318" s="18">
        <v>0</v>
      </c>
      <c r="L318" s="13">
        <f>SUM(F318:K318)</f>
        <v>1138</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f>8530.67</f>
        <v>8530.67</v>
      </c>
      <c r="G320" s="18">
        <v>4929</v>
      </c>
      <c r="H320" s="18">
        <f>3927.51</f>
        <v>3927.51</v>
      </c>
      <c r="I320" s="18">
        <v>1122.55</v>
      </c>
      <c r="J320" s="18">
        <v>0</v>
      </c>
      <c r="K320" s="18">
        <v>495.23</v>
      </c>
      <c r="L320" s="13">
        <f t="shared" ref="L320:L326" si="16">SUM(F320:K320)</f>
        <v>19004.96</v>
      </c>
      <c r="M320" s="8"/>
      <c r="N320" s="164"/>
    </row>
    <row r="321" spans="1:14" s="3" customFormat="1" ht="12.2" customHeight="1" x14ac:dyDescent="0.15">
      <c r="A321" s="1" t="s">
        <v>443</v>
      </c>
      <c r="B321" s="2" t="s">
        <v>359</v>
      </c>
      <c r="C321" s="2" t="s">
        <v>295</v>
      </c>
      <c r="D321" s="2" t="s">
        <v>431</v>
      </c>
      <c r="E321" s="6">
        <v>2200</v>
      </c>
      <c r="F321" s="18">
        <f>27560.61+7333.33</f>
        <v>34893.94</v>
      </c>
      <c r="G321" s="18">
        <f>13781.48+2102.47</f>
        <v>15883.949999999999</v>
      </c>
      <c r="H321" s="18">
        <f>10404.05+666.67+4860.75-0.04</f>
        <v>15931.429999999998</v>
      </c>
      <c r="I321" s="18">
        <f>116.67+435+413.18</f>
        <v>964.84999999999991</v>
      </c>
      <c r="J321" s="18">
        <v>0</v>
      </c>
      <c r="K321" s="18">
        <v>1810.64</v>
      </c>
      <c r="L321" s="13">
        <f t="shared" si="16"/>
        <v>69484.81</v>
      </c>
      <c r="M321" s="8"/>
      <c r="N321" s="164"/>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3">
        <f t="shared" si="16"/>
        <v>0</v>
      </c>
      <c r="M322" s="8"/>
      <c r="N322" s="164"/>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4"/>
    </row>
    <row r="325" spans="1:14" s="3" customFormat="1" ht="12.2" customHeight="1" x14ac:dyDescent="0.15">
      <c r="A325" s="1" t="s">
        <v>447</v>
      </c>
      <c r="B325" s="2" t="s">
        <v>359</v>
      </c>
      <c r="C325" s="2" t="s">
        <v>299</v>
      </c>
      <c r="D325" s="2" t="s">
        <v>431</v>
      </c>
      <c r="E325" s="6">
        <v>2600</v>
      </c>
      <c r="F325" s="18">
        <v>0</v>
      </c>
      <c r="G325" s="18">
        <v>0</v>
      </c>
      <c r="H325" s="18">
        <v>0</v>
      </c>
      <c r="I325" s="18">
        <v>0</v>
      </c>
      <c r="J325" s="18">
        <v>17250.099999999999</v>
      </c>
      <c r="K325" s="18">
        <v>0</v>
      </c>
      <c r="L325" s="13">
        <f t="shared" si="16"/>
        <v>17250.099999999999</v>
      </c>
      <c r="M325" s="8"/>
      <c r="N325" s="164"/>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3">
        <f t="shared" si="16"/>
        <v>0</v>
      </c>
      <c r="M326" s="8"/>
      <c r="N326" s="164"/>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92721.08</v>
      </c>
      <c r="G329" s="39">
        <f t="shared" si="17"/>
        <v>26304.37</v>
      </c>
      <c r="H329" s="39">
        <f t="shared" si="17"/>
        <v>46830.22</v>
      </c>
      <c r="I329" s="39">
        <f t="shared" si="17"/>
        <v>7762.3099999999995</v>
      </c>
      <c r="J329" s="39">
        <f t="shared" si="17"/>
        <v>17250.099999999999</v>
      </c>
      <c r="K329" s="39">
        <f t="shared" si="17"/>
        <v>2688.36</v>
      </c>
      <c r="L329" s="38">
        <f t="shared" si="17"/>
        <v>193556.44</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3">
        <f t="shared" ref="L333:L338" si="18">SUM(F333:K333)</f>
        <v>0</v>
      </c>
      <c r="M333" s="8"/>
      <c r="N333" s="164"/>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3">
        <f t="shared" si="18"/>
        <v>0</v>
      </c>
      <c r="M334" s="8"/>
      <c r="N334" s="164"/>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4"/>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4"/>
    </row>
    <row r="337" spans="1:43" s="3" customFormat="1" ht="12.2" customHeight="1" thickBot="1" x14ac:dyDescent="0.2">
      <c r="A337" s="1" t="s">
        <v>584</v>
      </c>
      <c r="B337" s="6">
        <v>14</v>
      </c>
      <c r="C337" s="6">
        <v>5</v>
      </c>
      <c r="D337" s="2" t="s">
        <v>431</v>
      </c>
      <c r="E337" s="6">
        <v>4000</v>
      </c>
      <c r="F337" s="18">
        <v>0</v>
      </c>
      <c r="G337" s="18">
        <v>0</v>
      </c>
      <c r="H337" s="18">
        <v>0</v>
      </c>
      <c r="I337" s="18">
        <v>0</v>
      </c>
      <c r="J337" s="18">
        <v>0</v>
      </c>
      <c r="K337" s="18">
        <v>0</v>
      </c>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420615.46</v>
      </c>
      <c r="G339" s="38">
        <f t="shared" si="20"/>
        <v>95965.81</v>
      </c>
      <c r="H339" s="38">
        <f t="shared" si="20"/>
        <v>168272.22</v>
      </c>
      <c r="I339" s="38">
        <f t="shared" si="20"/>
        <v>78539.94</v>
      </c>
      <c r="J339" s="38">
        <f t="shared" si="20"/>
        <v>112489.70000000001</v>
      </c>
      <c r="K339" s="38">
        <f t="shared" si="20"/>
        <v>12436.75</v>
      </c>
      <c r="L339" s="38">
        <f t="shared" si="20"/>
        <v>888319.87999999989</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v>0</v>
      </c>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v>0</v>
      </c>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0</v>
      </c>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0</v>
      </c>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v>0</v>
      </c>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v>0</v>
      </c>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v>0</v>
      </c>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0</v>
      </c>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420615.46</v>
      </c>
      <c r="G353" s="38">
        <f>G339</f>
        <v>95965.81</v>
      </c>
      <c r="H353" s="38">
        <f>H339</f>
        <v>168272.22</v>
      </c>
      <c r="I353" s="38">
        <f>I339</f>
        <v>78539.94</v>
      </c>
      <c r="J353" s="38">
        <f>J339</f>
        <v>112489.70000000001</v>
      </c>
      <c r="K353" s="38">
        <f>K339+K352</f>
        <v>12436.75</v>
      </c>
      <c r="L353" s="38">
        <f>L339+L352</f>
        <v>888319.87999999989</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73687.149999999994</v>
      </c>
      <c r="G359" s="18">
        <v>33629.29</v>
      </c>
      <c r="H359" s="18">
        <v>21848.35</v>
      </c>
      <c r="I359" s="18">
        <f>101686.84+9600</f>
        <v>111286.84</v>
      </c>
      <c r="J359" s="18">
        <v>6268.08</v>
      </c>
      <c r="K359" s="18">
        <v>0</v>
      </c>
      <c r="L359" s="13">
        <f>SUM(F359:K359)</f>
        <v>246719.71</v>
      </c>
      <c r="M359" s="8"/>
      <c r="N359" s="164"/>
    </row>
    <row r="360" spans="1:22" s="3" customFormat="1" ht="12.2" customHeight="1" x14ac:dyDescent="0.15">
      <c r="A360" s="1" t="s">
        <v>542</v>
      </c>
      <c r="B360" s="2" t="s">
        <v>366</v>
      </c>
      <c r="C360" s="6">
        <v>2</v>
      </c>
      <c r="D360" s="2" t="s">
        <v>431</v>
      </c>
      <c r="E360" s="6"/>
      <c r="F360" s="18">
        <v>113761.65</v>
      </c>
      <c r="G360" s="18">
        <v>51918.46</v>
      </c>
      <c r="H360" s="18">
        <v>33730.5</v>
      </c>
      <c r="I360" s="18">
        <f>156988.87+9600</f>
        <v>166588.87</v>
      </c>
      <c r="J360" s="18">
        <v>9676.9500000000007</v>
      </c>
      <c r="K360" s="18">
        <v>0</v>
      </c>
      <c r="L360" s="13">
        <f>SUM(F360:K360)</f>
        <v>375676.43</v>
      </c>
      <c r="M360" s="8"/>
      <c r="N360" s="164"/>
    </row>
    <row r="361" spans="1:22" s="3" customFormat="1" ht="12.2" customHeight="1" x14ac:dyDescent="0.15">
      <c r="A361" s="3" t="s">
        <v>543</v>
      </c>
      <c r="B361" s="2" t="s">
        <v>366</v>
      </c>
      <c r="C361" s="6">
        <v>3</v>
      </c>
      <c r="D361" s="2" t="s">
        <v>431</v>
      </c>
      <c r="E361" s="6"/>
      <c r="F361" s="18">
        <v>124047.62</v>
      </c>
      <c r="G361" s="18">
        <v>56612.76</v>
      </c>
      <c r="H361" s="18">
        <v>36780.31</v>
      </c>
      <c r="I361" s="18">
        <f>171183.32+9600</f>
        <v>180783.32</v>
      </c>
      <c r="J361" s="18">
        <v>10551.91</v>
      </c>
      <c r="K361" s="18">
        <v>0</v>
      </c>
      <c r="L361" s="13">
        <f>SUM(F361:K361)</f>
        <v>408775.92</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v>0</v>
      </c>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311496.42</v>
      </c>
      <c r="G363" s="38">
        <f t="shared" si="22"/>
        <v>142160.51</v>
      </c>
      <c r="H363" s="38">
        <f t="shared" si="22"/>
        <v>92359.16</v>
      </c>
      <c r="I363" s="38">
        <f t="shared" si="22"/>
        <v>458659.02999999997</v>
      </c>
      <c r="J363" s="38">
        <f t="shared" si="22"/>
        <v>26496.940000000002</v>
      </c>
      <c r="K363" s="38">
        <f t="shared" si="22"/>
        <v>0</v>
      </c>
      <c r="L363" s="38">
        <f t="shared" si="22"/>
        <v>1031172.06</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f>I359-F369</f>
        <v>102493.72</v>
      </c>
      <c r="G368" s="18">
        <f>I360-G369</f>
        <v>153013.65</v>
      </c>
      <c r="H368" s="18">
        <f>I361-H369</f>
        <v>165980.67000000001</v>
      </c>
      <c r="I368" s="13">
        <f>SUM(F368:H368)</f>
        <v>421488.04000000004</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8793.1200000000008</v>
      </c>
      <c r="G369" s="53">
        <v>13575.22</v>
      </c>
      <c r="H369" s="53">
        <v>14802.65</v>
      </c>
      <c r="I369" s="13">
        <f>SUM(F369:H369)</f>
        <v>37170.99</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111286.84</v>
      </c>
      <c r="G370" s="38">
        <f>SUM(G368:G369)</f>
        <v>166588.87</v>
      </c>
      <c r="H370" s="38">
        <f>SUM(H368:H369)</f>
        <v>180783.32</v>
      </c>
      <c r="I370" s="38">
        <f>SUM(I368:I369)</f>
        <v>458659.03</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164"/>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164"/>
    </row>
    <row r="377" spans="1:14" s="3" customFormat="1" ht="12.2" customHeight="1" x14ac:dyDescent="0.15">
      <c r="A377" s="1" t="s">
        <v>546</v>
      </c>
      <c r="B377" s="2" t="s">
        <v>366</v>
      </c>
      <c r="C377" s="2" t="s">
        <v>300</v>
      </c>
      <c r="D377" s="2" t="s">
        <v>431</v>
      </c>
      <c r="E377" s="6">
        <v>4300</v>
      </c>
      <c r="F377" s="18">
        <v>0</v>
      </c>
      <c r="G377" s="18">
        <v>0</v>
      </c>
      <c r="H377" s="18">
        <v>663696.9</v>
      </c>
      <c r="I377" s="18">
        <v>0</v>
      </c>
      <c r="J377" s="18">
        <v>0</v>
      </c>
      <c r="K377" s="18">
        <v>0</v>
      </c>
      <c r="L377" s="13">
        <f t="shared" si="23"/>
        <v>663696.9</v>
      </c>
      <c r="M377" s="8"/>
      <c r="N377" s="164"/>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164"/>
    </row>
    <row r="379" spans="1:14" s="3" customFormat="1" ht="12.2" customHeight="1" x14ac:dyDescent="0.15">
      <c r="A379" s="1" t="s">
        <v>548</v>
      </c>
      <c r="B379" s="2" t="s">
        <v>366</v>
      </c>
      <c r="C379" s="2" t="s">
        <v>344</v>
      </c>
      <c r="D379" s="2" t="s">
        <v>431</v>
      </c>
      <c r="E379" s="6">
        <v>4500</v>
      </c>
      <c r="F379" s="18">
        <v>0</v>
      </c>
      <c r="G379" s="18">
        <v>0</v>
      </c>
      <c r="H379" s="18">
        <f>55200+15252.5</f>
        <v>70452.5</v>
      </c>
      <c r="I379" s="18">
        <v>0</v>
      </c>
      <c r="J379" s="18">
        <v>3041845.38</v>
      </c>
      <c r="K379" s="18">
        <v>0</v>
      </c>
      <c r="L379" s="13">
        <f t="shared" si="23"/>
        <v>3112297.88</v>
      </c>
      <c r="M379" s="8"/>
      <c r="N379" s="164"/>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164"/>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108</v>
      </c>
      <c r="L381" s="13">
        <f t="shared" si="23"/>
        <v>108</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v>0</v>
      </c>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734149.4</v>
      </c>
      <c r="I383" s="38">
        <f t="shared" si="24"/>
        <v>0</v>
      </c>
      <c r="J383" s="38">
        <f t="shared" si="24"/>
        <v>3041845.38</v>
      </c>
      <c r="K383" s="38">
        <f t="shared" si="24"/>
        <v>108</v>
      </c>
      <c r="L383" s="38">
        <f t="shared" si="24"/>
        <v>3776102.78</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v>0</v>
      </c>
      <c r="G388" s="18">
        <v>0</v>
      </c>
      <c r="H388" s="18">
        <v>0</v>
      </c>
      <c r="I388" s="18">
        <v>0</v>
      </c>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v>0</v>
      </c>
      <c r="G389" s="18">
        <v>0</v>
      </c>
      <c r="H389" s="18">
        <v>0</v>
      </c>
      <c r="I389" s="18">
        <v>0</v>
      </c>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v>0</v>
      </c>
      <c r="G390" s="18">
        <v>1159585</v>
      </c>
      <c r="H390" s="18">
        <f>11314.5+2340.5</f>
        <v>13655</v>
      </c>
      <c r="I390" s="18">
        <v>0</v>
      </c>
      <c r="J390" s="23" t="s">
        <v>288</v>
      </c>
      <c r="K390" s="23" t="s">
        <v>288</v>
      </c>
      <c r="L390" s="13">
        <f t="shared" si="25"/>
        <v>1173240</v>
      </c>
      <c r="M390" s="8"/>
      <c r="N390" s="164"/>
    </row>
    <row r="391" spans="1:14" s="3" customFormat="1" ht="12.2" customHeight="1" x14ac:dyDescent="0.15">
      <c r="A391" s="62" t="s">
        <v>553</v>
      </c>
      <c r="B391" s="2" t="s">
        <v>381</v>
      </c>
      <c r="C391" s="6">
        <v>4</v>
      </c>
      <c r="D391" s="2" t="s">
        <v>432</v>
      </c>
      <c r="E391" s="6"/>
      <c r="F391" s="18">
        <v>0</v>
      </c>
      <c r="G391" s="18">
        <v>0</v>
      </c>
      <c r="H391" s="18">
        <v>0</v>
      </c>
      <c r="I391" s="18">
        <v>0</v>
      </c>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v>0</v>
      </c>
      <c r="G392" s="18">
        <v>0</v>
      </c>
      <c r="H392" s="18">
        <v>0</v>
      </c>
      <c r="I392" s="18">
        <v>0</v>
      </c>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v>0</v>
      </c>
      <c r="G393" s="18">
        <v>0</v>
      </c>
      <c r="H393" s="18">
        <v>0</v>
      </c>
      <c r="I393" s="18">
        <v>0</v>
      </c>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1159585</v>
      </c>
      <c r="H394" s="97">
        <f>SUM(H388:H393)</f>
        <v>13655</v>
      </c>
      <c r="I394" s="54">
        <f>SUM(I388:I393)</f>
        <v>0</v>
      </c>
      <c r="J394" s="42" t="s">
        <v>288</v>
      </c>
      <c r="K394" s="42" t="s">
        <v>288</v>
      </c>
      <c r="L394" s="38">
        <f>SUM(L388:L393)</f>
        <v>1173240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v>0</v>
      </c>
      <c r="G396" s="18">
        <v>0</v>
      </c>
      <c r="H396" s="18">
        <v>0</v>
      </c>
      <c r="I396" s="18">
        <v>0</v>
      </c>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v>0</v>
      </c>
      <c r="G397" s="18">
        <v>0</v>
      </c>
      <c r="H397" s="18">
        <v>0</v>
      </c>
      <c r="I397" s="18">
        <v>0</v>
      </c>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v>0</v>
      </c>
      <c r="G398" s="18">
        <v>0</v>
      </c>
      <c r="H398" s="18">
        <v>0</v>
      </c>
      <c r="I398" s="18">
        <v>0</v>
      </c>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v>0</v>
      </c>
      <c r="G399" s="18">
        <v>0</v>
      </c>
      <c r="H399" s="18">
        <v>0</v>
      </c>
      <c r="I399" s="18">
        <v>0</v>
      </c>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v>0</v>
      </c>
      <c r="G400" s="18">
        <v>0</v>
      </c>
      <c r="H400" s="18">
        <v>0</v>
      </c>
      <c r="I400" s="18">
        <v>0</v>
      </c>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v>0</v>
      </c>
      <c r="G401" s="18">
        <v>0</v>
      </c>
      <c r="H401" s="18">
        <v>0</v>
      </c>
      <c r="I401" s="18">
        <v>0</v>
      </c>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v>0</v>
      </c>
      <c r="G404" s="18">
        <v>0</v>
      </c>
      <c r="H404" s="18">
        <v>0</v>
      </c>
      <c r="I404" s="18">
        <v>0</v>
      </c>
      <c r="J404" s="23" t="s">
        <v>288</v>
      </c>
      <c r="K404" s="23" t="s">
        <v>288</v>
      </c>
      <c r="L404" s="13">
        <f>SUM(F404:K404)</f>
        <v>0</v>
      </c>
      <c r="M404" s="8"/>
      <c r="N404" s="164"/>
    </row>
    <row r="405" spans="1:21" s="3" customFormat="1" ht="12.2" customHeight="1" x14ac:dyDescent="0.15">
      <c r="A405" s="82"/>
      <c r="B405" s="2" t="s">
        <v>381</v>
      </c>
      <c r="C405" s="6">
        <v>16</v>
      </c>
      <c r="D405" s="2" t="s">
        <v>432</v>
      </c>
      <c r="E405" s="6"/>
      <c r="F405" s="18">
        <v>0</v>
      </c>
      <c r="G405" s="18">
        <v>0</v>
      </c>
      <c r="H405" s="18">
        <v>0</v>
      </c>
      <c r="I405" s="18">
        <v>0</v>
      </c>
      <c r="J405" s="23" t="s">
        <v>288</v>
      </c>
      <c r="K405" s="23" t="s">
        <v>288</v>
      </c>
      <c r="L405" s="13">
        <f>SUM(F405:K405)</f>
        <v>0</v>
      </c>
      <c r="M405" s="8"/>
      <c r="N405" s="164"/>
    </row>
    <row r="406" spans="1:21" s="3" customFormat="1" ht="12.2" customHeight="1" x14ac:dyDescent="0.15">
      <c r="A406" s="82"/>
      <c r="B406" s="2" t="s">
        <v>381</v>
      </c>
      <c r="C406" s="6">
        <v>17</v>
      </c>
      <c r="D406" s="2" t="s">
        <v>432</v>
      </c>
      <c r="E406" s="6"/>
      <c r="F406" s="18">
        <v>0</v>
      </c>
      <c r="G406" s="18">
        <v>0</v>
      </c>
      <c r="H406" s="18">
        <v>0</v>
      </c>
      <c r="I406" s="18">
        <v>0</v>
      </c>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v>0</v>
      </c>
      <c r="G407" s="18">
        <v>0</v>
      </c>
      <c r="H407" s="18">
        <v>0</v>
      </c>
      <c r="I407" s="18">
        <v>0</v>
      </c>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1159585</v>
      </c>
      <c r="H409" s="38">
        <f>H394+H402+H408</f>
        <v>13655</v>
      </c>
      <c r="I409" s="38">
        <f>I394+I402+I408</f>
        <v>0</v>
      </c>
      <c r="J409" s="23" t="s">
        <v>288</v>
      </c>
      <c r="K409" s="23" t="s">
        <v>288</v>
      </c>
      <c r="L409" s="38">
        <f>L394+L402+L408</f>
        <v>1173240</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v>0</v>
      </c>
      <c r="G414" s="18">
        <v>0</v>
      </c>
      <c r="H414" s="18">
        <v>0</v>
      </c>
      <c r="I414" s="18">
        <v>0</v>
      </c>
      <c r="J414" s="18">
        <v>0</v>
      </c>
      <c r="K414" s="18">
        <v>0</v>
      </c>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v>0</v>
      </c>
      <c r="G415" s="18">
        <v>0</v>
      </c>
      <c r="H415" s="18">
        <v>0</v>
      </c>
      <c r="I415" s="18">
        <v>0</v>
      </c>
      <c r="J415" s="18">
        <v>0</v>
      </c>
      <c r="K415" s="18">
        <v>0</v>
      </c>
      <c r="L415" s="13">
        <f t="shared" si="27"/>
        <v>0</v>
      </c>
      <c r="N415" s="164"/>
    </row>
    <row r="416" spans="1:21" s="3" customFormat="1" ht="12.2" customHeight="1" x14ac:dyDescent="0.15">
      <c r="A416" s="62" t="s">
        <v>552</v>
      </c>
      <c r="B416" s="6">
        <v>17</v>
      </c>
      <c r="C416" s="6">
        <v>3</v>
      </c>
      <c r="D416" s="2" t="s">
        <v>432</v>
      </c>
      <c r="E416" s="6"/>
      <c r="F416" s="18">
        <v>0</v>
      </c>
      <c r="G416" s="18">
        <v>0</v>
      </c>
      <c r="H416" s="18">
        <v>0</v>
      </c>
      <c r="I416" s="18">
        <v>0</v>
      </c>
      <c r="J416" s="18">
        <v>0</v>
      </c>
      <c r="K416" s="18">
        <v>0</v>
      </c>
      <c r="L416" s="13">
        <f t="shared" si="27"/>
        <v>0</v>
      </c>
      <c r="M416" s="8"/>
      <c r="N416" s="164"/>
    </row>
    <row r="417" spans="1:21" s="3" customFormat="1" ht="12.2" customHeight="1" x14ac:dyDescent="0.15">
      <c r="A417" s="62" t="s">
        <v>553</v>
      </c>
      <c r="B417" s="6">
        <v>17</v>
      </c>
      <c r="C417" s="6">
        <v>4</v>
      </c>
      <c r="D417" s="2" t="s">
        <v>432</v>
      </c>
      <c r="E417" s="6"/>
      <c r="F417" s="18">
        <v>0</v>
      </c>
      <c r="G417" s="18">
        <v>0</v>
      </c>
      <c r="H417" s="18">
        <v>0</v>
      </c>
      <c r="I417" s="18">
        <v>0</v>
      </c>
      <c r="J417" s="18">
        <v>0</v>
      </c>
      <c r="K417" s="18">
        <v>0</v>
      </c>
      <c r="L417" s="13">
        <f t="shared" si="27"/>
        <v>0</v>
      </c>
      <c r="M417" s="8"/>
      <c r="N417" s="164"/>
    </row>
    <row r="418" spans="1:21" s="3" customFormat="1" ht="12.2" customHeight="1" x14ac:dyDescent="0.15">
      <c r="A418" s="62" t="s">
        <v>554</v>
      </c>
      <c r="B418" s="6">
        <v>17</v>
      </c>
      <c r="C418" s="6">
        <v>5</v>
      </c>
      <c r="D418" s="2" t="s">
        <v>432</v>
      </c>
      <c r="E418" s="6"/>
      <c r="F418" s="18">
        <v>0</v>
      </c>
      <c r="G418" s="18">
        <v>0</v>
      </c>
      <c r="H418" s="18">
        <v>0</v>
      </c>
      <c r="I418" s="18">
        <v>0</v>
      </c>
      <c r="J418" s="18">
        <v>0</v>
      </c>
      <c r="K418" s="18">
        <v>0</v>
      </c>
      <c r="L418" s="13">
        <f t="shared" si="27"/>
        <v>0</v>
      </c>
      <c r="M418" s="8"/>
      <c r="N418" s="164"/>
    </row>
    <row r="419" spans="1:21" s="3" customFormat="1" ht="12.2" customHeight="1" thickBot="1" x14ac:dyDescent="0.2">
      <c r="A419" s="62" t="s">
        <v>555</v>
      </c>
      <c r="B419" s="6">
        <v>17</v>
      </c>
      <c r="C419" s="6">
        <v>6</v>
      </c>
      <c r="D419" s="2" t="s">
        <v>432</v>
      </c>
      <c r="E419" s="6"/>
      <c r="F419" s="18">
        <v>0</v>
      </c>
      <c r="G419" s="18">
        <v>0</v>
      </c>
      <c r="H419" s="18">
        <v>0</v>
      </c>
      <c r="I419" s="18">
        <v>0</v>
      </c>
      <c r="J419" s="18">
        <v>0</v>
      </c>
      <c r="K419" s="18">
        <v>0</v>
      </c>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v>0</v>
      </c>
      <c r="G422" s="18">
        <v>0</v>
      </c>
      <c r="H422" s="18">
        <v>0</v>
      </c>
      <c r="I422" s="18">
        <v>0</v>
      </c>
      <c r="J422" s="18">
        <v>0</v>
      </c>
      <c r="K422" s="18">
        <v>0</v>
      </c>
      <c r="L422" s="13">
        <f t="shared" ref="L422:L427" si="29">SUM(F422:K422)</f>
        <v>0</v>
      </c>
      <c r="M422" s="8"/>
      <c r="N422" s="164"/>
    </row>
    <row r="423" spans="1:21" s="3" customFormat="1" ht="12.2" customHeight="1" x14ac:dyDescent="0.15">
      <c r="A423" s="62" t="s">
        <v>557</v>
      </c>
      <c r="B423" s="6">
        <v>17</v>
      </c>
      <c r="C423" s="6">
        <v>9</v>
      </c>
      <c r="D423" s="2" t="s">
        <v>432</v>
      </c>
      <c r="E423" s="6"/>
      <c r="F423" s="18">
        <v>0</v>
      </c>
      <c r="G423" s="18">
        <v>0</v>
      </c>
      <c r="H423" s="18">
        <v>0</v>
      </c>
      <c r="I423" s="18">
        <v>0</v>
      </c>
      <c r="J423" s="18">
        <v>0</v>
      </c>
      <c r="K423" s="18">
        <v>0</v>
      </c>
      <c r="L423" s="13">
        <f t="shared" si="29"/>
        <v>0</v>
      </c>
      <c r="M423" s="8"/>
      <c r="N423" s="164"/>
    </row>
    <row r="424" spans="1:21" s="3" customFormat="1" ht="12.2" customHeight="1" x14ac:dyDescent="0.15">
      <c r="A424" s="62" t="s">
        <v>515</v>
      </c>
      <c r="B424" s="6">
        <v>17</v>
      </c>
      <c r="C424" s="6">
        <v>10</v>
      </c>
      <c r="D424" s="2" t="s">
        <v>432</v>
      </c>
      <c r="E424" s="6"/>
      <c r="F424" s="18">
        <v>0</v>
      </c>
      <c r="G424" s="18">
        <v>0</v>
      </c>
      <c r="H424" s="18">
        <v>0</v>
      </c>
      <c r="I424" s="18">
        <v>0</v>
      </c>
      <c r="J424" s="18">
        <v>0</v>
      </c>
      <c r="K424" s="18">
        <v>0</v>
      </c>
      <c r="L424" s="13">
        <f t="shared" si="29"/>
        <v>0</v>
      </c>
      <c r="M424" s="8"/>
      <c r="N424" s="164"/>
    </row>
    <row r="425" spans="1:21" s="3" customFormat="1" ht="12.2" customHeight="1" x14ac:dyDescent="0.15">
      <c r="A425" s="62" t="s">
        <v>558</v>
      </c>
      <c r="B425" s="6">
        <v>17</v>
      </c>
      <c r="C425" s="6">
        <v>11</v>
      </c>
      <c r="D425" s="2" t="s">
        <v>432</v>
      </c>
      <c r="E425" s="6"/>
      <c r="F425" s="18">
        <v>0</v>
      </c>
      <c r="G425" s="18">
        <v>0</v>
      </c>
      <c r="H425" s="18">
        <v>0</v>
      </c>
      <c r="I425" s="18">
        <v>0</v>
      </c>
      <c r="J425" s="18">
        <v>0</v>
      </c>
      <c r="K425" s="18">
        <v>0</v>
      </c>
      <c r="L425" s="13">
        <f t="shared" si="29"/>
        <v>0</v>
      </c>
      <c r="M425" s="8"/>
      <c r="N425" s="164"/>
    </row>
    <row r="426" spans="1:21" s="3" customFormat="1" ht="12.2" customHeight="1" x14ac:dyDescent="0.15">
      <c r="A426" s="62" t="s">
        <v>559</v>
      </c>
      <c r="B426" s="6">
        <v>17</v>
      </c>
      <c r="C426" s="6">
        <v>12</v>
      </c>
      <c r="D426" s="2" t="s">
        <v>432</v>
      </c>
      <c r="E426" s="6"/>
      <c r="F426" s="18">
        <v>0</v>
      </c>
      <c r="G426" s="18">
        <v>0</v>
      </c>
      <c r="H426" s="18">
        <v>0</v>
      </c>
      <c r="I426" s="18">
        <v>0</v>
      </c>
      <c r="J426" s="18">
        <v>0</v>
      </c>
      <c r="K426" s="18">
        <v>0</v>
      </c>
      <c r="L426" s="13">
        <f t="shared" si="29"/>
        <v>0</v>
      </c>
      <c r="M426" s="8"/>
      <c r="N426" s="164"/>
    </row>
    <row r="427" spans="1:21" s="3" customFormat="1" ht="12.2" customHeight="1" thickBot="1" x14ac:dyDescent="0.2">
      <c r="A427" s="62" t="s">
        <v>510</v>
      </c>
      <c r="B427" s="6">
        <v>17</v>
      </c>
      <c r="C427" s="6">
        <v>13</v>
      </c>
      <c r="D427" s="2" t="s">
        <v>432</v>
      </c>
      <c r="E427" s="6"/>
      <c r="F427" s="18">
        <v>0</v>
      </c>
      <c r="G427" s="18">
        <v>0</v>
      </c>
      <c r="H427" s="18">
        <v>0</v>
      </c>
      <c r="I427" s="18">
        <v>0</v>
      </c>
      <c r="J427" s="18">
        <v>0</v>
      </c>
      <c r="K427" s="18">
        <v>0</v>
      </c>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v>0</v>
      </c>
      <c r="G430" s="18">
        <v>0</v>
      </c>
      <c r="H430" s="18">
        <v>0</v>
      </c>
      <c r="I430" s="18">
        <v>0</v>
      </c>
      <c r="J430" s="18">
        <v>0</v>
      </c>
      <c r="K430" s="18">
        <v>0</v>
      </c>
      <c r="L430" s="13">
        <f>SUM(F430:K430)</f>
        <v>0</v>
      </c>
      <c r="M430" s="8"/>
      <c r="N430" s="164"/>
    </row>
    <row r="431" spans="1:21" ht="12.2" customHeight="1" x14ac:dyDescent="0.2">
      <c r="A431" s="82"/>
      <c r="B431" s="6">
        <v>17</v>
      </c>
      <c r="C431" s="6">
        <v>16</v>
      </c>
      <c r="D431" s="2" t="s">
        <v>432</v>
      </c>
      <c r="E431" s="6"/>
      <c r="F431" s="18">
        <v>0</v>
      </c>
      <c r="G431" s="18">
        <v>0</v>
      </c>
      <c r="H431" s="18">
        <v>0</v>
      </c>
      <c r="I431" s="18">
        <v>0</v>
      </c>
      <c r="J431" s="18">
        <v>0</v>
      </c>
      <c r="K431" s="18">
        <v>0</v>
      </c>
      <c r="L431" s="13">
        <f>SUM(F431:K431)</f>
        <v>0</v>
      </c>
      <c r="N431" s="130"/>
    </row>
    <row r="432" spans="1:21" s="3" customFormat="1" ht="12.2" customHeight="1" x14ac:dyDescent="0.15">
      <c r="A432" s="82"/>
      <c r="B432" s="6">
        <v>17</v>
      </c>
      <c r="C432" s="6">
        <v>17</v>
      </c>
      <c r="D432" s="2" t="s">
        <v>432</v>
      </c>
      <c r="E432" s="6"/>
      <c r="F432" s="18">
        <v>0</v>
      </c>
      <c r="G432" s="18">
        <v>0</v>
      </c>
      <c r="H432" s="18">
        <v>0</v>
      </c>
      <c r="I432" s="18">
        <v>0</v>
      </c>
      <c r="J432" s="18">
        <v>0</v>
      </c>
      <c r="K432" s="18">
        <v>0</v>
      </c>
      <c r="L432" s="13">
        <f>SUM(F432:K432)</f>
        <v>0</v>
      </c>
      <c r="M432" s="8"/>
      <c r="N432" s="164"/>
    </row>
    <row r="433" spans="1:14" s="3" customFormat="1" ht="12.2" customHeight="1" thickBot="1" x14ac:dyDescent="0.2">
      <c r="A433" s="82"/>
      <c r="B433" s="6">
        <v>17</v>
      </c>
      <c r="C433" s="6">
        <v>18</v>
      </c>
      <c r="D433" s="2" t="s">
        <v>432</v>
      </c>
      <c r="E433" s="6"/>
      <c r="F433" s="18">
        <v>0</v>
      </c>
      <c r="G433" s="18">
        <v>0</v>
      </c>
      <c r="H433" s="18">
        <v>0</v>
      </c>
      <c r="I433" s="18">
        <v>0</v>
      </c>
      <c r="J433" s="18">
        <v>0</v>
      </c>
      <c r="K433" s="18">
        <v>0</v>
      </c>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v>0</v>
      </c>
      <c r="G440" s="18">
        <v>0</v>
      </c>
      <c r="H440" s="18">
        <v>0</v>
      </c>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f>434609.95+146813.86+1722548.1</f>
        <v>2303971.91</v>
      </c>
      <c r="G441" s="18">
        <v>0</v>
      </c>
      <c r="H441" s="18">
        <v>0</v>
      </c>
      <c r="I441" s="13">
        <f t="shared" si="33"/>
        <v>2303971.91</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v>0</v>
      </c>
      <c r="G442" s="18">
        <v>0</v>
      </c>
      <c r="H442" s="18">
        <v>0</v>
      </c>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v>0</v>
      </c>
      <c r="G443" s="18">
        <v>0</v>
      </c>
      <c r="H443" s="18">
        <v>0</v>
      </c>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v>0</v>
      </c>
      <c r="G444" s="18">
        <v>0</v>
      </c>
      <c r="H444" s="18">
        <v>0</v>
      </c>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v>0</v>
      </c>
      <c r="G445" s="18">
        <v>0</v>
      </c>
      <c r="H445" s="18">
        <v>0</v>
      </c>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v>0</v>
      </c>
      <c r="G446" s="18">
        <v>0</v>
      </c>
      <c r="H446" s="18">
        <v>0</v>
      </c>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2303971.91</v>
      </c>
      <c r="G447" s="13">
        <f>SUM(G440:G446)</f>
        <v>0</v>
      </c>
      <c r="H447" s="13">
        <f>SUM(H440:H446)</f>
        <v>0</v>
      </c>
      <c r="I447" s="13">
        <f>SUM(I440:I446)</f>
        <v>2303971.91</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v>0</v>
      </c>
      <c r="G449" s="18">
        <v>0</v>
      </c>
      <c r="H449" s="18">
        <v>0</v>
      </c>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v>0</v>
      </c>
      <c r="G450" s="18">
        <v>0</v>
      </c>
      <c r="H450" s="18">
        <v>0</v>
      </c>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v>0</v>
      </c>
      <c r="G451" s="18">
        <v>0</v>
      </c>
      <c r="H451" s="18">
        <v>0</v>
      </c>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v>0</v>
      </c>
      <c r="G452" s="18">
        <v>0</v>
      </c>
      <c r="H452" s="18">
        <v>0</v>
      </c>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v>0</v>
      </c>
      <c r="G455" s="18">
        <v>0</v>
      </c>
      <c r="H455" s="18">
        <v>0</v>
      </c>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v>0</v>
      </c>
      <c r="G456" s="18">
        <v>0</v>
      </c>
      <c r="H456" s="18">
        <v>0</v>
      </c>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v>0</v>
      </c>
      <c r="G457" s="18">
        <v>0</v>
      </c>
      <c r="H457" s="18">
        <v>0</v>
      </c>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v>0</v>
      </c>
      <c r="G458" s="18">
        <v>0</v>
      </c>
      <c r="H458" s="18">
        <v>0</v>
      </c>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v>0</v>
      </c>
      <c r="G459" s="18">
        <v>0</v>
      </c>
      <c r="H459" s="18">
        <v>0</v>
      </c>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2303971.91</v>
      </c>
      <c r="G460" s="18">
        <v>0</v>
      </c>
      <c r="H460" s="18">
        <v>0</v>
      </c>
      <c r="I460" s="13">
        <f t="shared" si="34"/>
        <v>2303971.91</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2303971.91</v>
      </c>
      <c r="G461" s="65">
        <f>SUM(G455:G460)</f>
        <v>0</v>
      </c>
      <c r="H461" s="65">
        <f>SUM(H455:H460)</f>
        <v>0</v>
      </c>
      <c r="I461" s="65">
        <f>SUM(I455:I460)</f>
        <v>2303971.91</v>
      </c>
      <c r="J461" s="23" t="s">
        <v>288</v>
      </c>
      <c r="K461" s="23" t="s">
        <v>288</v>
      </c>
      <c r="L461" s="23" t="s">
        <v>288</v>
      </c>
      <c r="N461" s="130"/>
    </row>
    <row r="462" spans="1:86" ht="12.2" customHeight="1" thickTop="1" x14ac:dyDescent="0.2">
      <c r="A462" s="40" t="s">
        <v>424</v>
      </c>
      <c r="B462" s="41">
        <v>18</v>
      </c>
      <c r="C462" s="64">
        <v>21</v>
      </c>
      <c r="D462" s="114" t="s">
        <v>432</v>
      </c>
      <c r="E462" s="64"/>
      <c r="F462" s="39">
        <f>F453+F461</f>
        <v>2303971.91</v>
      </c>
      <c r="G462" s="39">
        <f>G453+G461</f>
        <v>0</v>
      </c>
      <c r="H462" s="39">
        <f>H453+H461</f>
        <v>0</v>
      </c>
      <c r="I462" s="39">
        <f>I453+I461</f>
        <v>2303971.91</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1176819.94</v>
      </c>
      <c r="G466" s="18">
        <v>481943.17</v>
      </c>
      <c r="H466" s="18">
        <v>0</v>
      </c>
      <c r="I466" s="18">
        <v>0</v>
      </c>
      <c r="J466" s="18">
        <v>1130731.9099999999</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F194</f>
        <v>33650142.790000007</v>
      </c>
      <c r="G469" s="18">
        <f>G194</f>
        <v>907326.26999999979</v>
      </c>
      <c r="H469" s="18">
        <f>H194</f>
        <v>888319.88</v>
      </c>
      <c r="I469" s="18">
        <f>I194</f>
        <v>12935867.16</v>
      </c>
      <c r="J469" s="18">
        <f>L409</f>
        <v>1173240</v>
      </c>
      <c r="K469" s="23" t="s">
        <v>288</v>
      </c>
      <c r="L469" s="23" t="s">
        <v>288</v>
      </c>
      <c r="N469" s="130"/>
    </row>
    <row r="470" spans="1:14" ht="12.2" customHeight="1" x14ac:dyDescent="0.2">
      <c r="A470" s="71" t="s">
        <v>611</v>
      </c>
      <c r="B470" s="22">
        <v>19</v>
      </c>
      <c r="C470" s="31">
        <v>3</v>
      </c>
      <c r="D470" s="2" t="s">
        <v>432</v>
      </c>
      <c r="E470" s="31"/>
      <c r="F470" s="18">
        <v>0</v>
      </c>
      <c r="G470" s="18">
        <v>0</v>
      </c>
      <c r="H470" s="18">
        <v>0</v>
      </c>
      <c r="I470" s="18">
        <v>0</v>
      </c>
      <c r="J470" s="18">
        <v>0</v>
      </c>
      <c r="K470" s="23" t="s">
        <v>288</v>
      </c>
      <c r="L470" s="23" t="s">
        <v>288</v>
      </c>
      <c r="N470" s="130"/>
    </row>
    <row r="471" spans="1:14" ht="12.2" customHeight="1" x14ac:dyDescent="0.2">
      <c r="A471" s="32" t="s">
        <v>425</v>
      </c>
      <c r="B471" s="22">
        <v>19</v>
      </c>
      <c r="C471" s="31">
        <v>4</v>
      </c>
      <c r="D471" s="2" t="s">
        <v>432</v>
      </c>
      <c r="E471" s="31"/>
      <c r="F471" s="19">
        <f>SUM(F469:F470)</f>
        <v>33650142.790000007</v>
      </c>
      <c r="G471" s="19">
        <f>SUM(G469:G470)</f>
        <v>907326.26999999979</v>
      </c>
      <c r="H471" s="19">
        <f>SUM(H469:H470)</f>
        <v>888319.88</v>
      </c>
      <c r="I471" s="19">
        <f>SUM(I469:I470)</f>
        <v>12935867.16</v>
      </c>
      <c r="J471" s="19">
        <f>SUM(J469:J470)</f>
        <v>1173240</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L272</f>
        <v>33939748.07</v>
      </c>
      <c r="G473" s="18">
        <f>L363</f>
        <v>1031172.06</v>
      </c>
      <c r="H473" s="18">
        <f>L353</f>
        <v>888319.87999999989</v>
      </c>
      <c r="I473" s="18">
        <f>L383</f>
        <v>3776102.78</v>
      </c>
      <c r="J473" s="18">
        <f>L435</f>
        <v>0</v>
      </c>
      <c r="K473" s="23" t="s">
        <v>288</v>
      </c>
      <c r="L473" s="23" t="s">
        <v>288</v>
      </c>
      <c r="N473" s="130"/>
    </row>
    <row r="474" spans="1:14" ht="12.2" customHeight="1" x14ac:dyDescent="0.2">
      <c r="A474" s="71" t="s">
        <v>613</v>
      </c>
      <c r="B474" s="22">
        <v>19</v>
      </c>
      <c r="C474" s="31">
        <v>6</v>
      </c>
      <c r="D474" s="2" t="s">
        <v>432</v>
      </c>
      <c r="E474" s="31"/>
      <c r="F474" s="18"/>
      <c r="G474" s="18">
        <v>0</v>
      </c>
      <c r="H474" s="18">
        <v>0</v>
      </c>
      <c r="I474" s="18">
        <v>0</v>
      </c>
      <c r="J474" s="18">
        <v>0</v>
      </c>
      <c r="K474" s="23" t="s">
        <v>288</v>
      </c>
      <c r="L474" s="23" t="s">
        <v>288</v>
      </c>
      <c r="N474" s="130"/>
    </row>
    <row r="475" spans="1:14" ht="12.2" customHeight="1" x14ac:dyDescent="0.2">
      <c r="A475" s="32" t="s">
        <v>426</v>
      </c>
      <c r="B475" s="22">
        <v>19</v>
      </c>
      <c r="C475" s="31">
        <v>7</v>
      </c>
      <c r="D475" s="2" t="s">
        <v>432</v>
      </c>
      <c r="E475" s="31"/>
      <c r="F475" s="19">
        <f>SUM(F473:F474)</f>
        <v>33939748.07</v>
      </c>
      <c r="G475" s="19">
        <f>SUM(G473:G474)</f>
        <v>1031172.06</v>
      </c>
      <c r="H475" s="19">
        <f>SUM(H473:H474)</f>
        <v>888319.87999999989</v>
      </c>
      <c r="I475" s="19">
        <f>SUM(I473:I474)</f>
        <v>3776102.78</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887214.66000000387</v>
      </c>
      <c r="G477" s="19">
        <f>(G466+G471)- G475</f>
        <v>358097.37999999966</v>
      </c>
      <c r="H477" s="19">
        <f>(H466+H471)- H475</f>
        <v>0</v>
      </c>
      <c r="I477" s="19">
        <f>(I466+I471)- I475</f>
        <v>9159764.3800000008</v>
      </c>
      <c r="J477" s="19">
        <f>(J466+J471)- J475</f>
        <v>2303971.91</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20</v>
      </c>
      <c r="G491" s="111">
        <v>20</v>
      </c>
      <c r="H491" s="111"/>
      <c r="I491" s="111"/>
      <c r="J491" s="111"/>
      <c r="K491" s="23" t="s">
        <v>288</v>
      </c>
      <c r="L491" s="23" t="s">
        <v>288</v>
      </c>
      <c r="N491" s="130"/>
    </row>
    <row r="492" spans="1:14" ht="12.2" customHeight="1" x14ac:dyDescent="0.2">
      <c r="A492" s="21" t="s">
        <v>615</v>
      </c>
      <c r="B492" s="22">
        <v>20</v>
      </c>
      <c r="C492" s="22">
        <v>2</v>
      </c>
      <c r="D492" s="2" t="s">
        <v>432</v>
      </c>
      <c r="E492" s="22"/>
      <c r="F492" s="112" t="s">
        <v>1840</v>
      </c>
      <c r="G492" s="112" t="s">
        <v>1842</v>
      </c>
      <c r="H492" s="111"/>
      <c r="I492" s="111"/>
      <c r="J492" s="111"/>
      <c r="K492" s="23" t="s">
        <v>288</v>
      </c>
      <c r="L492" s="23" t="s">
        <v>288</v>
      </c>
      <c r="N492" s="130"/>
    </row>
    <row r="493" spans="1:14" ht="12.2" customHeight="1" x14ac:dyDescent="0.2">
      <c r="A493" s="21" t="s">
        <v>616</v>
      </c>
      <c r="B493" s="22">
        <v>20</v>
      </c>
      <c r="C493" s="22">
        <v>3</v>
      </c>
      <c r="D493" s="2" t="s">
        <v>432</v>
      </c>
      <c r="E493" s="22"/>
      <c r="F493" s="112" t="s">
        <v>1841</v>
      </c>
      <c r="G493" s="112" t="s">
        <v>1843</v>
      </c>
      <c r="H493" s="111"/>
      <c r="I493" s="111"/>
      <c r="J493" s="111"/>
      <c r="K493" s="23" t="s">
        <v>288</v>
      </c>
      <c r="L493" s="23" t="s">
        <v>288</v>
      </c>
      <c r="N493" s="130"/>
    </row>
    <row r="494" spans="1:14" ht="12.2" customHeight="1" x14ac:dyDescent="0.2">
      <c r="A494" s="21" t="s">
        <v>617</v>
      </c>
      <c r="B494" s="22">
        <v>20</v>
      </c>
      <c r="C494" s="22">
        <v>4</v>
      </c>
      <c r="D494" s="2" t="s">
        <v>432</v>
      </c>
      <c r="E494" s="22"/>
      <c r="F494" s="18">
        <v>4027000</v>
      </c>
      <c r="G494" s="18">
        <v>11346765</v>
      </c>
      <c r="H494" s="18"/>
      <c r="I494" s="18"/>
      <c r="J494" s="18"/>
      <c r="K494" s="23" t="s">
        <v>288</v>
      </c>
      <c r="L494" s="23" t="s">
        <v>288</v>
      </c>
      <c r="N494" s="130"/>
    </row>
    <row r="495" spans="1:14" ht="12.2" customHeight="1" x14ac:dyDescent="0.2">
      <c r="A495" s="21" t="s">
        <v>618</v>
      </c>
      <c r="B495" s="22">
        <v>20</v>
      </c>
      <c r="C495" s="22">
        <v>5</v>
      </c>
      <c r="D495" s="2" t="s">
        <v>432</v>
      </c>
      <c r="E495" s="22"/>
      <c r="F495" s="18">
        <v>4.4000000000000004</v>
      </c>
      <c r="G495" s="18">
        <v>3.65</v>
      </c>
      <c r="H495" s="18"/>
      <c r="I495" s="18"/>
      <c r="J495" s="18"/>
      <c r="K495" s="23" t="s">
        <v>288</v>
      </c>
      <c r="L495" s="23" t="s">
        <v>288</v>
      </c>
      <c r="N495" s="130"/>
    </row>
    <row r="496" spans="1:14" ht="12.2" customHeight="1" x14ac:dyDescent="0.2">
      <c r="A496" s="21" t="s">
        <v>619</v>
      </c>
      <c r="B496" s="22">
        <v>20</v>
      </c>
      <c r="C496" s="22">
        <v>6</v>
      </c>
      <c r="D496" s="2" t="s">
        <v>432</v>
      </c>
      <c r="E496" s="22"/>
      <c r="F496" s="18">
        <v>800000</v>
      </c>
      <c r="G496" s="18">
        <v>11346765</v>
      </c>
      <c r="H496" s="18"/>
      <c r="I496" s="18"/>
      <c r="J496" s="18"/>
      <c r="K496" s="19">
        <f>SUM(F496:J496)</f>
        <v>12146765</v>
      </c>
      <c r="L496" s="23" t="s">
        <v>288</v>
      </c>
      <c r="N496" s="130"/>
    </row>
    <row r="497" spans="1:14" ht="12.2" customHeight="1" x14ac:dyDescent="0.2">
      <c r="A497" s="21" t="s">
        <v>620</v>
      </c>
      <c r="B497" s="22">
        <v>20</v>
      </c>
      <c r="C497" s="22">
        <v>7</v>
      </c>
      <c r="D497" s="2" t="s">
        <v>432</v>
      </c>
      <c r="E497" s="22"/>
      <c r="F497" s="18">
        <v>0</v>
      </c>
      <c r="G497" s="18">
        <v>0</v>
      </c>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v>200000</v>
      </c>
      <c r="G498" s="18">
        <v>0</v>
      </c>
      <c r="H498" s="18"/>
      <c r="I498" s="18"/>
      <c r="J498" s="18"/>
      <c r="K498" s="19">
        <f t="shared" si="35"/>
        <v>200000</v>
      </c>
      <c r="L498" s="23" t="s">
        <v>288</v>
      </c>
      <c r="N498" s="130"/>
    </row>
    <row r="499" spans="1:14" ht="12.2" customHeight="1" x14ac:dyDescent="0.2">
      <c r="A499" s="143" t="s">
        <v>622</v>
      </c>
      <c r="B499" s="144">
        <v>20</v>
      </c>
      <c r="C499" s="144">
        <v>9</v>
      </c>
      <c r="D499" s="145" t="s">
        <v>432</v>
      </c>
      <c r="E499" s="144"/>
      <c r="F499" s="146">
        <v>800000</v>
      </c>
      <c r="G499" s="146">
        <v>11346765</v>
      </c>
      <c r="H499" s="146"/>
      <c r="I499" s="146"/>
      <c r="J499" s="146"/>
      <c r="K499" s="147">
        <f t="shared" si="35"/>
        <v>12146765</v>
      </c>
      <c r="L499" s="148" t="s">
        <v>288</v>
      </c>
      <c r="N499" s="130"/>
    </row>
    <row r="500" spans="1:14" ht="12.2" customHeight="1" thickBot="1" x14ac:dyDescent="0.25">
      <c r="A500" s="21" t="s">
        <v>623</v>
      </c>
      <c r="B500" s="22">
        <v>20</v>
      </c>
      <c r="C500" s="22">
        <v>10</v>
      </c>
      <c r="D500" s="2" t="s">
        <v>432</v>
      </c>
      <c r="E500" s="22"/>
      <c r="F500" s="18">
        <f>383661-18000+13500</f>
        <v>379161</v>
      </c>
      <c r="G500" s="18">
        <f>5665627.18-287262.27</f>
        <v>5378364.9100000001</v>
      </c>
      <c r="H500" s="18"/>
      <c r="I500" s="18"/>
      <c r="J500" s="18"/>
      <c r="K500" s="19">
        <f t="shared" si="35"/>
        <v>5757525.9100000001</v>
      </c>
      <c r="L500" s="23" t="s">
        <v>288</v>
      </c>
      <c r="N500" s="130"/>
    </row>
    <row r="501" spans="1:14" ht="12.2" customHeight="1" thickTop="1" x14ac:dyDescent="0.2">
      <c r="A501" s="97" t="s">
        <v>624</v>
      </c>
      <c r="B501" s="41">
        <v>20</v>
      </c>
      <c r="C501" s="41">
        <v>11</v>
      </c>
      <c r="D501" s="36" t="s">
        <v>432</v>
      </c>
      <c r="E501" s="41"/>
      <c r="F501" s="39">
        <f>SUM(F499:F500)</f>
        <v>1179161</v>
      </c>
      <c r="G501" s="39">
        <f>SUM(G499:G500)</f>
        <v>16725129.91</v>
      </c>
      <c r="H501" s="39">
        <f>SUM(H499:H500)</f>
        <v>0</v>
      </c>
      <c r="I501" s="39">
        <f>SUM(I499:I500)</f>
        <v>0</v>
      </c>
      <c r="J501" s="39">
        <f>SUM(J499:J500)</f>
        <v>0</v>
      </c>
      <c r="K501" s="39">
        <f t="shared" si="35"/>
        <v>17904290.91</v>
      </c>
      <c r="L501" s="42" t="s">
        <v>288</v>
      </c>
      <c r="N501" s="130"/>
    </row>
    <row r="502" spans="1:14" ht="12.2" customHeight="1" x14ac:dyDescent="0.2">
      <c r="A502" s="143" t="s">
        <v>651</v>
      </c>
      <c r="B502" s="144">
        <v>20</v>
      </c>
      <c r="C502" s="144">
        <v>12</v>
      </c>
      <c r="D502" s="145" t="s">
        <v>432</v>
      </c>
      <c r="E502" s="144"/>
      <c r="F502" s="146">
        <v>200000</v>
      </c>
      <c r="G502" s="146">
        <v>567339</v>
      </c>
      <c r="H502" s="146"/>
      <c r="I502" s="146"/>
      <c r="J502" s="146"/>
      <c r="K502" s="147">
        <f t="shared" si="35"/>
        <v>767339</v>
      </c>
      <c r="L502" s="148" t="s">
        <v>288</v>
      </c>
      <c r="N502" s="130"/>
    </row>
    <row r="503" spans="1:14" ht="12.2" customHeight="1" thickBot="1" x14ac:dyDescent="0.25">
      <c r="A503" s="21" t="s">
        <v>625</v>
      </c>
      <c r="B503" s="22">
        <v>20</v>
      </c>
      <c r="C503" s="22">
        <v>13</v>
      </c>
      <c r="D503" s="2" t="s">
        <v>432</v>
      </c>
      <c r="E503" s="22"/>
      <c r="F503" s="18">
        <v>22500</v>
      </c>
      <c r="G503" s="18">
        <f>277995.75+263528.6</f>
        <v>541524.35</v>
      </c>
      <c r="H503" s="18"/>
      <c r="I503" s="18"/>
      <c r="J503" s="18"/>
      <c r="K503" s="19">
        <f t="shared" si="35"/>
        <v>564024.35</v>
      </c>
      <c r="L503" s="23" t="s">
        <v>288</v>
      </c>
      <c r="N503" s="130"/>
    </row>
    <row r="504" spans="1:14" ht="12.2" customHeight="1" thickTop="1" x14ac:dyDescent="0.2">
      <c r="A504" s="97" t="s">
        <v>626</v>
      </c>
      <c r="B504" s="41">
        <v>20</v>
      </c>
      <c r="C504" s="41">
        <v>14</v>
      </c>
      <c r="D504" s="36" t="s">
        <v>432</v>
      </c>
      <c r="E504" s="41"/>
      <c r="F504" s="39">
        <f>SUM(F502:F503)</f>
        <v>222500</v>
      </c>
      <c r="G504" s="39">
        <f>SUM(G502:G503)</f>
        <v>1108863.3500000001</v>
      </c>
      <c r="H504" s="39">
        <f>SUM(H502:H503)</f>
        <v>0</v>
      </c>
      <c r="I504" s="39">
        <f>SUM(I502:I503)</f>
        <v>0</v>
      </c>
      <c r="J504" s="39">
        <f>SUM(J502:J503)</f>
        <v>0</v>
      </c>
      <c r="K504" s="39">
        <f t="shared" si="35"/>
        <v>1331363.3500000001</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F199+F278-F558-F563-F568-F532</f>
        <v>1213766.2</v>
      </c>
      <c r="G522" s="18">
        <f>G199+G278-G558-G563-G568-G532</f>
        <v>550422.49</v>
      </c>
      <c r="H522" s="18">
        <f t="shared" ref="H522:K522" si="36">H199+H278-H558-H563-H568</f>
        <v>103818.76</v>
      </c>
      <c r="I522" s="18">
        <f t="shared" si="36"/>
        <v>15761.21</v>
      </c>
      <c r="J522" s="18">
        <f t="shared" si="36"/>
        <v>1854.1299999999999</v>
      </c>
      <c r="K522" s="18">
        <f t="shared" si="36"/>
        <v>4104.8500000000004</v>
      </c>
      <c r="L522" s="69">
        <f>SUM(F522:K522)</f>
        <v>1889727.64</v>
      </c>
      <c r="N522" s="130"/>
    </row>
    <row r="523" spans="1:14" ht="12.2" customHeight="1" x14ac:dyDescent="0.2">
      <c r="A523" s="21" t="s">
        <v>634</v>
      </c>
      <c r="B523" s="22">
        <v>21</v>
      </c>
      <c r="C523" s="22">
        <v>2</v>
      </c>
      <c r="D523" s="2" t="s">
        <v>432</v>
      </c>
      <c r="E523" s="22"/>
      <c r="F523" s="18">
        <f>F217+F297-F559-F564-F569-F533</f>
        <v>998434.64999999991</v>
      </c>
      <c r="G523" s="18">
        <f>G217+G297-G559-G564-G569-G533</f>
        <v>507352.62999999989</v>
      </c>
      <c r="H523" s="18">
        <f t="shared" ref="H523:K523" si="37">H217+H297-H559-H564-H569</f>
        <v>104381.81999999999</v>
      </c>
      <c r="I523" s="18">
        <f t="shared" si="37"/>
        <v>14509.31</v>
      </c>
      <c r="J523" s="18">
        <f t="shared" si="37"/>
        <v>1155.9100000000001</v>
      </c>
      <c r="K523" s="18">
        <f t="shared" si="37"/>
        <v>1720.71</v>
      </c>
      <c r="L523" s="69">
        <f>SUM(F523:K523)</f>
        <v>1627555.0299999998</v>
      </c>
      <c r="N523" s="130"/>
    </row>
    <row r="524" spans="1:14" ht="12.2" customHeight="1" thickBot="1" x14ac:dyDescent="0.25">
      <c r="A524" s="21" t="s">
        <v>635</v>
      </c>
      <c r="B524" s="22">
        <v>21</v>
      </c>
      <c r="C524" s="22">
        <v>3</v>
      </c>
      <c r="D524" s="2" t="s">
        <v>432</v>
      </c>
      <c r="E524" s="22"/>
      <c r="F524" s="18">
        <f>F235+F316-F560-F565-F570-F534</f>
        <v>937808.04999999993</v>
      </c>
      <c r="G524" s="18">
        <f>G235+G316-G560-G565-G570-G534</f>
        <v>442008.09</v>
      </c>
      <c r="H524" s="18">
        <f t="shared" ref="H524:K524" si="38">H235+H316-H560-H565-H570</f>
        <v>1018325.4</v>
      </c>
      <c r="I524" s="18">
        <f t="shared" si="38"/>
        <v>24603.03</v>
      </c>
      <c r="J524" s="18">
        <f t="shared" si="38"/>
        <v>5485.82</v>
      </c>
      <c r="K524" s="18">
        <f t="shared" si="38"/>
        <v>1277.68</v>
      </c>
      <c r="L524" s="69">
        <f>SUM(F524:K524)</f>
        <v>2429508.0699999998</v>
      </c>
      <c r="N524" s="130"/>
    </row>
    <row r="525" spans="1:14" ht="12.2" customHeight="1" thickTop="1" x14ac:dyDescent="0.2">
      <c r="A525" s="97" t="s">
        <v>63</v>
      </c>
      <c r="B525" s="41">
        <v>21</v>
      </c>
      <c r="C525" s="41">
        <v>4</v>
      </c>
      <c r="D525" s="115" t="s">
        <v>432</v>
      </c>
      <c r="E525" s="41"/>
      <c r="F525" s="81">
        <f>SUM(F522:F524)</f>
        <v>3150008.8999999994</v>
      </c>
      <c r="G525" s="81">
        <f t="shared" ref="G525:L525" si="39">SUM(G522:G524)</f>
        <v>1499783.21</v>
      </c>
      <c r="H525" s="81">
        <f t="shared" si="39"/>
        <v>1226525.98</v>
      </c>
      <c r="I525" s="81">
        <f t="shared" si="39"/>
        <v>54873.549999999996</v>
      </c>
      <c r="J525" s="81">
        <f t="shared" si="39"/>
        <v>8495.86</v>
      </c>
      <c r="K525" s="81">
        <f t="shared" si="39"/>
        <v>7103.2400000000007</v>
      </c>
      <c r="L525" s="70">
        <f t="shared" si="39"/>
        <v>5946790.7400000002</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f>72580.02+211494.44+38296.43+199802.16</f>
        <v>522173.05000000005</v>
      </c>
      <c r="G527" s="18">
        <f>41934.73+131161.89+126208.93-0.04</f>
        <v>299305.51000000007</v>
      </c>
      <c r="H527" s="18">
        <f>2048.78+629.06+8502.99+3158.69+666.67</f>
        <v>15006.19</v>
      </c>
      <c r="I527" s="18">
        <f>418.67+2235.11+1187.58</f>
        <v>3841.36</v>
      </c>
      <c r="J527" s="18">
        <f>659.48+257.95</f>
        <v>917.43000000000006</v>
      </c>
      <c r="K527" s="18">
        <v>0</v>
      </c>
      <c r="L527" s="69">
        <f>SUM(F527:K527)</f>
        <v>841243.54</v>
      </c>
      <c r="M527" s="8"/>
      <c r="N527" s="164"/>
    </row>
    <row r="528" spans="1:14" s="3" customFormat="1" ht="12.2" customHeight="1" x14ac:dyDescent="0.15">
      <c r="A528" s="21" t="s">
        <v>634</v>
      </c>
      <c r="B528" s="22">
        <v>21</v>
      </c>
      <c r="C528" s="22">
        <v>6</v>
      </c>
      <c r="D528" s="2" t="s">
        <v>432</v>
      </c>
      <c r="E528" s="22"/>
      <c r="F528" s="18">
        <f>72088.24+35249.07+13196.74+49950.54</f>
        <v>170484.59</v>
      </c>
      <c r="G528" s="18">
        <f>41650.6+25438.26+31552.23</f>
        <v>98641.09</v>
      </c>
      <c r="H528" s="18">
        <f>2034.89+154.22+2084.56+789.67+166.67</f>
        <v>5230.01</v>
      </c>
      <c r="I528" s="18">
        <f>415.84+547.95+296.9</f>
        <v>1260.69</v>
      </c>
      <c r="J528" s="18">
        <f>161.68+64.49</f>
        <v>226.17000000000002</v>
      </c>
      <c r="K528" s="18">
        <v>0</v>
      </c>
      <c r="L528" s="69">
        <f>SUM(F528:K528)</f>
        <v>275842.55</v>
      </c>
      <c r="M528" s="8"/>
      <c r="N528" s="164"/>
    </row>
    <row r="529" spans="1:14" s="3" customFormat="1" ht="12.2" customHeight="1" thickBot="1" x14ac:dyDescent="0.2">
      <c r="A529" s="21" t="s">
        <v>635</v>
      </c>
      <c r="B529" s="22">
        <v>21</v>
      </c>
      <c r="C529" s="22">
        <v>7</v>
      </c>
      <c r="D529" s="2" t="s">
        <v>432</v>
      </c>
      <c r="E529" s="22"/>
      <c r="F529" s="18">
        <f>83209.76+35249.07+13196.74+49950.54</f>
        <v>181606.11</v>
      </c>
      <c r="G529" s="18">
        <f>48076.31+25438.26+31552.23</f>
        <v>105066.79999999999</v>
      </c>
      <c r="H529" s="18">
        <f>2348.83+154.22+2084.56+789.67+166.67</f>
        <v>5543.95</v>
      </c>
      <c r="I529" s="18">
        <f>479.99+547.95+296.9</f>
        <v>1324.8400000000001</v>
      </c>
      <c r="J529" s="18">
        <f>161.68+64.49</f>
        <v>226.17000000000002</v>
      </c>
      <c r="K529" s="18">
        <v>0</v>
      </c>
      <c r="L529" s="69">
        <f>SUM(F529:K529)</f>
        <v>293767.87</v>
      </c>
      <c r="M529" s="8"/>
      <c r="N529" s="164"/>
    </row>
    <row r="530" spans="1:14" s="3" customFormat="1" ht="12.2" customHeight="1" thickTop="1" x14ac:dyDescent="0.15">
      <c r="A530" s="97" t="s">
        <v>65</v>
      </c>
      <c r="B530" s="41">
        <v>21</v>
      </c>
      <c r="C530" s="41">
        <v>8</v>
      </c>
      <c r="D530" s="115" t="s">
        <v>432</v>
      </c>
      <c r="E530" s="41"/>
      <c r="F530" s="70">
        <f>SUM(F527:F529)</f>
        <v>874263.75</v>
      </c>
      <c r="G530" s="70">
        <f t="shared" ref="G530:L530" si="40">SUM(G527:G529)</f>
        <v>503013.40000000008</v>
      </c>
      <c r="H530" s="70">
        <f t="shared" si="40"/>
        <v>25780.15</v>
      </c>
      <c r="I530" s="70">
        <f t="shared" si="40"/>
        <v>6426.89</v>
      </c>
      <c r="J530" s="70">
        <f t="shared" si="40"/>
        <v>1369.7700000000002</v>
      </c>
      <c r="K530" s="70">
        <f t="shared" si="40"/>
        <v>0</v>
      </c>
      <c r="L530" s="70">
        <f t="shared" si="40"/>
        <v>1410853.96</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102368</v>
      </c>
      <c r="G532" s="18">
        <v>36581.9</v>
      </c>
      <c r="H532" s="18">
        <v>0</v>
      </c>
      <c r="I532" s="18">
        <v>0</v>
      </c>
      <c r="J532" s="18">
        <v>0</v>
      </c>
      <c r="K532" s="18">
        <v>0</v>
      </c>
      <c r="L532" s="69">
        <f>SUM(F532:K532)</f>
        <v>138949.9</v>
      </c>
      <c r="M532" s="8"/>
      <c r="N532" s="164"/>
    </row>
    <row r="533" spans="1:14" s="3" customFormat="1" ht="12.2" customHeight="1" x14ac:dyDescent="0.15">
      <c r="A533" s="21" t="s">
        <v>634</v>
      </c>
      <c r="B533" s="22">
        <v>21</v>
      </c>
      <c r="C533" s="22">
        <v>10</v>
      </c>
      <c r="D533" s="2" t="s">
        <v>432</v>
      </c>
      <c r="E533" s="22"/>
      <c r="F533" s="18">
        <v>102368</v>
      </c>
      <c r="G533" s="18">
        <v>36581.9</v>
      </c>
      <c r="H533" s="18">
        <v>0</v>
      </c>
      <c r="I533" s="18">
        <v>0</v>
      </c>
      <c r="J533" s="18">
        <v>0</v>
      </c>
      <c r="K533" s="18">
        <v>0</v>
      </c>
      <c r="L533" s="69">
        <f>SUM(F533:K533)</f>
        <v>138949.9</v>
      </c>
      <c r="M533" s="8"/>
      <c r="N533" s="164"/>
    </row>
    <row r="534" spans="1:14" s="3" customFormat="1" ht="12.2" customHeight="1" thickBot="1" x14ac:dyDescent="0.2">
      <c r="A534" s="21" t="s">
        <v>635</v>
      </c>
      <c r="B534" s="22">
        <v>21</v>
      </c>
      <c r="C534" s="22">
        <v>11</v>
      </c>
      <c r="D534" s="2" t="s">
        <v>432</v>
      </c>
      <c r="E534" s="22"/>
      <c r="F534" s="18">
        <v>102368</v>
      </c>
      <c r="G534" s="18">
        <v>57083.3</v>
      </c>
      <c r="H534" s="18">
        <v>0</v>
      </c>
      <c r="I534" s="18">
        <v>0</v>
      </c>
      <c r="J534" s="18">
        <v>0</v>
      </c>
      <c r="K534" s="18">
        <v>0</v>
      </c>
      <c r="L534" s="69">
        <f>SUM(F534:K534)</f>
        <v>159451.29999999999</v>
      </c>
      <c r="M534" s="8"/>
      <c r="N534" s="164"/>
    </row>
    <row r="535" spans="1:14" s="3" customFormat="1" ht="12.2" customHeight="1" thickTop="1" x14ac:dyDescent="0.15">
      <c r="A535" s="97" t="s">
        <v>67</v>
      </c>
      <c r="B535" s="41">
        <v>21</v>
      </c>
      <c r="C535" s="41">
        <v>12</v>
      </c>
      <c r="D535" s="115" t="s">
        <v>432</v>
      </c>
      <c r="E535" s="41"/>
      <c r="F535" s="70">
        <f>SUM(F532:F534)</f>
        <v>307104</v>
      </c>
      <c r="G535" s="70">
        <f t="shared" ref="G535:L535" si="41">SUM(G532:G534)</f>
        <v>130247.1</v>
      </c>
      <c r="H535" s="70">
        <f t="shared" si="41"/>
        <v>0</v>
      </c>
      <c r="I535" s="70">
        <f t="shared" si="41"/>
        <v>0</v>
      </c>
      <c r="J535" s="70">
        <f t="shared" si="41"/>
        <v>0</v>
      </c>
      <c r="K535" s="70">
        <f t="shared" si="41"/>
        <v>0</v>
      </c>
      <c r="L535" s="70">
        <f t="shared" si="41"/>
        <v>437351.1</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v>0</v>
      </c>
      <c r="G537" s="18">
        <v>0</v>
      </c>
      <c r="H537" s="18">
        <v>2256</v>
      </c>
      <c r="I537" s="18">
        <v>0</v>
      </c>
      <c r="J537" s="18">
        <v>0</v>
      </c>
      <c r="K537" s="18">
        <v>0</v>
      </c>
      <c r="L537" s="69">
        <f>SUM(F537:K537)</f>
        <v>2256</v>
      </c>
      <c r="M537" s="8"/>
      <c r="N537" s="164"/>
    </row>
    <row r="538" spans="1:14" s="3" customFormat="1" ht="12.2" customHeight="1" x14ac:dyDescent="0.15">
      <c r="A538" s="21" t="s">
        <v>634</v>
      </c>
      <c r="B538" s="22">
        <v>21</v>
      </c>
      <c r="C538" s="22">
        <v>14</v>
      </c>
      <c r="D538" s="2" t="s">
        <v>432</v>
      </c>
      <c r="E538" s="22"/>
      <c r="F538" s="18">
        <v>0</v>
      </c>
      <c r="G538" s="18">
        <v>0</v>
      </c>
      <c r="H538" s="18">
        <v>2256</v>
      </c>
      <c r="I538" s="18">
        <v>0</v>
      </c>
      <c r="J538" s="18">
        <v>0</v>
      </c>
      <c r="K538" s="18">
        <v>0</v>
      </c>
      <c r="L538" s="69">
        <f>SUM(F538:K538)</f>
        <v>2256</v>
      </c>
      <c r="M538" s="8"/>
      <c r="N538" s="164"/>
    </row>
    <row r="539" spans="1:14" s="3" customFormat="1" ht="12.2" customHeight="1" thickBot="1" x14ac:dyDescent="0.2">
      <c r="A539" s="21" t="s">
        <v>635</v>
      </c>
      <c r="B539" s="22">
        <v>21</v>
      </c>
      <c r="C539" s="22">
        <v>15</v>
      </c>
      <c r="D539" s="2" t="s">
        <v>432</v>
      </c>
      <c r="E539" s="22"/>
      <c r="F539" s="18">
        <v>0</v>
      </c>
      <c r="G539" s="18">
        <v>0</v>
      </c>
      <c r="H539" s="18">
        <v>2256</v>
      </c>
      <c r="I539" s="18">
        <v>0</v>
      </c>
      <c r="J539" s="18">
        <v>0</v>
      </c>
      <c r="K539" s="18">
        <v>0</v>
      </c>
      <c r="L539" s="69">
        <f>SUM(F539:K539)</f>
        <v>2256</v>
      </c>
      <c r="M539" s="8"/>
      <c r="N539" s="164"/>
    </row>
    <row r="540" spans="1:14" s="3" customFormat="1" ht="12.2" customHeight="1" thickTop="1" x14ac:dyDescent="0.15">
      <c r="A540" s="97" t="s">
        <v>69</v>
      </c>
      <c r="B540" s="41">
        <v>21</v>
      </c>
      <c r="C540" s="41">
        <v>16</v>
      </c>
      <c r="D540" s="115" t="s">
        <v>432</v>
      </c>
      <c r="E540" s="41"/>
      <c r="F540" s="70">
        <f>SUM(F537:F539)</f>
        <v>0</v>
      </c>
      <c r="G540" s="70">
        <f t="shared" ref="G540:L540" si="42">SUM(G537:G539)</f>
        <v>0</v>
      </c>
      <c r="H540" s="70">
        <f t="shared" si="42"/>
        <v>6768</v>
      </c>
      <c r="I540" s="70">
        <f t="shared" si="42"/>
        <v>0</v>
      </c>
      <c r="J540" s="70">
        <f t="shared" si="42"/>
        <v>0</v>
      </c>
      <c r="K540" s="70">
        <f t="shared" si="42"/>
        <v>0</v>
      </c>
      <c r="L540" s="70">
        <f t="shared" si="42"/>
        <v>6768</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f>23973.07</f>
        <v>23973.07</v>
      </c>
      <c r="G542" s="18">
        <v>2591.5100000000002</v>
      </c>
      <c r="H542" s="18">
        <v>60730.52</v>
      </c>
      <c r="I542" s="18">
        <v>0</v>
      </c>
      <c r="J542" s="18">
        <f>5020.67</f>
        <v>5020.67</v>
      </c>
      <c r="K542" s="18">
        <v>0</v>
      </c>
      <c r="L542" s="69">
        <f>SUM(F542:K542)</f>
        <v>92315.77</v>
      </c>
      <c r="M542" s="8"/>
      <c r="N542" s="164"/>
    </row>
    <row r="543" spans="1:14" s="3" customFormat="1" ht="12.2" customHeight="1" x14ac:dyDescent="0.15">
      <c r="A543" s="21" t="s">
        <v>634</v>
      </c>
      <c r="B543" s="22">
        <v>21</v>
      </c>
      <c r="C543" s="22">
        <v>18</v>
      </c>
      <c r="D543" s="2" t="s">
        <v>432</v>
      </c>
      <c r="E543" s="22"/>
      <c r="F543" s="18">
        <v>23973.07</v>
      </c>
      <c r="G543" s="18">
        <v>2591.5100000000002</v>
      </c>
      <c r="H543" s="18">
        <v>60730.52</v>
      </c>
      <c r="I543" s="18">
        <v>0</v>
      </c>
      <c r="J543" s="18">
        <v>5020.67</v>
      </c>
      <c r="K543" s="18">
        <v>0</v>
      </c>
      <c r="L543" s="69">
        <f>SUM(F543:K543)</f>
        <v>92315.77</v>
      </c>
      <c r="M543" s="8"/>
      <c r="N543" s="164"/>
    </row>
    <row r="544" spans="1:14" s="3" customFormat="1" ht="12.2" customHeight="1" thickBot="1" x14ac:dyDescent="0.2">
      <c r="A544" s="21" t="s">
        <v>635</v>
      </c>
      <c r="B544" s="22">
        <v>21</v>
      </c>
      <c r="C544" s="22">
        <v>19</v>
      </c>
      <c r="D544" s="2" t="s">
        <v>432</v>
      </c>
      <c r="E544" s="22"/>
      <c r="F544" s="18">
        <v>23973.06</v>
      </c>
      <c r="G544" s="18">
        <v>2591.5100000000002</v>
      </c>
      <c r="H544" s="18">
        <v>60730.53</v>
      </c>
      <c r="I544" s="18">
        <v>0</v>
      </c>
      <c r="J544" s="18">
        <v>5020.66</v>
      </c>
      <c r="K544" s="18">
        <v>0</v>
      </c>
      <c r="L544" s="69">
        <f>SUM(F544:K544)</f>
        <v>92315.760000000009</v>
      </c>
      <c r="M544" s="8"/>
      <c r="N544" s="164"/>
    </row>
    <row r="545" spans="1:14" s="3" customFormat="1" ht="12.2" customHeight="1" thickTop="1" thickBot="1" x14ac:dyDescent="0.2">
      <c r="A545" s="93" t="s">
        <v>71</v>
      </c>
      <c r="B545" s="63">
        <v>21</v>
      </c>
      <c r="C545" s="63">
        <v>20</v>
      </c>
      <c r="D545" s="139" t="s">
        <v>432</v>
      </c>
      <c r="E545" s="63"/>
      <c r="F545" s="140">
        <f>SUM(F542:F544)</f>
        <v>71919.199999999997</v>
      </c>
      <c r="G545" s="140">
        <f t="shared" ref="G545:L545" si="43">SUM(G542:G544)</f>
        <v>7774.5300000000007</v>
      </c>
      <c r="H545" s="140">
        <f t="shared" si="43"/>
        <v>182191.57</v>
      </c>
      <c r="I545" s="140">
        <f t="shared" si="43"/>
        <v>0</v>
      </c>
      <c r="J545" s="140">
        <f t="shared" si="43"/>
        <v>15062</v>
      </c>
      <c r="K545" s="140">
        <f t="shared" si="43"/>
        <v>0</v>
      </c>
      <c r="L545" s="140">
        <f t="shared" si="43"/>
        <v>276947.30000000005</v>
      </c>
      <c r="M545" s="8"/>
      <c r="N545" s="164"/>
    </row>
    <row r="546" spans="1:14" s="3" customFormat="1" ht="12.2" customHeight="1" thickTop="1" x14ac:dyDescent="0.15">
      <c r="A546" s="75" t="s">
        <v>72</v>
      </c>
      <c r="B546" s="41">
        <v>21</v>
      </c>
      <c r="C546" s="41">
        <v>21</v>
      </c>
      <c r="D546" s="115" t="s">
        <v>432</v>
      </c>
      <c r="E546" s="41"/>
      <c r="F546" s="70">
        <f>F525+F530+F535+F540+F545</f>
        <v>4403295.8499999996</v>
      </c>
      <c r="G546" s="70">
        <f t="shared" ref="G546:L546" si="44">G525+G530+G535+G540+G545</f>
        <v>2140818.2399999998</v>
      </c>
      <c r="H546" s="70">
        <f t="shared" si="44"/>
        <v>1441265.7</v>
      </c>
      <c r="I546" s="70">
        <f t="shared" si="44"/>
        <v>61300.439999999995</v>
      </c>
      <c r="J546" s="70">
        <f t="shared" si="44"/>
        <v>24927.63</v>
      </c>
      <c r="K546" s="70">
        <f t="shared" si="44"/>
        <v>7103.2400000000007</v>
      </c>
      <c r="L546" s="70">
        <f t="shared" si="44"/>
        <v>8078711.0999999996</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1889727.64</v>
      </c>
      <c r="G550" s="69">
        <f>L527</f>
        <v>841243.54</v>
      </c>
      <c r="H550" s="69">
        <f>L532</f>
        <v>138949.9</v>
      </c>
      <c r="I550" s="69">
        <f>L537</f>
        <v>2256</v>
      </c>
      <c r="J550" s="69">
        <f>L542</f>
        <v>92315.77</v>
      </c>
      <c r="K550" s="69">
        <f>SUM(F550:J550)</f>
        <v>2964492.8499999996</v>
      </c>
      <c r="L550" s="23" t="s">
        <v>288</v>
      </c>
      <c r="M550" s="8"/>
      <c r="N550" s="164"/>
    </row>
    <row r="551" spans="1:14" s="3" customFormat="1" ht="12.2" customHeight="1" x14ac:dyDescent="0.15">
      <c r="A551" s="21" t="s">
        <v>634</v>
      </c>
      <c r="B551" s="22">
        <v>21</v>
      </c>
      <c r="C551" s="22">
        <v>23</v>
      </c>
      <c r="D551" s="2" t="s">
        <v>432</v>
      </c>
      <c r="E551" s="22"/>
      <c r="F551" s="69">
        <f>L523</f>
        <v>1627555.0299999998</v>
      </c>
      <c r="G551" s="69">
        <f>L528</f>
        <v>275842.55</v>
      </c>
      <c r="H551" s="69">
        <f>L533</f>
        <v>138949.9</v>
      </c>
      <c r="I551" s="69">
        <f>L538</f>
        <v>2256</v>
      </c>
      <c r="J551" s="69">
        <f>L543</f>
        <v>92315.77</v>
      </c>
      <c r="K551" s="69">
        <f>SUM(F551:J551)</f>
        <v>2136919.2499999995</v>
      </c>
      <c r="L551" s="23" t="s">
        <v>288</v>
      </c>
      <c r="M551" s="8"/>
      <c r="N551" s="164"/>
    </row>
    <row r="552" spans="1:14" s="3" customFormat="1" ht="12.2" customHeight="1" thickBot="1" x14ac:dyDescent="0.2">
      <c r="A552" s="21" t="s">
        <v>635</v>
      </c>
      <c r="B552" s="22">
        <v>21</v>
      </c>
      <c r="C552" s="22">
        <v>24</v>
      </c>
      <c r="D552" s="2" t="s">
        <v>432</v>
      </c>
      <c r="E552" s="22"/>
      <c r="F552" s="69">
        <f>L524</f>
        <v>2429508.0699999998</v>
      </c>
      <c r="G552" s="69">
        <f>L529</f>
        <v>293767.87</v>
      </c>
      <c r="H552" s="69">
        <f>L534</f>
        <v>159451.29999999999</v>
      </c>
      <c r="I552" s="69">
        <f>L539</f>
        <v>2256</v>
      </c>
      <c r="J552" s="69">
        <f>L544</f>
        <v>92315.760000000009</v>
      </c>
      <c r="K552" s="69">
        <f>SUM(F552:J552)</f>
        <v>2977299</v>
      </c>
      <c r="L552" s="23" t="s">
        <v>288</v>
      </c>
      <c r="M552" s="8"/>
      <c r="N552" s="164"/>
    </row>
    <row r="553" spans="1:14" s="3" customFormat="1" ht="12.2" customHeight="1" thickTop="1" x14ac:dyDescent="0.15">
      <c r="A553" s="126" t="s">
        <v>340</v>
      </c>
      <c r="B553" s="41">
        <v>21</v>
      </c>
      <c r="C553" s="41">
        <v>25</v>
      </c>
      <c r="D553" s="36" t="s">
        <v>432</v>
      </c>
      <c r="E553" s="41"/>
      <c r="F553" s="70">
        <f t="shared" ref="F553:K553" si="45">SUM(F550:F552)</f>
        <v>5946790.7400000002</v>
      </c>
      <c r="G553" s="70">
        <f t="shared" si="45"/>
        <v>1410853.96</v>
      </c>
      <c r="H553" s="70">
        <f t="shared" si="45"/>
        <v>437351.1</v>
      </c>
      <c r="I553" s="70">
        <f t="shared" si="45"/>
        <v>6768</v>
      </c>
      <c r="J553" s="70">
        <f t="shared" si="45"/>
        <v>276947.30000000005</v>
      </c>
      <c r="K553" s="70">
        <f t="shared" si="45"/>
        <v>8078711.0999999996</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v>0</v>
      </c>
      <c r="G558" s="18">
        <v>0</v>
      </c>
      <c r="H558" s="18">
        <v>0</v>
      </c>
      <c r="I558" s="18">
        <v>0</v>
      </c>
      <c r="J558" s="18">
        <v>0</v>
      </c>
      <c r="K558" s="18">
        <v>0</v>
      </c>
      <c r="L558" s="69">
        <f>SUM(F558:K558)</f>
        <v>0</v>
      </c>
      <c r="M558" s="8"/>
      <c r="N558" s="164"/>
    </row>
    <row r="559" spans="1:14" s="3" customFormat="1" ht="12.2" customHeight="1" x14ac:dyDescent="0.15">
      <c r="A559" s="21" t="s">
        <v>634</v>
      </c>
      <c r="B559" s="22">
        <v>22</v>
      </c>
      <c r="C559" s="22">
        <v>2</v>
      </c>
      <c r="D559" s="2" t="s">
        <v>432</v>
      </c>
      <c r="E559" s="22"/>
      <c r="F559" s="18">
        <v>0</v>
      </c>
      <c r="G559" s="18">
        <v>0</v>
      </c>
      <c r="H559" s="18">
        <v>0</v>
      </c>
      <c r="I559" s="18">
        <v>0</v>
      </c>
      <c r="J559" s="18">
        <v>0</v>
      </c>
      <c r="K559" s="18">
        <v>0</v>
      </c>
      <c r="L559" s="69">
        <f>SUM(F559:K559)</f>
        <v>0</v>
      </c>
      <c r="M559" s="8"/>
      <c r="N559" s="164"/>
    </row>
    <row r="560" spans="1:14" s="3" customFormat="1" ht="12.2" customHeight="1" thickBot="1" x14ac:dyDescent="0.2">
      <c r="A560" s="21" t="s">
        <v>635</v>
      </c>
      <c r="B560" s="22">
        <v>22</v>
      </c>
      <c r="C560" s="22">
        <v>3</v>
      </c>
      <c r="D560" s="2" t="s">
        <v>432</v>
      </c>
      <c r="E560" s="22"/>
      <c r="F560" s="18">
        <v>0</v>
      </c>
      <c r="G560" s="18">
        <v>0</v>
      </c>
      <c r="H560" s="18">
        <v>0</v>
      </c>
      <c r="I560" s="18">
        <v>0</v>
      </c>
      <c r="J560" s="18">
        <v>0</v>
      </c>
      <c r="K560" s="18">
        <v>0</v>
      </c>
      <c r="L560" s="69">
        <f>SUM(F560:K560)</f>
        <v>0</v>
      </c>
      <c r="M560" s="8"/>
      <c r="N560" s="164"/>
    </row>
    <row r="561" spans="1:14" s="3" customFormat="1" ht="12.2" customHeight="1" thickTop="1" x14ac:dyDescent="0.15">
      <c r="A561" s="97" t="s">
        <v>63</v>
      </c>
      <c r="B561" s="41">
        <v>22</v>
      </c>
      <c r="C561" s="41">
        <v>4</v>
      </c>
      <c r="D561" s="115" t="s">
        <v>432</v>
      </c>
      <c r="E561" s="41"/>
      <c r="F561" s="81">
        <f t="shared" ref="F561:L561" si="46">SUM(F558:F560)</f>
        <v>0</v>
      </c>
      <c r="G561" s="81">
        <f t="shared" si="46"/>
        <v>0</v>
      </c>
      <c r="H561" s="81">
        <f t="shared" si="46"/>
        <v>0</v>
      </c>
      <c r="I561" s="81">
        <f t="shared" si="46"/>
        <v>0</v>
      </c>
      <c r="J561" s="81">
        <f t="shared" si="46"/>
        <v>0</v>
      </c>
      <c r="K561" s="81">
        <f t="shared" si="46"/>
        <v>0</v>
      </c>
      <c r="L561" s="70">
        <f t="shared" si="46"/>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f>4714.14</f>
        <v>4714.1400000000003</v>
      </c>
      <c r="G563" s="18">
        <v>717.61</v>
      </c>
      <c r="H563" s="18">
        <v>0</v>
      </c>
      <c r="I563" s="18">
        <v>0</v>
      </c>
      <c r="J563" s="18">
        <v>0</v>
      </c>
      <c r="K563" s="18">
        <v>0</v>
      </c>
      <c r="L563" s="69">
        <f>SUM(F563:K563)</f>
        <v>5431.75</v>
      </c>
      <c r="M563" s="8"/>
      <c r="N563" s="164"/>
    </row>
    <row r="564" spans="1:14" s="3" customFormat="1" ht="12.2" customHeight="1" x14ac:dyDescent="0.15">
      <c r="A564" s="21" t="s">
        <v>634</v>
      </c>
      <c r="B564" s="22">
        <v>22</v>
      </c>
      <c r="C564" s="22">
        <v>6</v>
      </c>
      <c r="D564" s="2" t="s">
        <v>432</v>
      </c>
      <c r="E564" s="22"/>
      <c r="F564" s="18">
        <f t="shared" ref="F564:F565" si="47">4714.13</f>
        <v>4714.13</v>
      </c>
      <c r="G564" s="18">
        <v>717.61</v>
      </c>
      <c r="H564" s="18">
        <v>0</v>
      </c>
      <c r="I564" s="18">
        <v>0</v>
      </c>
      <c r="J564" s="18">
        <v>0</v>
      </c>
      <c r="K564" s="18">
        <v>0</v>
      </c>
      <c r="L564" s="69">
        <f>SUM(F564:K564)</f>
        <v>5431.74</v>
      </c>
      <c r="M564" s="8"/>
      <c r="N564" s="164"/>
    </row>
    <row r="565" spans="1:14" s="3" customFormat="1" ht="12.2" customHeight="1" thickBot="1" x14ac:dyDescent="0.2">
      <c r="A565" s="21" t="s">
        <v>635</v>
      </c>
      <c r="B565" s="22">
        <v>22</v>
      </c>
      <c r="C565" s="22">
        <v>7</v>
      </c>
      <c r="D565" s="2" t="s">
        <v>432</v>
      </c>
      <c r="E565" s="22"/>
      <c r="F565" s="18">
        <f t="shared" si="47"/>
        <v>4714.13</v>
      </c>
      <c r="G565" s="18">
        <v>717.61</v>
      </c>
      <c r="H565" s="18">
        <v>0</v>
      </c>
      <c r="I565" s="18">
        <v>0</v>
      </c>
      <c r="J565" s="18">
        <v>0</v>
      </c>
      <c r="K565" s="18">
        <v>0</v>
      </c>
      <c r="L565" s="69">
        <f>SUM(F565:K565)</f>
        <v>5431.74</v>
      </c>
      <c r="M565" s="8"/>
      <c r="N565" s="164"/>
    </row>
    <row r="566" spans="1:14" s="3" customFormat="1" ht="12.2" customHeight="1" thickTop="1" x14ac:dyDescent="0.15">
      <c r="A566" s="97" t="s">
        <v>65</v>
      </c>
      <c r="B566" s="41">
        <v>22</v>
      </c>
      <c r="C566" s="41">
        <v>8</v>
      </c>
      <c r="D566" s="115" t="s">
        <v>432</v>
      </c>
      <c r="E566" s="41"/>
      <c r="F566" s="70">
        <f t="shared" ref="F566:L566" si="48">SUM(F563:F565)</f>
        <v>14142.400000000001</v>
      </c>
      <c r="G566" s="70">
        <f t="shared" si="48"/>
        <v>2152.83</v>
      </c>
      <c r="H566" s="70">
        <f t="shared" si="48"/>
        <v>0</v>
      </c>
      <c r="I566" s="70">
        <f t="shared" si="48"/>
        <v>0</v>
      </c>
      <c r="J566" s="70">
        <f t="shared" si="48"/>
        <v>0</v>
      </c>
      <c r="K566" s="70">
        <f t="shared" si="48"/>
        <v>0</v>
      </c>
      <c r="L566" s="70">
        <f t="shared" si="48"/>
        <v>16295.23</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v>43759</v>
      </c>
      <c r="G568" s="18">
        <v>38833.040000000001</v>
      </c>
      <c r="H568" s="18">
        <v>0</v>
      </c>
      <c r="I568" s="18">
        <v>108.96</v>
      </c>
      <c r="J568" s="18">
        <v>0</v>
      </c>
      <c r="K568" s="18">
        <v>0</v>
      </c>
      <c r="L568" s="69">
        <f>SUM(F568:K568)</f>
        <v>82701.000000000015</v>
      </c>
      <c r="M568" s="8"/>
      <c r="N568" s="164"/>
    </row>
    <row r="569" spans="1:14" s="3" customFormat="1" ht="12.2" customHeight="1" x14ac:dyDescent="0.15">
      <c r="A569" s="21" t="s">
        <v>634</v>
      </c>
      <c r="B569" s="22">
        <v>22</v>
      </c>
      <c r="C569" s="22">
        <v>10</v>
      </c>
      <c r="D569" s="2" t="s">
        <v>432</v>
      </c>
      <c r="E569" s="22"/>
      <c r="F569" s="18">
        <v>0</v>
      </c>
      <c r="G569" s="18">
        <v>0</v>
      </c>
      <c r="H569" s="18">
        <v>0</v>
      </c>
      <c r="I569" s="18">
        <v>0</v>
      </c>
      <c r="J569" s="18">
        <v>0</v>
      </c>
      <c r="K569" s="18">
        <v>0</v>
      </c>
      <c r="L569" s="69">
        <f>SUM(F569:K569)</f>
        <v>0</v>
      </c>
      <c r="M569" s="8"/>
      <c r="N569" s="164"/>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4"/>
    </row>
    <row r="571" spans="1:14" s="3" customFormat="1" ht="12.2" customHeight="1" thickTop="1" thickBot="1" x14ac:dyDescent="0.2">
      <c r="A571" s="93" t="s">
        <v>67</v>
      </c>
      <c r="B571" s="63">
        <v>22</v>
      </c>
      <c r="C571" s="63">
        <v>12</v>
      </c>
      <c r="D571" s="139" t="s">
        <v>432</v>
      </c>
      <c r="E571" s="63"/>
      <c r="F571" s="140">
        <f>SUM(F568:F570)</f>
        <v>43759</v>
      </c>
      <c r="G571" s="140">
        <f t="shared" ref="G571:L571" si="49">SUM(G568:G570)</f>
        <v>38833.040000000001</v>
      </c>
      <c r="H571" s="140">
        <f t="shared" si="49"/>
        <v>0</v>
      </c>
      <c r="I571" s="140">
        <f t="shared" si="49"/>
        <v>108.96</v>
      </c>
      <c r="J571" s="140">
        <f t="shared" si="49"/>
        <v>0</v>
      </c>
      <c r="K571" s="140">
        <f t="shared" si="49"/>
        <v>0</v>
      </c>
      <c r="L571" s="140">
        <f t="shared" si="49"/>
        <v>82701.000000000015</v>
      </c>
      <c r="M571" s="8"/>
      <c r="N571" s="164"/>
    </row>
    <row r="572" spans="1:14" s="3" customFormat="1" ht="12.2" customHeight="1" thickTop="1" x14ac:dyDescent="0.15">
      <c r="A572" s="75" t="s">
        <v>88</v>
      </c>
      <c r="B572" s="41">
        <v>22</v>
      </c>
      <c r="C572" s="41">
        <v>13</v>
      </c>
      <c r="D572" s="115" t="s">
        <v>432</v>
      </c>
      <c r="E572" s="41"/>
      <c r="F572" s="70">
        <f>F561+F566+F571</f>
        <v>57901.4</v>
      </c>
      <c r="G572" s="70">
        <f t="shared" ref="G572:L572" si="50">G561+G566+G571</f>
        <v>40985.870000000003</v>
      </c>
      <c r="H572" s="70">
        <f t="shared" si="50"/>
        <v>0</v>
      </c>
      <c r="I572" s="70">
        <f t="shared" si="50"/>
        <v>108.96</v>
      </c>
      <c r="J572" s="70">
        <f t="shared" si="50"/>
        <v>0</v>
      </c>
      <c r="K572" s="70">
        <f t="shared" si="50"/>
        <v>0</v>
      </c>
      <c r="L572" s="70">
        <f t="shared" si="50"/>
        <v>98996.23000000001</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v>0</v>
      </c>
      <c r="G576" s="18">
        <v>0</v>
      </c>
      <c r="H576" s="18">
        <v>0</v>
      </c>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v>0</v>
      </c>
      <c r="G577" s="18">
        <v>0</v>
      </c>
      <c r="H577" s="18">
        <v>0</v>
      </c>
      <c r="I577" s="69">
        <f t="shared" ref="I577:I588" si="51">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v>0</v>
      </c>
      <c r="I578" s="69">
        <f t="shared" si="51"/>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v>0</v>
      </c>
      <c r="G579" s="18">
        <v>0</v>
      </c>
      <c r="H579" s="18">
        <v>0</v>
      </c>
      <c r="I579" s="69">
        <f t="shared" si="51"/>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0</v>
      </c>
      <c r="G580" s="18">
        <v>0</v>
      </c>
      <c r="H580" s="18">
        <v>0</v>
      </c>
      <c r="I580" s="69">
        <f t="shared" si="51"/>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v>0</v>
      </c>
      <c r="G581" s="18">
        <v>0</v>
      </c>
      <c r="H581" s="18">
        <v>0</v>
      </c>
      <c r="I581" s="69">
        <f t="shared" si="51"/>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v>0</v>
      </c>
      <c r="I582" s="69">
        <f t="shared" si="51"/>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0</v>
      </c>
      <c r="G583" s="18">
        <v>0</v>
      </c>
      <c r="H583" s="18">
        <f>901358.99+1600</f>
        <v>902958.99</v>
      </c>
      <c r="I583" s="69">
        <f t="shared" si="51"/>
        <v>902958.99</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v>0</v>
      </c>
      <c r="G584" s="18">
        <v>0</v>
      </c>
      <c r="H584" s="18">
        <v>0</v>
      </c>
      <c r="I584" s="69">
        <f t="shared" si="51"/>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v>0</v>
      </c>
      <c r="G585" s="18">
        <v>0</v>
      </c>
      <c r="H585" s="18">
        <v>353738.84</v>
      </c>
      <c r="I585" s="69">
        <f t="shared" si="51"/>
        <v>353738.84</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v>0</v>
      </c>
      <c r="G586" s="18">
        <v>0</v>
      </c>
      <c r="H586" s="18">
        <v>0</v>
      </c>
      <c r="I586" s="69">
        <f t="shared" si="51"/>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v>0</v>
      </c>
      <c r="I587" s="69">
        <f t="shared" si="51"/>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v>0</v>
      </c>
      <c r="G588" s="53">
        <v>0</v>
      </c>
      <c r="H588" s="53">
        <v>0</v>
      </c>
      <c r="I588" s="312">
        <f t="shared" si="51"/>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 t="shared" ref="G589:I589" si="52">SUM(G576:G588)</f>
        <v>0</v>
      </c>
      <c r="H589" s="79">
        <f t="shared" si="52"/>
        <v>1256697.83</v>
      </c>
      <c r="I589" s="79">
        <f t="shared" si="52"/>
        <v>1256697.83</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f>224719.79-4.19</f>
        <v>224715.6</v>
      </c>
      <c r="I592" s="18">
        <f>224719.79-4.19</f>
        <v>224715.6</v>
      </c>
      <c r="J592" s="18">
        <f>69144.55+278.39</f>
        <v>69422.94</v>
      </c>
      <c r="K592" s="80">
        <f t="shared" ref="K592:K598" si="53">SUM(H592:J592)</f>
        <v>518854.14</v>
      </c>
      <c r="L592" s="23" t="s">
        <v>288</v>
      </c>
      <c r="M592" s="8"/>
      <c r="N592" s="164"/>
    </row>
    <row r="593" spans="1:14" s="3" customFormat="1" ht="12.2" customHeight="1" x14ac:dyDescent="0.15">
      <c r="A593" s="3" t="s">
        <v>638</v>
      </c>
      <c r="B593" s="22">
        <v>23</v>
      </c>
      <c r="C593" s="22">
        <v>2</v>
      </c>
      <c r="D593" s="2" t="s">
        <v>432</v>
      </c>
      <c r="E593" s="22"/>
      <c r="F593" s="78">
        <v>2722</v>
      </c>
      <c r="G593" s="79" t="s">
        <v>97</v>
      </c>
      <c r="H593" s="18">
        <f>L542</f>
        <v>92315.77</v>
      </c>
      <c r="I593" s="18">
        <f>L543</f>
        <v>92315.77</v>
      </c>
      <c r="J593" s="18">
        <f>L544</f>
        <v>92315.760000000009</v>
      </c>
      <c r="K593" s="80">
        <f t="shared" si="53"/>
        <v>276947.30000000005</v>
      </c>
      <c r="L593" s="23" t="s">
        <v>288</v>
      </c>
      <c r="M593" s="8"/>
      <c r="N593" s="164"/>
    </row>
    <row r="594" spans="1:14" s="3" customFormat="1" ht="12.2" customHeight="1" x14ac:dyDescent="0.15">
      <c r="A594" s="3" t="s">
        <v>639</v>
      </c>
      <c r="B594" s="22">
        <v>23</v>
      </c>
      <c r="C594" s="22">
        <v>3</v>
      </c>
      <c r="D594" s="2" t="s">
        <v>432</v>
      </c>
      <c r="E594" s="22"/>
      <c r="F594" s="78">
        <v>2723</v>
      </c>
      <c r="G594" s="79" t="s">
        <v>97</v>
      </c>
      <c r="H594" s="18">
        <v>0</v>
      </c>
      <c r="I594" s="18">
        <v>0</v>
      </c>
      <c r="J594" s="18">
        <f>43694.63+4606.27</f>
        <v>48300.899999999994</v>
      </c>
      <c r="K594" s="80">
        <f t="shared" si="53"/>
        <v>48300.899999999994</v>
      </c>
      <c r="L594" s="23" t="s">
        <v>288</v>
      </c>
      <c r="M594" s="8"/>
      <c r="N594" s="164"/>
    </row>
    <row r="595" spans="1:14" s="3" customFormat="1" ht="12.2" customHeight="1" x14ac:dyDescent="0.15">
      <c r="A595" s="21" t="s">
        <v>640</v>
      </c>
      <c r="B595" s="22">
        <v>23</v>
      </c>
      <c r="C595" s="22">
        <v>4</v>
      </c>
      <c r="D595" s="2" t="s">
        <v>432</v>
      </c>
      <c r="E595" s="22"/>
      <c r="F595" s="78">
        <v>2724</v>
      </c>
      <c r="G595" s="79" t="s">
        <v>97</v>
      </c>
      <c r="H595" s="18">
        <v>0</v>
      </c>
      <c r="I595" s="18">
        <v>12390.66</v>
      </c>
      <c r="J595" s="18">
        <f>5326+35795.23</f>
        <v>41121.230000000003</v>
      </c>
      <c r="K595" s="80">
        <f t="shared" si="53"/>
        <v>53511.89</v>
      </c>
      <c r="L595" s="23" t="s">
        <v>288</v>
      </c>
      <c r="M595" s="8"/>
      <c r="N595" s="164"/>
    </row>
    <row r="596" spans="1:14" s="3" customFormat="1" ht="12.2" customHeight="1" x14ac:dyDescent="0.15">
      <c r="A596" s="103" t="s">
        <v>652</v>
      </c>
      <c r="B596" s="22">
        <v>23</v>
      </c>
      <c r="C596" s="22">
        <v>5</v>
      </c>
      <c r="D596" s="2" t="s">
        <v>432</v>
      </c>
      <c r="E596" s="22"/>
      <c r="F596" s="78">
        <v>2725</v>
      </c>
      <c r="G596" s="79" t="s">
        <v>97</v>
      </c>
      <c r="H596" s="18">
        <v>1671.1</v>
      </c>
      <c r="I596" s="18">
        <v>10862.16</v>
      </c>
      <c r="J596" s="18">
        <v>22559.87</v>
      </c>
      <c r="K596" s="80">
        <f t="shared" si="53"/>
        <v>35093.129999999997</v>
      </c>
      <c r="L596" s="23" t="s">
        <v>288</v>
      </c>
      <c r="M596" s="8"/>
      <c r="N596" s="164"/>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53"/>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221649.51</v>
      </c>
      <c r="I598" s="18">
        <v>221649.51</v>
      </c>
      <c r="J598" s="18">
        <v>68199.850000000006</v>
      </c>
      <c r="K598" s="80">
        <f t="shared" si="53"/>
        <v>511498.87</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540351.98</v>
      </c>
      <c r="I599" s="81">
        <f>SUM(I592:I598)</f>
        <v>561933.69999999995</v>
      </c>
      <c r="J599" s="81">
        <f>SUM(J592:J598)</f>
        <v>341920.55000000005</v>
      </c>
      <c r="K599" s="81">
        <f>SUM(K592:K598)</f>
        <v>1444206.23</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J212+J291</f>
        <v>204809.92</v>
      </c>
      <c r="I605" s="18">
        <f>J230+J310</f>
        <v>266149.08999999997</v>
      </c>
      <c r="J605" s="18">
        <f>J248+J329</f>
        <v>264783.52</v>
      </c>
      <c r="K605" s="80">
        <f>SUM(H605:J605)</f>
        <v>735742.53</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204809.92</v>
      </c>
      <c r="I606" s="81">
        <f>SUM(I603:I605)</f>
        <v>266149.08999999997</v>
      </c>
      <c r="J606" s="81">
        <f>SUM(J603:J605)</f>
        <v>264783.52</v>
      </c>
      <c r="K606" s="81">
        <f>SUM(K603:K605)</f>
        <v>735742.53</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4">SUM(F612:F614)</f>
        <v>0</v>
      </c>
      <c r="G615" s="81">
        <f t="shared" si="54"/>
        <v>0</v>
      </c>
      <c r="H615" s="81">
        <f t="shared" si="54"/>
        <v>0</v>
      </c>
      <c r="I615" s="81">
        <f t="shared" si="54"/>
        <v>0</v>
      </c>
      <c r="J615" s="81">
        <f t="shared" si="54"/>
        <v>0</v>
      </c>
      <c r="K615" s="81">
        <f t="shared" si="54"/>
        <v>0</v>
      </c>
      <c r="L615" s="70">
        <f t="shared" si="54"/>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2638673.61</v>
      </c>
      <c r="H618" s="80">
        <f>SUM(F52)</f>
        <v>2638673.6100000003</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494796.96</v>
      </c>
      <c r="H619" s="80">
        <f>SUM(G52)</f>
        <v>494796.95999999967</v>
      </c>
      <c r="I619" s="87" t="s">
        <v>872</v>
      </c>
      <c r="J619" s="80">
        <f>G619-H619</f>
        <v>0</v>
      </c>
      <c r="K619" s="80"/>
      <c r="L619" s="80"/>
      <c r="M619" s="8"/>
    </row>
    <row r="620" spans="1:14" s="3" customFormat="1" ht="12.2" customHeight="1" x14ac:dyDescent="0.15">
      <c r="A620" s="74"/>
      <c r="B620" s="22"/>
      <c r="C620" s="22"/>
      <c r="D620" s="22"/>
      <c r="E620" s="22"/>
      <c r="F620" s="87" t="s">
        <v>685</v>
      </c>
      <c r="G620" s="80">
        <f>SUM(H19)</f>
        <v>123504.61</v>
      </c>
      <c r="H620" s="80">
        <f>SUM(H52)</f>
        <v>123504.60999999999</v>
      </c>
      <c r="I620" s="87" t="s">
        <v>873</v>
      </c>
      <c r="J620" s="80">
        <f>G620-H620</f>
        <v>0</v>
      </c>
      <c r="K620" s="80"/>
      <c r="L620" s="80"/>
      <c r="M620" s="8"/>
    </row>
    <row r="621" spans="1:14" s="3" customFormat="1" ht="12.2" customHeight="1" x14ac:dyDescent="0.15">
      <c r="A621" s="74"/>
      <c r="B621" s="22"/>
      <c r="C621" s="22"/>
      <c r="D621" s="22"/>
      <c r="E621" s="22"/>
      <c r="F621" s="87" t="s">
        <v>686</v>
      </c>
      <c r="G621" s="80">
        <f>SUM(I19)</f>
        <v>9159764.4400000013</v>
      </c>
      <c r="H621" s="80">
        <f>SUM(I52)</f>
        <v>9159764.4400000013</v>
      </c>
      <c r="I621" s="87" t="s">
        <v>874</v>
      </c>
      <c r="J621" s="80">
        <f>G621-H621</f>
        <v>0</v>
      </c>
      <c r="K621" s="80"/>
      <c r="L621" s="80"/>
      <c r="M621" s="8"/>
    </row>
    <row r="622" spans="1:14" s="3" customFormat="1" ht="12.2" customHeight="1" x14ac:dyDescent="0.15">
      <c r="A622" s="74"/>
      <c r="B622" s="22"/>
      <c r="C622" s="22"/>
      <c r="D622" s="22"/>
      <c r="E622" s="22"/>
      <c r="F622" s="87" t="s">
        <v>687</v>
      </c>
      <c r="G622" s="80">
        <f>SUM(J19)</f>
        <v>2303971.91</v>
      </c>
      <c r="H622" s="80">
        <f>SUM(J52)</f>
        <v>2303971.91</v>
      </c>
      <c r="I622" s="87" t="s">
        <v>875</v>
      </c>
      <c r="J622" s="80">
        <f>G622-H622</f>
        <v>0</v>
      </c>
      <c r="K622" s="80"/>
      <c r="L622" s="80"/>
      <c r="M622" s="8"/>
    </row>
    <row r="623" spans="1:14" s="3" customFormat="1" ht="12.2" customHeight="1" x14ac:dyDescent="0.15">
      <c r="A623" s="74"/>
      <c r="B623" s="22"/>
      <c r="C623" s="22"/>
      <c r="D623" s="22"/>
      <c r="E623" s="22"/>
      <c r="F623" s="87" t="s">
        <v>861</v>
      </c>
      <c r="G623" s="80">
        <f>F51</f>
        <v>887214.66</v>
      </c>
      <c r="H623" s="80">
        <f>F477</f>
        <v>887214.66000000387</v>
      </c>
      <c r="I623" s="87" t="s">
        <v>101</v>
      </c>
      <c r="J623" s="80">
        <f t="shared" ref="J623:J656" si="55">G623-H623</f>
        <v>-3.8417056202888489E-9</v>
      </c>
      <c r="K623" s="80"/>
      <c r="L623" s="80"/>
      <c r="M623" s="8"/>
    </row>
    <row r="624" spans="1:14" s="3" customFormat="1" ht="12.2" customHeight="1" x14ac:dyDescent="0.15">
      <c r="A624" s="74"/>
      <c r="B624" s="22"/>
      <c r="C624" s="85"/>
      <c r="D624" s="85"/>
      <c r="E624" s="85"/>
      <c r="F624" s="85" t="s">
        <v>862</v>
      </c>
      <c r="G624" s="80">
        <f>G51</f>
        <v>358097.37999999966</v>
      </c>
      <c r="H624" s="80">
        <f>G477</f>
        <v>358097.37999999966</v>
      </c>
      <c r="I624" s="87" t="s">
        <v>102</v>
      </c>
      <c r="J624" s="80">
        <f t="shared" si="55"/>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5"/>
        <v>0</v>
      </c>
      <c r="K625" s="80"/>
      <c r="L625" s="80"/>
      <c r="M625" s="8"/>
    </row>
    <row r="626" spans="1:13" s="3" customFormat="1" ht="12.2" customHeight="1" x14ac:dyDescent="0.15">
      <c r="A626" s="74"/>
      <c r="B626" s="22"/>
      <c r="C626" s="22"/>
      <c r="D626" s="22"/>
      <c r="E626" s="22"/>
      <c r="F626" s="86" t="s">
        <v>864</v>
      </c>
      <c r="G626" s="80">
        <f>I51</f>
        <v>9159764.3800000008</v>
      </c>
      <c r="H626" s="80">
        <f>I477</f>
        <v>9159764.3800000008</v>
      </c>
      <c r="I626" s="87" t="s">
        <v>104</v>
      </c>
      <c r="J626" s="80">
        <f t="shared" si="55"/>
        <v>0</v>
      </c>
      <c r="K626" s="80"/>
      <c r="L626" s="80"/>
      <c r="M626" s="8"/>
    </row>
    <row r="627" spans="1:13" s="3" customFormat="1" ht="12.2" customHeight="1" x14ac:dyDescent="0.15">
      <c r="A627" s="21"/>
      <c r="B627" s="22"/>
      <c r="C627" s="22"/>
      <c r="D627" s="22"/>
      <c r="E627" s="22"/>
      <c r="F627" s="86" t="s">
        <v>865</v>
      </c>
      <c r="G627" s="80">
        <f>J51</f>
        <v>2303971.91</v>
      </c>
      <c r="H627" s="80">
        <f>J477</f>
        <v>2303971.91</v>
      </c>
      <c r="I627" s="87" t="s">
        <v>105</v>
      </c>
      <c r="J627" s="80">
        <f t="shared" si="55"/>
        <v>0</v>
      </c>
      <c r="K627" s="67"/>
      <c r="L627" s="69"/>
      <c r="M627" s="8"/>
    </row>
    <row r="628" spans="1:13" s="3" customFormat="1" ht="12.2" customHeight="1" x14ac:dyDescent="0.15">
      <c r="A628" s="21"/>
      <c r="B628" s="22"/>
      <c r="C628" s="22"/>
      <c r="D628" s="22"/>
      <c r="E628" s="22"/>
      <c r="F628" s="86" t="s">
        <v>658</v>
      </c>
      <c r="G628" s="80">
        <f>F194</f>
        <v>33650142.790000007</v>
      </c>
      <c r="H628" s="80">
        <f>SUM(F469)</f>
        <v>33650142.790000007</v>
      </c>
      <c r="I628" s="87" t="s">
        <v>106</v>
      </c>
      <c r="J628" s="80">
        <f>G628-H628</f>
        <v>0</v>
      </c>
      <c r="K628" s="67"/>
      <c r="L628" s="69"/>
      <c r="M628" s="8"/>
    </row>
    <row r="629" spans="1:13" s="3" customFormat="1" ht="12.2" customHeight="1" x14ac:dyDescent="0.15">
      <c r="A629" s="21"/>
      <c r="B629" s="22"/>
      <c r="C629" s="22"/>
      <c r="D629" s="22"/>
      <c r="E629" s="22"/>
      <c r="F629" s="86" t="s">
        <v>659</v>
      </c>
      <c r="G629" s="80">
        <f>G194</f>
        <v>907326.26999999979</v>
      </c>
      <c r="H629" s="80">
        <f>SUM(G469)</f>
        <v>907326.26999999979</v>
      </c>
      <c r="I629" s="87" t="s">
        <v>107</v>
      </c>
      <c r="J629" s="80">
        <f>G629-H629</f>
        <v>0</v>
      </c>
      <c r="K629" s="67"/>
      <c r="L629" s="69"/>
      <c r="M629" s="8"/>
    </row>
    <row r="630" spans="1:13" s="3" customFormat="1" ht="12.2" customHeight="1" x14ac:dyDescent="0.15">
      <c r="A630" s="21"/>
      <c r="B630" s="22"/>
      <c r="C630" s="22"/>
      <c r="D630" s="22"/>
      <c r="E630" s="22"/>
      <c r="F630" s="86" t="s">
        <v>660</v>
      </c>
      <c r="G630" s="80">
        <f>H194</f>
        <v>888319.88</v>
      </c>
      <c r="H630" s="80">
        <f>SUM(H469)</f>
        <v>888319.88</v>
      </c>
      <c r="I630" s="87" t="s">
        <v>108</v>
      </c>
      <c r="J630" s="80">
        <f>G630-H630</f>
        <v>0</v>
      </c>
      <c r="K630" s="67"/>
      <c r="L630" s="69"/>
      <c r="M630" s="8"/>
    </row>
    <row r="631" spans="1:13" s="3" customFormat="1" ht="12.2" customHeight="1" x14ac:dyDescent="0.15">
      <c r="A631" s="21"/>
      <c r="B631" s="22"/>
      <c r="C631" s="22"/>
      <c r="D631" s="22"/>
      <c r="E631" s="22"/>
      <c r="F631" s="86" t="s">
        <v>661</v>
      </c>
      <c r="G631" s="80">
        <f>I194</f>
        <v>12935867.16</v>
      </c>
      <c r="H631" s="80">
        <f>SUM(I469)</f>
        <v>12935867.16</v>
      </c>
      <c r="I631" s="87" t="s">
        <v>109</v>
      </c>
      <c r="J631" s="80">
        <f>G631-H631</f>
        <v>0</v>
      </c>
      <c r="K631" s="67"/>
      <c r="L631" s="69"/>
      <c r="M631" s="8"/>
    </row>
    <row r="632" spans="1:13" s="3" customFormat="1" ht="12.2" customHeight="1" x14ac:dyDescent="0.15">
      <c r="A632" s="21"/>
      <c r="B632" s="22"/>
      <c r="C632" s="22"/>
      <c r="D632" s="22"/>
      <c r="E632" s="22"/>
      <c r="F632" s="86" t="s">
        <v>662</v>
      </c>
      <c r="G632" s="80">
        <f>J194</f>
        <v>1173240</v>
      </c>
      <c r="H632" s="80">
        <f>SUM(J469)</f>
        <v>1173240</v>
      </c>
      <c r="I632" s="87" t="s">
        <v>110</v>
      </c>
      <c r="J632" s="80">
        <f>G632-H632</f>
        <v>0</v>
      </c>
      <c r="K632" s="67"/>
      <c r="L632" s="69"/>
      <c r="M632" s="8"/>
    </row>
    <row r="633" spans="1:13" s="3" customFormat="1" ht="12.2" customHeight="1" x14ac:dyDescent="0.15">
      <c r="A633" s="21"/>
      <c r="B633" s="22"/>
      <c r="C633" s="22"/>
      <c r="D633" s="22"/>
      <c r="E633" s="22"/>
      <c r="F633" s="86" t="s">
        <v>394</v>
      </c>
      <c r="G633" s="80">
        <f>SUM(L272)</f>
        <v>33939748.07</v>
      </c>
      <c r="H633" s="80">
        <f>SUM(F473)</f>
        <v>33939748.07</v>
      </c>
      <c r="I633" s="87" t="s">
        <v>111</v>
      </c>
      <c r="J633" s="80">
        <f t="shared" si="55"/>
        <v>0</v>
      </c>
      <c r="K633" s="67"/>
      <c r="L633" s="69"/>
      <c r="M633" s="8"/>
    </row>
    <row r="634" spans="1:13" s="3" customFormat="1" ht="12.2" customHeight="1" x14ac:dyDescent="0.15">
      <c r="A634" s="21"/>
      <c r="B634" s="22"/>
      <c r="C634" s="22"/>
      <c r="D634" s="22"/>
      <c r="E634" s="22"/>
      <c r="F634" s="86" t="s">
        <v>395</v>
      </c>
      <c r="G634" s="80">
        <f>SUM(L353)</f>
        <v>888319.87999999989</v>
      </c>
      <c r="H634" s="80">
        <f>SUM(H473)</f>
        <v>888319.87999999989</v>
      </c>
      <c r="I634" s="87" t="s">
        <v>112</v>
      </c>
      <c r="J634" s="80">
        <f>G634-H634</f>
        <v>0</v>
      </c>
      <c r="K634" s="67"/>
      <c r="L634" s="69"/>
      <c r="M634" s="8"/>
    </row>
    <row r="635" spans="1:13" s="124" customFormat="1" ht="12.2" customHeight="1" x14ac:dyDescent="0.15">
      <c r="A635" s="21"/>
      <c r="B635" s="22"/>
      <c r="C635" s="22"/>
      <c r="D635" s="22"/>
      <c r="E635" s="22"/>
      <c r="F635" s="99" t="s">
        <v>247</v>
      </c>
      <c r="G635" s="80">
        <f>I363</f>
        <v>458659.02999999997</v>
      </c>
      <c r="H635" s="80">
        <f>I370</f>
        <v>458659.03</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1031172.06</v>
      </c>
      <c r="H636" s="80">
        <f>SUM(G473)</f>
        <v>1031172.06</v>
      </c>
      <c r="I636" s="87" t="s">
        <v>114</v>
      </c>
      <c r="J636" s="80">
        <f t="shared" si="55"/>
        <v>0</v>
      </c>
      <c r="K636" s="67"/>
      <c r="L636" s="69"/>
      <c r="M636" s="123"/>
    </row>
    <row r="637" spans="1:13" s="3" customFormat="1" ht="12.2" customHeight="1" x14ac:dyDescent="0.15">
      <c r="A637" s="21"/>
      <c r="B637" s="22"/>
      <c r="C637" s="22"/>
      <c r="D637" s="22"/>
      <c r="E637" s="22"/>
      <c r="F637" s="86" t="s">
        <v>115</v>
      </c>
      <c r="G637" s="80">
        <f>SUM(L383)</f>
        <v>3776102.78</v>
      </c>
      <c r="H637" s="80">
        <f>SUM(I473)</f>
        <v>3776102.78</v>
      </c>
      <c r="I637" s="87" t="s">
        <v>116</v>
      </c>
      <c r="J637" s="80">
        <f t="shared" si="55"/>
        <v>0</v>
      </c>
      <c r="K637" s="67"/>
      <c r="L637" s="69"/>
      <c r="M637" s="8"/>
    </row>
    <row r="638" spans="1:13" s="3" customFormat="1" ht="12.2" customHeight="1" x14ac:dyDescent="0.15">
      <c r="A638" s="117"/>
      <c r="B638" s="118"/>
      <c r="C638" s="118"/>
      <c r="D638" s="118"/>
      <c r="E638" s="118"/>
      <c r="F638" s="119" t="s">
        <v>477</v>
      </c>
      <c r="G638" s="108">
        <f>SUM(L409)</f>
        <v>1173240</v>
      </c>
      <c r="H638" s="108">
        <f>SUM(J469)</f>
        <v>1173240</v>
      </c>
      <c r="I638" s="120" t="s">
        <v>110</v>
      </c>
      <c r="J638" s="108">
        <f t="shared" si="55"/>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5"/>
        <v>0</v>
      </c>
      <c r="K639" s="121"/>
      <c r="L639" s="122"/>
      <c r="M639" s="8"/>
    </row>
    <row r="640" spans="1:13" s="3" customFormat="1" ht="12.2" customHeight="1" x14ac:dyDescent="0.15">
      <c r="A640" s="21"/>
      <c r="B640" s="22"/>
      <c r="C640" s="22"/>
      <c r="D640" s="22"/>
      <c r="E640" s="22"/>
      <c r="F640" s="86" t="s">
        <v>118</v>
      </c>
      <c r="G640" s="80">
        <f>SUM(F447)</f>
        <v>2303971.91</v>
      </c>
      <c r="H640" s="80">
        <f>SUM(F462)</f>
        <v>2303971.91</v>
      </c>
      <c r="I640" s="87" t="s">
        <v>837</v>
      </c>
      <c r="J640" s="80">
        <f t="shared" si="55"/>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5"/>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5"/>
        <v>0</v>
      </c>
      <c r="K642" s="67"/>
      <c r="L642" s="69"/>
      <c r="M642" s="8"/>
    </row>
    <row r="643" spans="1:13" s="3" customFormat="1" ht="12.2" customHeight="1" x14ac:dyDescent="0.15">
      <c r="A643" s="21"/>
      <c r="B643" s="22"/>
      <c r="C643" s="22"/>
      <c r="D643" s="22"/>
      <c r="E643" s="22"/>
      <c r="F643" s="86" t="s">
        <v>121</v>
      </c>
      <c r="G643" s="80">
        <f>SUM(I447)</f>
        <v>2303971.91</v>
      </c>
      <c r="H643" s="80">
        <f>SUM(I462)</f>
        <v>2303971.91</v>
      </c>
      <c r="I643" s="87" t="s">
        <v>840</v>
      </c>
      <c r="J643" s="80">
        <f t="shared" si="55"/>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5"/>
        <v>0</v>
      </c>
      <c r="K644" s="67"/>
      <c r="L644" s="69"/>
      <c r="M644" s="8"/>
    </row>
    <row r="645" spans="1:13" s="3" customFormat="1" ht="12.2" customHeight="1" x14ac:dyDescent="0.15">
      <c r="A645" s="21"/>
      <c r="B645" s="22"/>
      <c r="C645" s="22"/>
      <c r="D645" s="22"/>
      <c r="E645" s="22"/>
      <c r="F645" s="86" t="s">
        <v>663</v>
      </c>
      <c r="G645" s="80">
        <f>J96</f>
        <v>13655</v>
      </c>
      <c r="H645" s="80">
        <f>H409</f>
        <v>13655</v>
      </c>
      <c r="I645" s="87" t="s">
        <v>480</v>
      </c>
      <c r="J645" s="80">
        <f t="shared" si="55"/>
        <v>0</v>
      </c>
      <c r="K645" s="67"/>
      <c r="L645" s="69"/>
      <c r="M645" s="8"/>
    </row>
    <row r="646" spans="1:13" s="3" customFormat="1" ht="12.2" customHeight="1" x14ac:dyDescent="0.15">
      <c r="A646" s="21"/>
      <c r="B646" s="22"/>
      <c r="C646" s="22"/>
      <c r="D646" s="22"/>
      <c r="E646" s="22"/>
      <c r="F646" s="86" t="s">
        <v>664</v>
      </c>
      <c r="G646" s="80">
        <f>J184</f>
        <v>1159585</v>
      </c>
      <c r="H646" s="80">
        <f>G409</f>
        <v>1159585</v>
      </c>
      <c r="I646" s="87" t="s">
        <v>481</v>
      </c>
      <c r="J646" s="80">
        <f t="shared" si="55"/>
        <v>0</v>
      </c>
      <c r="K646" s="67"/>
      <c r="L646" s="69"/>
      <c r="M646" s="8"/>
    </row>
    <row r="647" spans="1:13" s="3" customFormat="1" ht="12.2" customHeight="1" x14ac:dyDescent="0.15">
      <c r="A647" s="21"/>
      <c r="B647" s="22"/>
      <c r="C647" s="22"/>
      <c r="D647" s="22"/>
      <c r="E647" s="22"/>
      <c r="F647" s="86" t="s">
        <v>662</v>
      </c>
      <c r="G647" s="80">
        <f>J194</f>
        <v>1173240</v>
      </c>
      <c r="H647" s="80">
        <f>L409</f>
        <v>1173240</v>
      </c>
      <c r="I647" s="87" t="s">
        <v>477</v>
      </c>
      <c r="J647" s="80">
        <f t="shared" si="55"/>
        <v>0</v>
      </c>
      <c r="K647" s="67"/>
      <c r="L647" s="69"/>
      <c r="M647" s="8"/>
    </row>
    <row r="648" spans="1:13" s="3" customFormat="1" ht="12.2" customHeight="1" x14ac:dyDescent="0.15">
      <c r="A648" s="21"/>
      <c r="B648" s="22"/>
      <c r="C648" s="22"/>
      <c r="D648" s="22"/>
      <c r="E648" s="22"/>
      <c r="F648" s="86" t="s">
        <v>51</v>
      </c>
      <c r="G648" s="80">
        <f>K599</f>
        <v>1444206.23</v>
      </c>
      <c r="H648" s="80">
        <f>L209+L227+L245</f>
        <v>1444206.2300000002</v>
      </c>
      <c r="I648" s="87" t="s">
        <v>396</v>
      </c>
      <c r="J648" s="80">
        <f t="shared" si="55"/>
        <v>0</v>
      </c>
      <c r="K648" s="67"/>
      <c r="L648" s="69"/>
      <c r="M648" s="8"/>
    </row>
    <row r="649" spans="1:13" s="3" customFormat="1" ht="12.2" customHeight="1" x14ac:dyDescent="0.15">
      <c r="A649" s="21"/>
      <c r="B649" s="22"/>
      <c r="C649" s="22"/>
      <c r="D649" s="22"/>
      <c r="E649" s="22"/>
      <c r="F649" s="86" t="s">
        <v>52</v>
      </c>
      <c r="G649" s="80">
        <f>K606</f>
        <v>735742.53</v>
      </c>
      <c r="H649" s="80">
        <f>(J258+J339)-(J256+J337)</f>
        <v>735742.53</v>
      </c>
      <c r="I649" s="87" t="s">
        <v>699</v>
      </c>
      <c r="J649" s="80">
        <f t="shared" si="55"/>
        <v>0</v>
      </c>
      <c r="K649" s="67"/>
      <c r="L649" s="69"/>
      <c r="M649" s="8"/>
    </row>
    <row r="650" spans="1:13" s="3" customFormat="1" ht="12.2" customHeight="1" x14ac:dyDescent="0.15">
      <c r="A650" s="21"/>
      <c r="B650" s="22"/>
      <c r="C650" s="22"/>
      <c r="D650" s="22"/>
      <c r="E650" s="22"/>
      <c r="F650" s="86" t="s">
        <v>387</v>
      </c>
      <c r="G650" s="80">
        <f>L209</f>
        <v>540351.98</v>
      </c>
      <c r="H650" s="80">
        <f>H599</f>
        <v>540351.98</v>
      </c>
      <c r="I650" s="87" t="s">
        <v>388</v>
      </c>
      <c r="J650" s="80">
        <f t="shared" si="55"/>
        <v>0</v>
      </c>
      <c r="K650" s="67"/>
      <c r="L650" s="69"/>
      <c r="M650" s="8"/>
    </row>
    <row r="651" spans="1:13" s="3" customFormat="1" ht="12.2" customHeight="1" x14ac:dyDescent="0.15">
      <c r="A651" s="21"/>
      <c r="B651" s="22"/>
      <c r="C651" s="22"/>
      <c r="D651" s="22"/>
      <c r="E651" s="22"/>
      <c r="F651" s="86" t="s">
        <v>392</v>
      </c>
      <c r="G651" s="80">
        <f>L227</f>
        <v>561933.70000000007</v>
      </c>
      <c r="H651" s="80">
        <f>I599</f>
        <v>561933.69999999995</v>
      </c>
      <c r="I651" s="87" t="s">
        <v>389</v>
      </c>
      <c r="J651" s="80">
        <f t="shared" si="55"/>
        <v>0</v>
      </c>
      <c r="K651" s="67"/>
      <c r="L651" s="69"/>
      <c r="M651" s="8"/>
    </row>
    <row r="652" spans="1:13" s="3" customFormat="1" ht="12.2" customHeight="1" x14ac:dyDescent="0.15">
      <c r="A652" s="21"/>
      <c r="B652" s="22"/>
      <c r="C652" s="22"/>
      <c r="D652" s="22"/>
      <c r="E652" s="22"/>
      <c r="F652" s="86" t="s">
        <v>393</v>
      </c>
      <c r="G652" s="80">
        <f>L245</f>
        <v>341920.55000000005</v>
      </c>
      <c r="H652" s="80">
        <f>J599</f>
        <v>341920.55000000005</v>
      </c>
      <c r="I652" s="87" t="s">
        <v>390</v>
      </c>
      <c r="J652" s="80">
        <f t="shared" si="55"/>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5"/>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5"/>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5"/>
        <v>0</v>
      </c>
      <c r="K655" s="67"/>
      <c r="L655" s="69"/>
      <c r="M655" s="8"/>
    </row>
    <row r="656" spans="1:13" s="3" customFormat="1" ht="12.2" customHeight="1" x14ac:dyDescent="0.15">
      <c r="A656" s="21"/>
      <c r="B656" s="22"/>
      <c r="C656" s="22"/>
      <c r="D656" s="22"/>
      <c r="E656" s="22"/>
      <c r="F656" s="86" t="s">
        <v>668</v>
      </c>
      <c r="G656" s="80">
        <f>J180+J182</f>
        <v>1159585</v>
      </c>
      <c r="H656" s="80">
        <f>K267+K348</f>
        <v>1159585</v>
      </c>
      <c r="I656" s="87" t="s">
        <v>400</v>
      </c>
      <c r="J656" s="80">
        <f t="shared" si="55"/>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10272041.630000003</v>
      </c>
      <c r="G661" s="13">
        <f>(L230+L310+L360)</f>
        <v>10096119.419999998</v>
      </c>
      <c r="H661" s="13">
        <f>(L248+L329+L361)</f>
        <v>13812731.689999999</v>
      </c>
      <c r="I661" s="13">
        <f>SUM(F661:H661)</f>
        <v>34180892.740000002</v>
      </c>
      <c r="J661" s="13"/>
      <c r="K661" s="13"/>
      <c r="L661" s="13"/>
      <c r="M661" s="9"/>
    </row>
    <row r="662" spans="1:13" s="3" customFormat="1" ht="12.2" customHeight="1" x14ac:dyDescent="0.2">
      <c r="A662" s="1" t="s">
        <v>127</v>
      </c>
      <c r="F662" s="13">
        <f>(L359/IF(SUM(L359:L361)=0,1,SUM(L359:L361))*(SUM(G97:G110)))</f>
        <v>169598.42710165805</v>
      </c>
      <c r="G662" s="13">
        <f>(L360/IF(SUM(L359:L361)=0,1,SUM(L359:L361))*(SUM(G97:G110)))</f>
        <v>258245.00047915161</v>
      </c>
      <c r="H662" s="13">
        <f>(L361/IF(SUM(L359:L361)=0,1,SUM(L359:L361))*(SUM(G97:G110)))</f>
        <v>280998.03241919016</v>
      </c>
      <c r="I662" s="13">
        <f>SUM(F662:H662)</f>
        <v>708841.45999999985</v>
      </c>
      <c r="J662"/>
      <c r="K662" s="13"/>
      <c r="L662" s="13"/>
      <c r="M662" s="8"/>
    </row>
    <row r="663" spans="1:13" s="3" customFormat="1" ht="12.2" customHeight="1" x14ac:dyDescent="0.2">
      <c r="A663" s="1" t="s">
        <v>128</v>
      </c>
      <c r="F663" s="13">
        <f>(L209+L288)-(J209+J288)</f>
        <v>475253.37</v>
      </c>
      <c r="G663" s="13">
        <f>(L227+L307)-(J227+J307)</f>
        <v>496835.09000000008</v>
      </c>
      <c r="H663" s="13">
        <f>(L245+L326)-(J245+J326)</f>
        <v>318414.36000000004</v>
      </c>
      <c r="I663" s="13">
        <f>SUM(F663:H663)</f>
        <v>1290502.82</v>
      </c>
      <c r="J663"/>
      <c r="K663" s="13"/>
      <c r="L663" s="13"/>
      <c r="M663" s="9"/>
    </row>
    <row r="664" spans="1:13" s="3" customFormat="1" ht="12.2" customHeight="1" x14ac:dyDescent="0.15">
      <c r="A664" s="141" t="s">
        <v>129</v>
      </c>
      <c r="B664" s="124"/>
      <c r="C664" s="124"/>
      <c r="D664" s="124"/>
      <c r="E664" s="124"/>
      <c r="F664" s="142">
        <f>SUM(F576:F588)+SUM(H603:H605)+SUM(L612)</f>
        <v>204809.92</v>
      </c>
      <c r="G664" s="142">
        <f>SUM(G576:G588)+SUM(I603:I605)+L613</f>
        <v>266149.08999999997</v>
      </c>
      <c r="H664" s="142">
        <f>SUM(H576:H588)+SUM(J603:J605)+L614</f>
        <v>1521481.35</v>
      </c>
      <c r="I664" s="13">
        <f>SUM(F664:H664)</f>
        <v>1992440.36</v>
      </c>
      <c r="J664" s="13"/>
      <c r="K664" s="13"/>
      <c r="L664" s="13"/>
      <c r="M664" s="9"/>
    </row>
    <row r="665" spans="1:13" s="3" customFormat="1" ht="12.2" customHeight="1" x14ac:dyDescent="0.15">
      <c r="A665" s="1" t="s">
        <v>130</v>
      </c>
      <c r="F665" s="13">
        <f>F661-SUM(F662:F664)</f>
        <v>9422379.9128983449</v>
      </c>
      <c r="G665" s="13">
        <f>G661-SUM(G662:G664)</f>
        <v>9074890.2395208459</v>
      </c>
      <c r="H665" s="13">
        <f>H661-SUM(H662:H664)</f>
        <v>11691837.947580809</v>
      </c>
      <c r="I665" s="13">
        <f>I661-SUM(I662:I664)</f>
        <v>30189108.100000001</v>
      </c>
      <c r="J665" s="13"/>
      <c r="K665" s="13"/>
      <c r="L665" s="13"/>
      <c r="M665" s="8"/>
    </row>
    <row r="666" spans="1:13" s="3" customFormat="1" ht="12.2" customHeight="1" x14ac:dyDescent="0.2">
      <c r="A666" s="1" t="s">
        <v>131</v>
      </c>
      <c r="F666" s="182">
        <v>532.78</v>
      </c>
      <c r="G666" s="183">
        <v>529.17999999999995</v>
      </c>
      <c r="H666" s="183">
        <v>610.47</v>
      </c>
      <c r="I666" s="13">
        <f>SUM(F666:H666)</f>
        <v>1672.43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17685.310000000001</v>
      </c>
      <c r="G668" s="13">
        <f>ROUND(G665/G666,2)</f>
        <v>17148.97</v>
      </c>
      <c r="H668" s="13">
        <f>ROUND(H665/H666,2)</f>
        <v>19152.189999999999</v>
      </c>
      <c r="I668" s="13">
        <f>ROUND(I665/I666,2)</f>
        <v>18051.04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6">IF(AND(F666=0,F665&gt;0),F665*-1,"")</f>
        <v/>
      </c>
      <c r="G670" s="73" t="str">
        <f t="shared" si="56"/>
        <v/>
      </c>
      <c r="H670" s="73" t="str">
        <f t="shared" si="56"/>
        <v/>
      </c>
      <c r="I670" s="13">
        <f>SUM(F670:H670)</f>
        <v>0</v>
      </c>
      <c r="J670" s="13"/>
      <c r="K670" s="13"/>
      <c r="L670" s="13"/>
      <c r="M670" s="9"/>
    </row>
    <row r="671" spans="1:13" s="3" customFormat="1" ht="12.2" customHeight="1" x14ac:dyDescent="0.15">
      <c r="A671" s="1" t="s">
        <v>135</v>
      </c>
      <c r="F671" s="18"/>
      <c r="G671" s="18"/>
      <c r="H671" s="18">
        <v>-31.28</v>
      </c>
      <c r="I671" s="13">
        <f>SUM(F671:H671)</f>
        <v>-31.28</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17685.310000000001</v>
      </c>
      <c r="G673" s="13">
        <f>ROUND((G665+G670)/(G666+G671),2)</f>
        <v>17148.97</v>
      </c>
      <c r="H673" s="13">
        <f>ROUND((H665+H670)/(H666+H671),2)</f>
        <v>20186.53</v>
      </c>
      <c r="I673" s="13">
        <f>ROUND((I665+I670)/(I666+I671),2)</f>
        <v>18395.09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F22" sqref="F22"/>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55897.87</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25456.31+10459.22+10022.06</f>
        <v>45937.59</v>
      </c>
      <c r="F9" s="271" t="s">
        <v>1612</v>
      </c>
    </row>
    <row r="10" spans="2:8" x14ac:dyDescent="0.25">
      <c r="B10" s="270"/>
      <c r="C10" s="270"/>
      <c r="D10" s="270"/>
      <c r="E10" s="270"/>
      <c r="F10" s="270"/>
    </row>
    <row r="11" spans="2:8" x14ac:dyDescent="0.25">
      <c r="B11" s="270"/>
      <c r="C11" s="274" t="s">
        <v>1616</v>
      </c>
      <c r="D11" s="271" t="s">
        <v>1619</v>
      </c>
      <c r="E11" s="259">
        <v>0</v>
      </c>
      <c r="F11" s="271" t="s">
        <v>1613</v>
      </c>
    </row>
    <row r="12" spans="2:8" x14ac:dyDescent="0.25">
      <c r="B12" s="270"/>
      <c r="C12" s="270"/>
      <c r="D12" s="271"/>
      <c r="E12" s="270"/>
      <c r="F12" s="270"/>
    </row>
    <row r="13" spans="2:8" x14ac:dyDescent="0.25">
      <c r="B13" s="270"/>
      <c r="C13" s="271" t="s">
        <v>1606</v>
      </c>
      <c r="D13" s="271" t="s">
        <v>1620</v>
      </c>
      <c r="E13" s="259">
        <f>4245.75+5714.53</f>
        <v>9960.2799999999988</v>
      </c>
      <c r="F13" s="271" t="s">
        <v>1614</v>
      </c>
    </row>
    <row r="14" spans="2:8" x14ac:dyDescent="0.25">
      <c r="B14" s="270"/>
      <c r="C14" s="270"/>
      <c r="D14" s="271"/>
      <c r="E14" s="270"/>
      <c r="F14" s="270"/>
    </row>
    <row r="15" spans="2:8" x14ac:dyDescent="0.25">
      <c r="B15" s="270"/>
      <c r="C15" s="271" t="s">
        <v>1608</v>
      </c>
      <c r="D15" s="271" t="s">
        <v>1621</v>
      </c>
      <c r="E15" s="259">
        <v>0</v>
      </c>
      <c r="F15" s="271" t="s">
        <v>1615</v>
      </c>
    </row>
    <row r="16" spans="2:8" x14ac:dyDescent="0.25">
      <c r="B16" s="270"/>
      <c r="C16" s="270"/>
      <c r="D16" s="270"/>
      <c r="E16" s="270"/>
      <c r="F16" s="270"/>
    </row>
    <row r="17" spans="2:8" x14ac:dyDescent="0.25">
      <c r="B17" s="270"/>
      <c r="C17" s="271" t="s">
        <v>1607</v>
      </c>
      <c r="D17" s="271" t="s">
        <v>1622</v>
      </c>
      <c r="E17" s="259">
        <v>0</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0</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52"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1593</v>
      </c>
      <c r="C3" s="242"/>
      <c r="D3" s="242"/>
      <c r="E3" s="242"/>
      <c r="F3" s="242"/>
      <c r="G3" s="242"/>
      <c r="H3" s="242"/>
      <c r="I3" t="s">
        <v>1593</v>
      </c>
    </row>
    <row r="4" spans="1:9" x14ac:dyDescent="0.2">
      <c r="I4" t="s">
        <v>1594</v>
      </c>
    </row>
    <row r="5" spans="1:9" ht="15.75" x14ac:dyDescent="0.25">
      <c r="A5" s="238" t="s">
        <v>897</v>
      </c>
      <c r="B5" s="320" t="str">
        <f>'DOE25'!A2</f>
        <v>Bow</v>
      </c>
      <c r="C5" s="321"/>
      <c r="D5" s="321"/>
      <c r="E5" s="321"/>
      <c r="F5" s="321"/>
    </row>
    <row r="8" spans="1:9" ht="18" x14ac:dyDescent="0.25">
      <c r="A8" s="239" t="s">
        <v>1548</v>
      </c>
      <c r="F8" s="246" t="s">
        <v>1566</v>
      </c>
    </row>
    <row r="9" spans="1:9" ht="15" x14ac:dyDescent="0.2">
      <c r="A9" s="237" t="s">
        <v>1549</v>
      </c>
      <c r="B9" s="240">
        <f>'DOE25'!G97</f>
        <v>708706.8899999999</v>
      </c>
      <c r="F9" s="237" t="s">
        <v>1562</v>
      </c>
    </row>
    <row r="10" spans="1:9" ht="15" x14ac:dyDescent="0.2">
      <c r="A10" s="237" t="s">
        <v>1550</v>
      </c>
      <c r="B10" s="240">
        <f>'DOE25'!G112-'DOE25'!G97</f>
        <v>134.56999999994878</v>
      </c>
      <c r="F10" s="237" t="s">
        <v>1563</v>
      </c>
    </row>
    <row r="11" spans="1:9" ht="15" x14ac:dyDescent="0.2">
      <c r="A11" s="237" t="s">
        <v>1551</v>
      </c>
      <c r="B11" s="240">
        <f>'DOE25'!G140</f>
        <v>7886.86</v>
      </c>
      <c r="F11" s="237" t="s">
        <v>1564</v>
      </c>
    </row>
    <row r="12" spans="1:9" ht="15" x14ac:dyDescent="0.2">
      <c r="A12" s="237" t="s">
        <v>1552</v>
      </c>
      <c r="B12" s="240">
        <f>'DOE25'!G170</f>
        <v>190597.95</v>
      </c>
      <c r="F12" s="237" t="s">
        <v>1565</v>
      </c>
    </row>
    <row r="13" spans="1:9" ht="15" x14ac:dyDescent="0.2">
      <c r="A13" s="237" t="s">
        <v>1553</v>
      </c>
      <c r="B13" s="240">
        <f>'DOE25'!G193-'DOE25'!G180</f>
        <v>0</v>
      </c>
      <c r="F13" s="237" t="s">
        <v>1575</v>
      </c>
    </row>
    <row r="14" spans="1:9" ht="18" x14ac:dyDescent="0.25">
      <c r="A14" s="239" t="s">
        <v>732</v>
      </c>
      <c r="B14" s="241">
        <f>SUM(B9:B13)</f>
        <v>907326.26999999979</v>
      </c>
    </row>
    <row r="16" spans="1:9" ht="18" x14ac:dyDescent="0.25">
      <c r="A16" s="239" t="s">
        <v>783</v>
      </c>
      <c r="F16" s="246" t="s">
        <v>1567</v>
      </c>
    </row>
    <row r="17" spans="1:6" ht="15" x14ac:dyDescent="0.2">
      <c r="A17" s="237" t="s">
        <v>1554</v>
      </c>
      <c r="B17" s="240">
        <f>'DOE25'!L363-'DOE25'!L362</f>
        <v>1031172.06</v>
      </c>
      <c r="F17" s="237" t="s">
        <v>1568</v>
      </c>
    </row>
    <row r="18" spans="1:6" ht="15" x14ac:dyDescent="0.2">
      <c r="A18" s="237" t="s">
        <v>1555</v>
      </c>
      <c r="B18" s="250">
        <v>0</v>
      </c>
      <c r="F18" s="246" t="s">
        <v>1592</v>
      </c>
    </row>
    <row r="19" spans="1:6" ht="18" x14ac:dyDescent="0.25">
      <c r="A19" s="239" t="s">
        <v>725</v>
      </c>
      <c r="B19" s="241">
        <f>SUM(B17:B18)</f>
        <v>1031172.06</v>
      </c>
    </row>
    <row r="21" spans="1:6" ht="18.75" thickBot="1" x14ac:dyDescent="0.3">
      <c r="A21" s="239" t="s">
        <v>1556</v>
      </c>
    </row>
    <row r="22" spans="1:6" ht="18.75" thickTop="1" x14ac:dyDescent="0.25">
      <c r="A22" s="239" t="s">
        <v>1557</v>
      </c>
      <c r="B22" s="245">
        <f>B14-B19</f>
        <v>-123845.79000000027</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481943.17</v>
      </c>
      <c r="F31" s="237" t="s">
        <v>1572</v>
      </c>
    </row>
    <row r="33" spans="1:6" ht="15" x14ac:dyDescent="0.2">
      <c r="A33" s="237" t="s">
        <v>1790</v>
      </c>
      <c r="B33" s="240">
        <f>'DOE25'!G477</f>
        <v>358097.37999999966</v>
      </c>
      <c r="F33" s="237" t="s">
        <v>1573</v>
      </c>
    </row>
    <row r="36" spans="1:6" ht="15" x14ac:dyDescent="0.2">
      <c r="A36" s="237" t="s">
        <v>1559</v>
      </c>
      <c r="B36" s="251">
        <v>55523.72</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1" sqref="C11"/>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Bow</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8933385.540000001</v>
      </c>
      <c r="C9" s="166">
        <f>'DOE25'!G198+'DOE25'!G216+'DOE25'!G234+'DOE25'!G277+'DOE25'!G296+'DOE25'!G315</f>
        <v>4512565.45</v>
      </c>
    </row>
    <row r="10" spans="1:3" x14ac:dyDescent="0.2">
      <c r="A10" t="s">
        <v>772</v>
      </c>
      <c r="B10" s="176">
        <f>8933385.54-467117.59</f>
        <v>8466267.9499999993</v>
      </c>
      <c r="C10" s="176">
        <f>4512565.45-167628.36</f>
        <v>4344937.09</v>
      </c>
    </row>
    <row r="11" spans="1:3" x14ac:dyDescent="0.2">
      <c r="A11" t="s">
        <v>773</v>
      </c>
      <c r="B11" s="176">
        <f>9778.53+30313.43+53417.63</f>
        <v>93509.59</v>
      </c>
      <c r="C11" s="176">
        <f>807.48+6551.68+37234.58</f>
        <v>44593.740000000005</v>
      </c>
    </row>
    <row r="12" spans="1:3" x14ac:dyDescent="0.2">
      <c r="A12" t="s">
        <v>774</v>
      </c>
      <c r="B12" s="176">
        <f>152750+39026*3+103780</f>
        <v>373608</v>
      </c>
      <c r="C12" s="176">
        <f>12245.2+17770.41*3+57478.19</f>
        <v>123034.62</v>
      </c>
    </row>
    <row r="13" spans="1:3" x14ac:dyDescent="0.2">
      <c r="A13" t="str">
        <f>IF(B9=B13,IF(C9=C13,"Check Total OK","Check Total Error"),"Check Total Error")</f>
        <v>Check Total OK</v>
      </c>
      <c r="B13" s="168">
        <f>SUM(B10:B12)</f>
        <v>8933385.5399999991</v>
      </c>
      <c r="C13" s="168">
        <f>SUM(C10:C12)</f>
        <v>4512565.45</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3515014.2999999993</v>
      </c>
      <c r="C18" s="166">
        <f>'DOE25'!G199+'DOE25'!G217+'DOE25'!G235+'DOE25'!G278+'DOE25'!G297+'DOE25'!G316</f>
        <v>1671016.18</v>
      </c>
    </row>
    <row r="19" spans="1:3" x14ac:dyDescent="0.2">
      <c r="A19" t="s">
        <v>772</v>
      </c>
      <c r="B19" s="176">
        <f>57728+77253+61683+42072+75690+82755+75990+82372+79472+81857+42073+87213+59307+66064+82172+87213+82672-85470-51184</f>
        <v>1086932</v>
      </c>
      <c r="C19" s="176">
        <f>52844.9+45040.43+46930.16+51435.08+52844.9+51174.72-6538.52+3915.58+21120.75+50147.35+23625.19+22086.24+29032.9+51598.13+27542.53+33356.96+30090.61+51434.95+31980.24</f>
        <v>669663.09999999986</v>
      </c>
    </row>
    <row r="20" spans="1:3" x14ac:dyDescent="0.2">
      <c r="A20" t="s">
        <v>773</v>
      </c>
      <c r="B20" s="176">
        <f>474784.08+518387.1+408071.41</f>
        <v>1401242.5899999999</v>
      </c>
      <c r="C20" s="176">
        <f>213666.18+226201.67+276337.67</f>
        <v>716205.52</v>
      </c>
    </row>
    <row r="21" spans="1:3" x14ac:dyDescent="0.2">
      <c r="A21" t="s">
        <v>774</v>
      </c>
      <c r="B21" s="176">
        <f>3515014.3-2488174.59</f>
        <v>1026839.71</v>
      </c>
      <c r="C21" s="176">
        <f>1671016.18-1385868.62</f>
        <v>285147.55999999982</v>
      </c>
    </row>
    <row r="22" spans="1:3" x14ac:dyDescent="0.2">
      <c r="A22" t="str">
        <f>IF(B18=B22,IF(C18=C22,"Check Total OK","Check Total Error"),"Check Total Error")</f>
        <v>Check Total OK</v>
      </c>
      <c r="B22" s="168">
        <f>SUM(B19:B21)</f>
        <v>3515014.3</v>
      </c>
      <c r="C22" s="168">
        <f>SUM(C19:C21)</f>
        <v>1671016.1799999997</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v>0</v>
      </c>
      <c r="C28" s="176">
        <v>0</v>
      </c>
    </row>
    <row r="29" spans="1:3" x14ac:dyDescent="0.2">
      <c r="A29" t="s">
        <v>773</v>
      </c>
      <c r="B29" s="176">
        <v>0</v>
      </c>
      <c r="C29" s="176">
        <v>0</v>
      </c>
    </row>
    <row r="30" spans="1:3" x14ac:dyDescent="0.2">
      <c r="A30" t="s">
        <v>774</v>
      </c>
      <c r="B30" s="176">
        <v>0</v>
      </c>
      <c r="C30" s="176">
        <v>0</v>
      </c>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439891.11</v>
      </c>
      <c r="C36" s="172">
        <f>'DOE25'!G201+'DOE25'!G219+'DOE25'!G237+'DOE25'!G280+'DOE25'!G299+'DOE25'!G318</f>
        <v>142961.13</v>
      </c>
    </row>
    <row r="37" spans="1:3" x14ac:dyDescent="0.2">
      <c r="A37" t="s">
        <v>772</v>
      </c>
      <c r="B37" s="176">
        <v>0</v>
      </c>
      <c r="C37" s="176">
        <v>0</v>
      </c>
    </row>
    <row r="38" spans="1:3" x14ac:dyDescent="0.2">
      <c r="A38" t="s">
        <v>773</v>
      </c>
      <c r="B38" s="176">
        <v>0</v>
      </c>
      <c r="C38" s="176">
        <v>0</v>
      </c>
    </row>
    <row r="39" spans="1:3" x14ac:dyDescent="0.2">
      <c r="A39" t="s">
        <v>774</v>
      </c>
      <c r="B39" s="176">
        <v>439891.11</v>
      </c>
      <c r="C39" s="176">
        <v>142961.13</v>
      </c>
    </row>
    <row r="40" spans="1:3" x14ac:dyDescent="0.2">
      <c r="A40" t="str">
        <f>IF(B36=B40,IF(C36=C40,"Check Total OK","Check Total Error"),"Check Total Error")</f>
        <v>Check Total OK</v>
      </c>
      <c r="B40" s="168">
        <f>SUM(B37:B39)</f>
        <v>439891.11</v>
      </c>
      <c r="C40" s="168">
        <f>SUM(C37:C39)</f>
        <v>142961.13</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Bow</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21198259.789999999</v>
      </c>
      <c r="D5" s="19">
        <f>SUM('DOE25'!L198:L201)+SUM('DOE25'!L216:L219)+SUM('DOE25'!L234:L237)-F5-G5-H5</f>
        <v>20952103.490000002</v>
      </c>
      <c r="E5" s="179"/>
      <c r="F5" s="180">
        <f>25700-25000+65691-25000+47644.5-25000+40000-25000</f>
        <v>79035.5</v>
      </c>
      <c r="G5" s="19">
        <f>SUM('DOE25'!J198:J201)+SUM('DOE25'!J216:J219)+SUM('DOE25'!J234:J237)</f>
        <v>117486.47</v>
      </c>
      <c r="H5" s="19">
        <f>SUM('DOE25'!K198:K201)+SUM('DOE25'!K216:K219)+SUM('DOE25'!K234:K237)</f>
        <v>49634.33</v>
      </c>
      <c r="I5" s="191"/>
    </row>
    <row r="6" spans="1:9" x14ac:dyDescent="0.2">
      <c r="A6" s="31">
        <v>2100</v>
      </c>
      <c r="B6" t="s">
        <v>793</v>
      </c>
      <c r="C6" s="205">
        <f t="shared" si="0"/>
        <v>2885691.8</v>
      </c>
      <c r="D6" s="19">
        <f>'DOE25'!L203+'DOE25'!L221+'DOE25'!L239-F6-G6-H6</f>
        <v>2877726.63</v>
      </c>
      <c r="E6" s="179"/>
      <c r="F6" s="180">
        <v>0</v>
      </c>
      <c r="G6" s="19">
        <f>'DOE25'!J203+'DOE25'!J221+'DOE25'!J239</f>
        <v>4189.17</v>
      </c>
      <c r="H6" s="19">
        <f>'DOE25'!K203+'DOE25'!K221+'DOE25'!K239</f>
        <v>3776</v>
      </c>
      <c r="I6" s="191"/>
    </row>
    <row r="7" spans="1:9" x14ac:dyDescent="0.2">
      <c r="A7" s="31">
        <v>2200</v>
      </c>
      <c r="B7" t="s">
        <v>817</v>
      </c>
      <c r="C7" s="205">
        <f t="shared" si="0"/>
        <v>1471321.08</v>
      </c>
      <c r="D7" s="19">
        <f>'DOE25'!L204+'DOE25'!L222+'DOE25'!L240-F7-G7-H7</f>
        <v>1123432.31</v>
      </c>
      <c r="E7" s="179"/>
      <c r="F7" s="180">
        <v>0</v>
      </c>
      <c r="G7" s="19">
        <f>'DOE25'!J204+'DOE25'!J222+'DOE25'!J240</f>
        <v>347497.77</v>
      </c>
      <c r="H7" s="19">
        <f>'DOE25'!K204+'DOE25'!K222+'DOE25'!K240</f>
        <v>391</v>
      </c>
      <c r="I7" s="191"/>
    </row>
    <row r="8" spans="1:9" x14ac:dyDescent="0.2">
      <c r="A8" s="31">
        <v>2300</v>
      </c>
      <c r="B8" t="s">
        <v>794</v>
      </c>
      <c r="C8" s="205">
        <f t="shared" si="0"/>
        <v>1113999.7200000002</v>
      </c>
      <c r="D8" s="179"/>
      <c r="E8" s="19">
        <f>'DOE25'!L205+'DOE25'!L223+'DOE25'!L241-F8-G8-H8-D9-D11</f>
        <v>876288.48000000021</v>
      </c>
      <c r="F8" s="180">
        <v>0</v>
      </c>
      <c r="G8" s="19">
        <f>'DOE25'!J205+'DOE25'!J223+'DOE25'!J241</f>
        <v>0</v>
      </c>
      <c r="H8" s="19">
        <f>'DOE25'!K205+'DOE25'!K223+'DOE25'!K241</f>
        <v>237711.24</v>
      </c>
      <c r="I8" s="191"/>
    </row>
    <row r="9" spans="1:9" ht="14.25" x14ac:dyDescent="0.2">
      <c r="A9" s="31">
        <v>2310</v>
      </c>
      <c r="B9" s="71" t="s">
        <v>884</v>
      </c>
      <c r="C9" s="205">
        <f t="shared" si="0"/>
        <v>113776.55</v>
      </c>
      <c r="D9" s="180">
        <f>43202.26+300+1614.75+51524.54+17135</f>
        <v>113776.55</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v>0</v>
      </c>
      <c r="E11" s="179"/>
      <c r="F11" s="179"/>
      <c r="G11" s="179"/>
      <c r="H11" s="179"/>
      <c r="I11" s="191"/>
    </row>
    <row r="12" spans="1:9" x14ac:dyDescent="0.2">
      <c r="A12" s="31">
        <v>2400</v>
      </c>
      <c r="B12" t="s">
        <v>711</v>
      </c>
      <c r="C12" s="205">
        <f t="shared" si="0"/>
        <v>1563766.66</v>
      </c>
      <c r="D12" s="19">
        <f>'DOE25'!L206+'DOE25'!L224+'DOE25'!L242-F12-G12-H12</f>
        <v>1548498.47</v>
      </c>
      <c r="E12" s="179"/>
      <c r="F12" s="180">
        <v>0</v>
      </c>
      <c r="G12" s="19">
        <f>'DOE25'!J206+'DOE25'!J224+'DOE25'!J242</f>
        <v>376.01</v>
      </c>
      <c r="H12" s="19">
        <f>'DOE25'!K206+'DOE25'!K224+'DOE25'!K242</f>
        <v>14892.18</v>
      </c>
      <c r="I12" s="191"/>
    </row>
    <row r="13" spans="1:9" x14ac:dyDescent="0.2">
      <c r="A13" s="31">
        <v>2500</v>
      </c>
      <c r="B13" t="s">
        <v>795</v>
      </c>
      <c r="C13" s="205">
        <f t="shared" si="0"/>
        <v>0</v>
      </c>
      <c r="D13" s="179"/>
      <c r="E13" s="19">
        <f>'DOE25'!L207+'DOE25'!L225+'DOE25'!L243-F13-G13-H13</f>
        <v>0</v>
      </c>
      <c r="F13" s="180">
        <v>0</v>
      </c>
      <c r="G13" s="19">
        <f>'DOE25'!J207+'DOE25'!J225+'DOE25'!J243</f>
        <v>0</v>
      </c>
      <c r="H13" s="19">
        <f>'DOE25'!K207+'DOE25'!K225+'DOE25'!K243</f>
        <v>0</v>
      </c>
      <c r="I13" s="191"/>
    </row>
    <row r="14" spans="1:9" x14ac:dyDescent="0.2">
      <c r="A14" s="31">
        <v>2600</v>
      </c>
      <c r="B14" t="s">
        <v>815</v>
      </c>
      <c r="C14" s="205">
        <f t="shared" si="0"/>
        <v>2470378.9699999997</v>
      </c>
      <c r="D14" s="19">
        <f>'DOE25'!L208+'DOE25'!L226+'DOE25'!L244-F14-G14-H14</f>
        <v>2470378.9699999997</v>
      </c>
      <c r="E14" s="179"/>
      <c r="F14" s="180">
        <v>0</v>
      </c>
      <c r="G14" s="19">
        <f>'DOE25'!J208+'DOE25'!J226+'DOE25'!J244</f>
        <v>0</v>
      </c>
      <c r="H14" s="19">
        <f>'DOE25'!K208+'DOE25'!K226+'DOE25'!K244</f>
        <v>0</v>
      </c>
      <c r="I14" s="191"/>
    </row>
    <row r="15" spans="1:9" x14ac:dyDescent="0.2">
      <c r="A15" s="31">
        <v>2700</v>
      </c>
      <c r="B15" t="s">
        <v>796</v>
      </c>
      <c r="C15" s="205">
        <f t="shared" si="0"/>
        <v>1444206.2300000002</v>
      </c>
      <c r="D15" s="19">
        <f>'DOE25'!L209+'DOE25'!L227+'DOE25'!L245-F15-G15-H15</f>
        <v>1197216.9900000002</v>
      </c>
      <c r="E15" s="179"/>
      <c r="F15" s="180">
        <f>105400-25000</f>
        <v>80400</v>
      </c>
      <c r="G15" s="19">
        <f>'DOE25'!J209+'DOE25'!J227+'DOE25'!J245</f>
        <v>153703.41</v>
      </c>
      <c r="H15" s="19">
        <f>'DOE25'!K209+'DOE25'!K227+'DOE25'!K245</f>
        <v>12885.83</v>
      </c>
      <c r="I15" s="191"/>
    </row>
    <row r="16" spans="1:9" x14ac:dyDescent="0.2">
      <c r="A16" s="31">
        <v>2800</v>
      </c>
      <c r="B16" t="s">
        <v>797</v>
      </c>
      <c r="C16" s="205">
        <f t="shared" si="0"/>
        <v>0</v>
      </c>
      <c r="D16" s="179"/>
      <c r="E16" s="19">
        <f>'DOE25'!L210+'DOE25'!L228+'DOE25'!L246-F16-G16-H16</f>
        <v>0</v>
      </c>
      <c r="F16" s="180">
        <v>0</v>
      </c>
      <c r="G16" s="19">
        <f>'DOE25'!J210+'DOE25'!J228+'DOE25'!J246</f>
        <v>0</v>
      </c>
      <c r="H16" s="19">
        <f>'DOE25'!K210+'DOE25'!K228+'DOE25'!K246</f>
        <v>0</v>
      </c>
      <c r="I16" s="191"/>
    </row>
    <row r="17" spans="1:9" x14ac:dyDescent="0.2">
      <c r="A17" s="31">
        <v>1600</v>
      </c>
      <c r="B17" t="s">
        <v>798</v>
      </c>
      <c r="C17" s="205">
        <f t="shared" si="0"/>
        <v>0</v>
      </c>
      <c r="D17" s="19">
        <f>'DOE25'!L252-F17-G17-H17</f>
        <v>0</v>
      </c>
      <c r="E17" s="179"/>
      <c r="F17" s="180">
        <v>0</v>
      </c>
      <c r="G17" s="19">
        <f>'DOE25'!J252</f>
        <v>0</v>
      </c>
      <c r="H17" s="19">
        <f>'DOE25'!K252</f>
        <v>0</v>
      </c>
      <c r="I17" s="191"/>
    </row>
    <row r="18" spans="1:9" x14ac:dyDescent="0.2">
      <c r="A18" s="31">
        <v>1700</v>
      </c>
      <c r="B18" t="s">
        <v>799</v>
      </c>
      <c r="C18" s="205">
        <f t="shared" si="0"/>
        <v>0</v>
      </c>
      <c r="D18" s="19">
        <f>'DOE25'!L253-F18-G18-H18</f>
        <v>0</v>
      </c>
      <c r="E18" s="179"/>
      <c r="F18" s="180">
        <v>0</v>
      </c>
      <c r="G18" s="19">
        <f>'DOE25'!J253</f>
        <v>0</v>
      </c>
      <c r="H18" s="19">
        <f>'DOE25'!K253</f>
        <v>0</v>
      </c>
      <c r="I18" s="191"/>
    </row>
    <row r="19" spans="1:9" x14ac:dyDescent="0.2">
      <c r="A19" s="31">
        <v>1800</v>
      </c>
      <c r="B19" t="s">
        <v>800</v>
      </c>
      <c r="C19" s="205">
        <f t="shared" si="0"/>
        <v>0</v>
      </c>
      <c r="D19" s="19">
        <f>'DOE25'!L254-F19-G19-H19</f>
        <v>0</v>
      </c>
      <c r="E19" s="179"/>
      <c r="F19" s="180">
        <v>0</v>
      </c>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518762.27</v>
      </c>
      <c r="D25" s="179"/>
      <c r="E25" s="179"/>
      <c r="F25" s="190"/>
      <c r="G25" s="179"/>
      <c r="H25" s="179"/>
      <c r="I25" s="189">
        <f>'DOE25'!L261+'DOE25'!L262+'DOE25'!L342+'DOE25'!L343</f>
        <v>518762.27</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609684.02</v>
      </c>
      <c r="D29" s="211">
        <f>'DOE25'!L359+'DOE25'!L360+'DOE25'!L361-'DOE25'!I368-F29-G29-H29-F39</f>
        <v>583187.08000000007</v>
      </c>
      <c r="E29" s="179"/>
      <c r="F29" s="179"/>
      <c r="G29" s="19">
        <f>'DOE25'!J359+'DOE25'!J360+'DOE25'!J361</f>
        <v>26496.940000000002</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888319.87999999989</v>
      </c>
      <c r="D31" s="19">
        <f>'DOE25'!L291+'DOE25'!L310+'DOE25'!L329+'DOE25'!L334+'DOE25'!L335+'DOE25'!L336-F31-G31-H31</f>
        <v>763393.42999999993</v>
      </c>
      <c r="E31" s="179"/>
      <c r="F31" s="180">
        <v>0</v>
      </c>
      <c r="G31" s="19">
        <f>'DOE25'!J291+'DOE25'!J310+'DOE25'!J329+'DOE25'!J334+'DOE25'!J335+'DOE25'!J336</f>
        <v>112489.70000000001</v>
      </c>
      <c r="H31" s="19">
        <f>'DOE25'!K291+'DOE25'!K310+'DOE25'!K329+'DOE25'!K334+'DOE25'!K335+'DOE25'!K336</f>
        <v>12436.75</v>
      </c>
      <c r="I31" s="191"/>
    </row>
    <row r="32" spans="1:9" ht="12" thickBot="1" x14ac:dyDescent="0.25">
      <c r="C32" s="206"/>
      <c r="G32" s="187"/>
      <c r="H32" s="187"/>
      <c r="I32" s="193"/>
    </row>
    <row r="33" spans="1:9" ht="12" thickTop="1" x14ac:dyDescent="0.2">
      <c r="B33" t="s">
        <v>806</v>
      </c>
      <c r="D33" s="181">
        <f t="shared" ref="D33:I33" si="1">SUM(D5:D31)</f>
        <v>31629713.919999994</v>
      </c>
      <c r="E33" s="181">
        <f t="shared" si="1"/>
        <v>876288.48000000021</v>
      </c>
      <c r="F33" s="181">
        <f t="shared" si="1"/>
        <v>159435.5</v>
      </c>
      <c r="G33" s="181">
        <f t="shared" si="1"/>
        <v>762239.47</v>
      </c>
      <c r="H33" s="181">
        <f t="shared" si="1"/>
        <v>331727.33</v>
      </c>
      <c r="I33" s="181">
        <f t="shared" si="1"/>
        <v>518762.27</v>
      </c>
    </row>
    <row r="34" spans="1:9" ht="12" thickBot="1" x14ac:dyDescent="0.25"/>
    <row r="35" spans="1:9" ht="12" thickBot="1" x14ac:dyDescent="0.25">
      <c r="B35" s="187" t="s">
        <v>827</v>
      </c>
      <c r="D35" s="188">
        <f>E33</f>
        <v>876288.48000000021</v>
      </c>
      <c r="E35" s="184"/>
      <c r="F35" s="294" t="s">
        <v>1596</v>
      </c>
      <c r="G35" s="295"/>
      <c r="H35" s="295"/>
      <c r="I35" s="296"/>
    </row>
    <row r="36" spans="1:9" ht="12" thickTop="1" x14ac:dyDescent="0.2">
      <c r="B36" t="s">
        <v>807</v>
      </c>
      <c r="D36" s="19">
        <f>D33</f>
        <v>31629713.919999994</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0</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77"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A23" zoomScale="75" zoomScaleNormal="75" workbookViewId="0">
      <selection activeCell="A65" sqref="A65"/>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Bow</v>
      </c>
      <c r="B2">
        <f>'DOE25'!B2</f>
        <v>57</v>
      </c>
      <c r="J2" s="223" t="s">
        <v>1799</v>
      </c>
      <c r="K2" s="308">
        <f>SUM('DOE25'!L198:L201)+SUM('DOE25'!L277:L280)</f>
        <v>6379448.9199999999</v>
      </c>
      <c r="L2" s="308">
        <f>'DOE25'!L203+'DOE25'!L282</f>
        <v>1154098.5000000002</v>
      </c>
      <c r="M2" s="308">
        <f>'DOE25'!L204+'DOE25'!L283</f>
        <v>538956.12000000011</v>
      </c>
      <c r="N2" s="308">
        <f>'DOE25'!L206+'DOE25'!L285</f>
        <v>436708.57000000007</v>
      </c>
      <c r="O2" s="316">
        <f>'Salaries-Benefits'!B10+'Salaries-Benefits'!B12+'Salaries-Benefits'!B19+'Salaries-Benefits'!B21+'Salaries-Benefits'!B28+'Salaries-Benefits'!B30+'Salaries-Benefits'!B37+'Salaries-Benefits'!B39</f>
        <v>11393538.77</v>
      </c>
      <c r="P2" s="316">
        <f>'Salaries-Benefits'!B11+'Salaries-Benefits'!B20+'Salaries-Benefits'!B29+'Salaries-Benefits'!B38</f>
        <v>1494752.18</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10025321.92</v>
      </c>
      <c r="G4" s="228">
        <f>'DOE25'!L212+'DOE25'!L291</f>
        <v>10025321.920000002</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0</v>
      </c>
      <c r="E5" s="219">
        <v>0</v>
      </c>
      <c r="F5" s="231">
        <f>D5+E5</f>
        <v>0</v>
      </c>
      <c r="G5" s="222"/>
      <c r="H5" s="222"/>
      <c r="J5" s="71" t="s">
        <v>1798</v>
      </c>
      <c r="K5" s="20">
        <v>0</v>
      </c>
      <c r="L5" s="20">
        <v>0</v>
      </c>
      <c r="M5" s="20">
        <v>0</v>
      </c>
      <c r="N5" s="20">
        <v>0</v>
      </c>
      <c r="O5" s="20">
        <v>0</v>
      </c>
      <c r="P5" s="20">
        <v>0</v>
      </c>
      <c r="Q5" s="20">
        <v>0</v>
      </c>
    </row>
    <row r="6" spans="1:22" x14ac:dyDescent="0.2">
      <c r="A6" t="str" cm="1">
        <f t="array" ref="A6">IFERROR(INDEX('School Tables'!$A$4:$G$365,'School Tables'!$J4,3),"")</f>
        <v>Bow Elementary School</v>
      </c>
      <c r="B6" s="229">
        <f>IFERROR(VLOOKUP(A6,'School Tables'!$C$3:$D$365,2,FALSE),"")</f>
        <v>20680</v>
      </c>
      <c r="C6" s="222" t="str">
        <f>IFERROR(INDEX('School Tables'!$B$3:$B$365,MATCH('School Level Expenditures'!B6,'School Tables'!$D$3:$D$365,0)),"")</f>
        <v>Bow</v>
      </c>
      <c r="D6" s="219">
        <v>9483861.4100000001</v>
      </c>
      <c r="E6" s="219">
        <f>'DOE25'!L291-7560.25</f>
        <v>429552.82999999996</v>
      </c>
      <c r="F6" s="231">
        <f t="shared" ref="F6:F20" si="2">D6+E6</f>
        <v>9913414.2400000002</v>
      </c>
      <c r="G6" s="222"/>
      <c r="H6" s="222"/>
      <c r="J6" t="str">
        <f t="shared" ref="J6:J20" si="3">A6</f>
        <v>Bow Elementary School</v>
      </c>
      <c r="K6" s="20">
        <v>6267541.2400000002</v>
      </c>
      <c r="L6" s="20">
        <v>1154098.5</v>
      </c>
      <c r="M6" s="307">
        <v>538956.12</v>
      </c>
      <c r="N6" s="20">
        <v>436708.57</v>
      </c>
      <c r="O6" s="20">
        <v>3264987.47</v>
      </c>
      <c r="P6" s="20">
        <v>428343.4</v>
      </c>
      <c r="Q6" s="20">
        <f>53671.67+11109.74</f>
        <v>64781.409999999996</v>
      </c>
    </row>
    <row r="7" spans="1:22" x14ac:dyDescent="0.2">
      <c r="A7" t="str" cm="1">
        <f t="array" ref="A7">IFERROR(INDEX('School Tables'!$A$4:$G$365,'School Tables'!$J5,3),"")</f>
        <v>Bow Preschool</v>
      </c>
      <c r="B7" s="229">
        <f>IFERROR(VLOOKUP(A7,'School Tables'!$C$3:$D$365,2,FALSE),"")</f>
        <v>29264</v>
      </c>
      <c r="C7" s="222" t="str">
        <f>IFERROR(INDEX('School Tables'!$B$3:$B$365,MATCH('School Level Expenditures'!B7,'School Tables'!$D$3:$D$365,0)),"")</f>
        <v>Bow</v>
      </c>
      <c r="D7" s="219">
        <v>104347.43</v>
      </c>
      <c r="E7" s="219">
        <v>7560.25</v>
      </c>
      <c r="F7" s="231">
        <f t="shared" si="2"/>
        <v>111907.68</v>
      </c>
      <c r="G7" s="222"/>
      <c r="H7" s="222"/>
      <c r="J7" t="str">
        <f t="shared" si="3"/>
        <v>Bow Preschool</v>
      </c>
      <c r="K7" s="20">
        <v>111907.68</v>
      </c>
      <c r="L7" s="20">
        <v>0</v>
      </c>
      <c r="M7" s="307">
        <v>0</v>
      </c>
      <c r="N7" s="20">
        <v>0</v>
      </c>
      <c r="O7" s="20">
        <v>0</v>
      </c>
      <c r="P7" s="20">
        <v>0</v>
      </c>
      <c r="Q7" s="20">
        <v>0</v>
      </c>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9588208.8399999999</v>
      </c>
      <c r="E21" s="261">
        <f>SUM(E5:E20)</f>
        <v>437113.07999999996</v>
      </c>
      <c r="F21" s="216"/>
      <c r="G21" s="216"/>
      <c r="H21" s="216"/>
      <c r="K21" s="262">
        <f t="shared" ref="K21:Q21" si="4">SUM(K5:K20)</f>
        <v>6379448.9199999999</v>
      </c>
      <c r="L21" s="262">
        <f t="shared" si="4"/>
        <v>1154098.5</v>
      </c>
      <c r="M21" s="262">
        <f t="shared" si="4"/>
        <v>538956.12</v>
      </c>
      <c r="N21" s="262">
        <f t="shared" si="4"/>
        <v>436708.57</v>
      </c>
      <c r="O21" s="262">
        <f t="shared" si="4"/>
        <v>3264987.47</v>
      </c>
      <c r="P21" s="262">
        <f t="shared" si="4"/>
        <v>428343.4</v>
      </c>
      <c r="Q21" s="262">
        <f t="shared" si="4"/>
        <v>64781.409999999996</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6140793.8199999994</v>
      </c>
      <c r="L23" s="19">
        <f>'DOE25'!L221+'DOE25'!L301</f>
        <v>735826.73</v>
      </c>
      <c r="M23" s="19">
        <f>'DOE25'!L222+'DOE25'!L302</f>
        <v>559341.98</v>
      </c>
      <c r="N23" s="19">
        <f>'DOE25'!L224+'DOE25'!L304</f>
        <v>537756.81999999995</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9720442.9900000002</v>
      </c>
      <c r="G25" s="228">
        <f>'DOE25'!L230+'DOE25'!L310</f>
        <v>9720442.9899999984</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0</v>
      </c>
      <c r="E26" s="219">
        <v>0</v>
      </c>
      <c r="F26" s="231">
        <f>D26+E26</f>
        <v>0</v>
      </c>
      <c r="G26" s="222"/>
      <c r="H26" s="222"/>
      <c r="J26" s="71" t="s">
        <v>1798</v>
      </c>
      <c r="K26" s="315">
        <v>0</v>
      </c>
      <c r="L26" s="315">
        <v>0</v>
      </c>
      <c r="M26" s="315">
        <v>0</v>
      </c>
      <c r="N26" s="315">
        <v>0</v>
      </c>
      <c r="O26" s="315">
        <v>0</v>
      </c>
      <c r="P26" s="315">
        <v>0</v>
      </c>
      <c r="Q26" s="315">
        <v>0</v>
      </c>
    </row>
    <row r="27" spans="1:17" x14ac:dyDescent="0.2">
      <c r="A27" t="str" cm="1">
        <f t="array" ref="A27">IFERROR(INDEX('School Tables'!$L$4:$R$100,'School Tables'!$U4,3),"")</f>
        <v>Bow Memorial School</v>
      </c>
      <c r="B27" s="229">
        <f>IFERROR(VLOOKUP(A27,'School Tables'!$N$4:$O$100,2,FALSE),"")</f>
        <v>20675</v>
      </c>
      <c r="C27" s="222" t="str">
        <f>IFERROR(INDEX('School Tables'!$M$4:$M$100,MATCH('School Level Expenditures'!A27,'School Tables'!$N$4:$N$100,0)),"")</f>
        <v>Bow</v>
      </c>
      <c r="D27" s="219">
        <v>9462792.6300000008</v>
      </c>
      <c r="E27" s="219">
        <f>'DOE25'!L310</f>
        <v>257650.36000000002</v>
      </c>
      <c r="F27" s="231">
        <f t="shared" ref="F27:F33" si="6">D27+E27</f>
        <v>9720442.9900000002</v>
      </c>
      <c r="G27" s="222"/>
      <c r="H27" s="222"/>
      <c r="J27" t="str">
        <f t="shared" ref="J27:J33" si="7">A27</f>
        <v>Bow Memorial School</v>
      </c>
      <c r="K27" s="20">
        <v>6140793.8200000003</v>
      </c>
      <c r="L27" s="20">
        <v>735826.73</v>
      </c>
      <c r="M27" s="307">
        <v>559341.98</v>
      </c>
      <c r="N27" s="20">
        <v>537756.81999999995</v>
      </c>
      <c r="O27" s="20">
        <v>3413433.23</v>
      </c>
      <c r="P27" s="20">
        <v>447818.44</v>
      </c>
      <c r="Q27" s="20">
        <v>36581</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9462792.6300000008</v>
      </c>
      <c r="E34" s="261">
        <f>SUM(E26:E33)</f>
        <v>257650.36000000002</v>
      </c>
      <c r="F34" s="216"/>
      <c r="G34" s="216"/>
      <c r="H34" s="216"/>
      <c r="K34" s="262">
        <f t="shared" ref="K34:Q34" si="8">SUM(K26:K33)</f>
        <v>6140793.8200000003</v>
      </c>
      <c r="L34" s="262">
        <f t="shared" si="8"/>
        <v>735826.73</v>
      </c>
      <c r="M34" s="262">
        <f t="shared" si="8"/>
        <v>559341.98</v>
      </c>
      <c r="N34" s="262">
        <f t="shared" si="8"/>
        <v>537756.81999999995</v>
      </c>
      <c r="O34" s="262">
        <f t="shared" si="8"/>
        <v>3413433.23</v>
      </c>
      <c r="P34" s="262">
        <f t="shared" si="8"/>
        <v>447818.44</v>
      </c>
      <c r="Q34" s="262">
        <f t="shared" si="8"/>
        <v>36581</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9155960.2200000007</v>
      </c>
      <c r="L36" s="19">
        <f>'DOE25'!L239+'DOE25'!L320</f>
        <v>1058592.9999999998</v>
      </c>
      <c r="M36" s="19">
        <f>'DOE25'!L240+'DOE25'!L321</f>
        <v>608083.56000000006</v>
      </c>
      <c r="N36" s="19">
        <f>'DOE25'!L242+'DOE25'!L323</f>
        <v>589301.2699999999</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ERROR!! Other District Expenditures Line Less Than Page 22 High School Tuition Total</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13403955.77</v>
      </c>
      <c r="G38" s="228">
        <f>'DOE25'!L248+'DOE25'!L329</f>
        <v>13403955.77</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f>901358.99+1600</f>
        <v>902958.99</v>
      </c>
      <c r="E39" s="219">
        <v>0</v>
      </c>
      <c r="F39" s="231">
        <f t="shared" ref="F39:F44" si="10">D39+E39</f>
        <v>902958.99</v>
      </c>
      <c r="G39" s="222"/>
      <c r="H39" s="222"/>
      <c r="J39" s="71" t="s">
        <v>1798</v>
      </c>
      <c r="K39" s="315">
        <v>902958.99</v>
      </c>
      <c r="L39" s="315">
        <v>0</v>
      </c>
      <c r="M39" s="315">
        <v>0</v>
      </c>
      <c r="N39" s="315">
        <v>0</v>
      </c>
      <c r="O39" s="315">
        <v>0</v>
      </c>
      <c r="P39" s="315">
        <v>0</v>
      </c>
      <c r="Q39" s="315">
        <v>0</v>
      </c>
    </row>
    <row r="40" spans="1:17" x14ac:dyDescent="0.2">
      <c r="A40" t="str" cm="1">
        <f t="array" ref="A40">IFERROR(INDEX('School Tables'!$W$4:$AC$120,'School Tables'!$AF4,3),"")</f>
        <v>Bow High School</v>
      </c>
      <c r="B40" s="229">
        <f>IFERROR(VLOOKUP(A40,'School Tables'!$Y$4:$Z$120,2,FALSE),"")</f>
        <v>27375</v>
      </c>
      <c r="C40" s="222" t="str">
        <f>IFERROR(INDEX('School Tables'!$X$4:$X$120,MATCH('School Level Expenditures'!A40,'School Tables'!$Y$4:$Y$120,0)),"")</f>
        <v>Bow</v>
      </c>
      <c r="D40" s="219">
        <v>12307440.34</v>
      </c>
      <c r="E40" s="219">
        <f>'DOE25'!L329</f>
        <v>193556.44</v>
      </c>
      <c r="F40" s="231">
        <f t="shared" si="10"/>
        <v>12500996.779999999</v>
      </c>
      <c r="G40" s="222"/>
      <c r="H40" s="222"/>
      <c r="J40" t="str">
        <f>A40</f>
        <v>Bow High School</v>
      </c>
      <c r="K40" s="20">
        <v>8253001.2300000004</v>
      </c>
      <c r="L40" s="20">
        <v>1058593</v>
      </c>
      <c r="M40" s="307">
        <v>608083.56000000006</v>
      </c>
      <c r="N40" s="20">
        <v>589301.27</v>
      </c>
      <c r="O40" s="20">
        <v>4715118.07</v>
      </c>
      <c r="P40" s="20">
        <v>618590.34</v>
      </c>
      <c r="Q40" s="20">
        <v>89580.43</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13210399.33</v>
      </c>
      <c r="E45" s="262">
        <f>SUM(E39:E44)</f>
        <v>193556.44</v>
      </c>
      <c r="K45" s="262">
        <f t="shared" ref="K45:Q45" si="11">SUM(K39:K44)</f>
        <v>9155960.2200000007</v>
      </c>
      <c r="L45" s="262">
        <f t="shared" si="11"/>
        <v>1058593</v>
      </c>
      <c r="M45" s="262">
        <f t="shared" si="11"/>
        <v>608083.56000000006</v>
      </c>
      <c r="N45" s="262">
        <f t="shared" si="11"/>
        <v>589301.27</v>
      </c>
      <c r="O45" s="262">
        <f t="shared" si="11"/>
        <v>4715118.07</v>
      </c>
      <c r="P45" s="262">
        <f t="shared" si="11"/>
        <v>618590.34</v>
      </c>
      <c r="Q45" s="262">
        <f t="shared" si="11"/>
        <v>89580.43</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CcS6wmr+8T2uHEXzvIgdLjB/UUSQXiFJC3NMlSVYsL/Iz1X46oNK+abDDrNhzPWUWx7VS9GGPiS4JhbzGLv26g==" saltValue="MkxYR0NHfHr5lXRlOl+Pfg=="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G21" sqref="G2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Bow</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1390072.4600000002</v>
      </c>
      <c r="D8" s="73">
        <f>'DOE25'!G9</f>
        <v>0</v>
      </c>
      <c r="E8" s="73">
        <f>'DOE25'!H9</f>
        <v>0</v>
      </c>
      <c r="F8" s="73">
        <f>'DOE25'!I9</f>
        <v>9159686.3800000008</v>
      </c>
      <c r="G8" s="73">
        <f>'DOE25'!J9</f>
        <v>0</v>
      </c>
      <c r="H8" s="13">
        <f>SUM(C8:G8)</f>
        <v>10549758.840000002</v>
      </c>
      <c r="I8" s="90"/>
    </row>
    <row r="9" spans="1:9" x14ac:dyDescent="0.2">
      <c r="A9" s="1" t="s">
        <v>140</v>
      </c>
      <c r="B9" s="6">
        <v>110</v>
      </c>
      <c r="C9" s="73">
        <f>'DOE25'!F10</f>
        <v>1280344.3799999999</v>
      </c>
      <c r="D9" s="73">
        <f>'DOE25'!G10</f>
        <v>0</v>
      </c>
      <c r="E9" s="73">
        <f>'DOE25'!H10</f>
        <v>0</v>
      </c>
      <c r="F9" s="73">
        <f>'DOE25'!I10</f>
        <v>0</v>
      </c>
      <c r="G9" s="73">
        <f>'DOE25'!J10</f>
        <v>2303971.91</v>
      </c>
      <c r="H9" s="13">
        <f t="shared" ref="H9:H18" si="0">SUM(C9:G9)</f>
        <v>3584316.29</v>
      </c>
      <c r="I9" s="90"/>
    </row>
    <row r="10" spans="1:9" x14ac:dyDescent="0.2">
      <c r="A10" s="1" t="s">
        <v>141</v>
      </c>
      <c r="B10" s="6">
        <v>120</v>
      </c>
      <c r="C10" s="73">
        <f>'DOE25'!F11</f>
        <v>1669.2</v>
      </c>
      <c r="D10" s="23" t="s">
        <v>288</v>
      </c>
      <c r="E10" s="23" t="s">
        <v>288</v>
      </c>
      <c r="F10" s="23" t="s">
        <v>288</v>
      </c>
      <c r="G10" s="23" t="s">
        <v>288</v>
      </c>
      <c r="H10" s="13">
        <f t="shared" si="0"/>
        <v>1669.2</v>
      </c>
      <c r="I10" s="90"/>
    </row>
    <row r="11" spans="1:9" x14ac:dyDescent="0.2">
      <c r="A11" s="1" t="s">
        <v>142</v>
      </c>
      <c r="B11" s="6">
        <v>130</v>
      </c>
      <c r="C11" s="73">
        <f>'DOE25'!F12</f>
        <v>-374509.93000000005</v>
      </c>
      <c r="D11" s="73">
        <f>'DOE25'!G12</f>
        <v>489220.77</v>
      </c>
      <c r="E11" s="73">
        <f>'DOE25'!H12</f>
        <v>-0.48</v>
      </c>
      <c r="F11" s="73">
        <f>'DOE25'!I12</f>
        <v>78.06</v>
      </c>
      <c r="G11" s="73">
        <f>'DOE25'!J12</f>
        <v>0</v>
      </c>
      <c r="H11" s="13">
        <f t="shared" si="0"/>
        <v>114788.41999999997</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256837.88</v>
      </c>
      <c r="D13" s="73">
        <f>'DOE25'!G14</f>
        <v>5576.19</v>
      </c>
      <c r="E13" s="73">
        <f>'DOE25'!H14</f>
        <v>123505.09</v>
      </c>
      <c r="F13" s="73">
        <f>'DOE25'!I14</f>
        <v>0</v>
      </c>
      <c r="G13" s="73">
        <f>'DOE25'!J14</f>
        <v>0</v>
      </c>
      <c r="H13" s="13">
        <f t="shared" si="0"/>
        <v>385919.16000000003</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84259.62</v>
      </c>
      <c r="D16" s="73">
        <f>'DOE25'!G17</f>
        <v>0</v>
      </c>
      <c r="E16" s="73">
        <f>'DOE25'!H17</f>
        <v>0</v>
      </c>
      <c r="F16" s="73">
        <f>'DOE25'!I17</f>
        <v>0</v>
      </c>
      <c r="G16" s="73">
        <f>'DOE25'!J17</f>
        <v>0</v>
      </c>
      <c r="H16" s="13">
        <f t="shared" si="0"/>
        <v>84259.62</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2638673.61</v>
      </c>
      <c r="D18" s="38">
        <f>SUM(D8:D17)</f>
        <v>494796.96</v>
      </c>
      <c r="E18" s="38">
        <f>SUM(E8:E17)</f>
        <v>123504.61</v>
      </c>
      <c r="F18" s="38">
        <f>SUM(F8:F17)</f>
        <v>9159764.4400000013</v>
      </c>
      <c r="G18" s="38">
        <f>SUM(G8:G17)</f>
        <v>2303971.91</v>
      </c>
      <c r="H18" s="38">
        <f t="shared" si="0"/>
        <v>14720711.530000001</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-0.20999999999999996</v>
      </c>
      <c r="D21" s="73">
        <f>'DOE25'!G22</f>
        <v>-0.17</v>
      </c>
      <c r="E21" s="73">
        <f>'DOE25'!H22</f>
        <v>114780.04</v>
      </c>
      <c r="F21" s="73">
        <f>'DOE25'!I22</f>
        <v>6.0000000000000026E-2</v>
      </c>
      <c r="G21" s="73">
        <f>'DOE25'!J22</f>
        <v>0</v>
      </c>
      <c r="H21" s="13">
        <f t="shared" ref="H21:H31" si="1">SUM(C21:G21)</f>
        <v>114779.71999999999</v>
      </c>
      <c r="I21" s="90"/>
    </row>
    <row r="22" spans="1:9" x14ac:dyDescent="0.2">
      <c r="A22" s="1" t="s">
        <v>151</v>
      </c>
      <c r="B22" s="6">
        <v>410</v>
      </c>
      <c r="C22" s="73">
        <f>'DOE25'!F23</f>
        <v>0</v>
      </c>
      <c r="D22" s="73">
        <f>'DOE25'!G23</f>
        <v>2726</v>
      </c>
      <c r="E22" s="73">
        <f>'DOE25'!H23</f>
        <v>9.5299999999988358</v>
      </c>
      <c r="F22" s="73">
        <f>'DOE25'!I23</f>
        <v>0</v>
      </c>
      <c r="G22" s="73">
        <f>'DOE25'!J23</f>
        <v>0</v>
      </c>
      <c r="H22" s="13">
        <f t="shared" si="1"/>
        <v>2735.5299999999988</v>
      </c>
      <c r="I22" s="90"/>
    </row>
    <row r="23" spans="1:9" x14ac:dyDescent="0.2">
      <c r="A23" s="1" t="s">
        <v>152</v>
      </c>
      <c r="B23" s="6">
        <v>420</v>
      </c>
      <c r="C23" s="73">
        <f>'DOE25'!F24</f>
        <v>1302420.71</v>
      </c>
      <c r="D23" s="73">
        <f>'DOE25'!G24</f>
        <v>28848.47</v>
      </c>
      <c r="E23" s="73">
        <f>'DOE25'!H24</f>
        <v>8715.0400000000009</v>
      </c>
      <c r="F23" s="73">
        <f>'DOE25'!I24</f>
        <v>0</v>
      </c>
      <c r="G23" s="73">
        <f>'DOE25'!J24</f>
        <v>0</v>
      </c>
      <c r="H23" s="13">
        <f t="shared" si="1"/>
        <v>1339984.22</v>
      </c>
      <c r="I23" s="90"/>
    </row>
    <row r="24" spans="1:9" x14ac:dyDescent="0.2">
      <c r="A24" s="1" t="s">
        <v>153</v>
      </c>
      <c r="B24" s="6">
        <v>430</v>
      </c>
      <c r="C24" s="73">
        <f>'DOE25'!F25</f>
        <v>406844.33</v>
      </c>
      <c r="D24" s="73">
        <f>'DOE25'!G25</f>
        <v>6396.48</v>
      </c>
      <c r="E24" s="73">
        <f>'DOE25'!H25</f>
        <v>0</v>
      </c>
      <c r="F24" s="73">
        <f>'DOE25'!I25</f>
        <v>0</v>
      </c>
      <c r="G24" s="23" t="s">
        <v>288</v>
      </c>
      <c r="H24" s="13">
        <f t="shared" si="1"/>
        <v>413240.81</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42194.12</v>
      </c>
      <c r="D28" s="73">
        <f>'DOE25'!G29</f>
        <v>0</v>
      </c>
      <c r="E28" s="73">
        <f>'DOE25'!H29</f>
        <v>0</v>
      </c>
      <c r="F28" s="73">
        <f>'DOE25'!I29</f>
        <v>0</v>
      </c>
      <c r="G28" s="23" t="s">
        <v>288</v>
      </c>
      <c r="H28" s="13">
        <f t="shared" si="1"/>
        <v>42194.12</v>
      </c>
      <c r="I28" s="90"/>
    </row>
    <row r="29" spans="1:9" x14ac:dyDescent="0.2">
      <c r="A29" s="1" t="s">
        <v>158</v>
      </c>
      <c r="B29" s="6">
        <v>480</v>
      </c>
      <c r="C29" s="73">
        <f>'DOE25'!F30</f>
        <v>0</v>
      </c>
      <c r="D29" s="73">
        <f>'DOE25'!G30</f>
        <v>98728.8</v>
      </c>
      <c r="E29" s="73">
        <f>'DOE25'!H30</f>
        <v>0</v>
      </c>
      <c r="F29" s="73">
        <f>'DOE25'!I30</f>
        <v>0</v>
      </c>
      <c r="G29" s="23" t="s">
        <v>288</v>
      </c>
      <c r="H29" s="13">
        <f t="shared" si="1"/>
        <v>98728.8</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1751458.9500000002</v>
      </c>
      <c r="D31" s="38">
        <f>SUM(D21:D30)</f>
        <v>136699.58000000002</v>
      </c>
      <c r="E31" s="38">
        <f>SUM(E21:E30)</f>
        <v>123504.60999999999</v>
      </c>
      <c r="F31" s="38">
        <f>SUM(F21:F30)</f>
        <v>6.0000000000000026E-2</v>
      </c>
      <c r="G31" s="38">
        <f>SUM(G21:G30)</f>
        <v>0</v>
      </c>
      <c r="H31" s="38">
        <f t="shared" si="1"/>
        <v>2011663.2000000002</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84259.62</v>
      </c>
      <c r="D35" s="73">
        <f>'DOE25'!G36</f>
        <v>0</v>
      </c>
      <c r="E35" s="73">
        <f>'DOE25'!H36</f>
        <v>0</v>
      </c>
      <c r="F35" s="73">
        <f>'DOE25'!I36</f>
        <v>0</v>
      </c>
      <c r="G35" s="23" t="s">
        <v>288</v>
      </c>
      <c r="H35" s="13">
        <f t="shared" si="2"/>
        <v>84259.62</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358097.37999999966</v>
      </c>
      <c r="E39" s="23" t="s">
        <v>288</v>
      </c>
      <c r="F39" s="23" t="s">
        <v>288</v>
      </c>
      <c r="G39" s="23" t="s">
        <v>288</v>
      </c>
      <c r="H39" s="13">
        <f t="shared" si="2"/>
        <v>358097.37999999966</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9159764.3800000008</v>
      </c>
      <c r="G47" s="73">
        <f>'DOE25'!J48</f>
        <v>2303971.91</v>
      </c>
      <c r="H47" s="13">
        <f t="shared" si="2"/>
        <v>11463736.290000001</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802955.04</v>
      </c>
      <c r="D49" s="23" t="s">
        <v>288</v>
      </c>
      <c r="E49" s="23" t="s">
        <v>288</v>
      </c>
      <c r="F49" s="23" t="s">
        <v>288</v>
      </c>
      <c r="G49" s="23" t="s">
        <v>288</v>
      </c>
      <c r="H49" s="13">
        <f t="shared" si="2"/>
        <v>802955.04</v>
      </c>
      <c r="I49" s="90"/>
    </row>
    <row r="50" spans="1:9" ht="12.75" thickTop="1" thickBot="1" x14ac:dyDescent="0.25">
      <c r="A50" s="35" t="s">
        <v>880</v>
      </c>
      <c r="B50" s="44"/>
      <c r="C50" s="38">
        <f>SUM(C34:C49)</f>
        <v>887214.66</v>
      </c>
      <c r="D50" s="38">
        <f>SUM(D34:D49)</f>
        <v>358097.37999999966</v>
      </c>
      <c r="E50" s="38">
        <f>SUM(E34:E49)</f>
        <v>0</v>
      </c>
      <c r="F50" s="38">
        <f>SUM(F34:F49)</f>
        <v>9159764.3800000008</v>
      </c>
      <c r="G50" s="38">
        <f>SUM(G34:G49)</f>
        <v>2303971.91</v>
      </c>
      <c r="H50" s="38">
        <f t="shared" si="2"/>
        <v>12709048.33</v>
      </c>
      <c r="I50" s="90"/>
    </row>
    <row r="51" spans="1:9" ht="12" thickTop="1" x14ac:dyDescent="0.2">
      <c r="A51" s="35" t="s">
        <v>881</v>
      </c>
      <c r="B51" s="2"/>
      <c r="C51" s="38">
        <f>C50+C31</f>
        <v>2638673.6100000003</v>
      </c>
      <c r="D51" s="38">
        <f>D50+D31</f>
        <v>494796.95999999967</v>
      </c>
      <c r="E51" s="38">
        <f>E50+E31</f>
        <v>123504.60999999999</v>
      </c>
      <c r="F51" s="38">
        <f>F50+F31</f>
        <v>9159764.4400000013</v>
      </c>
      <c r="G51" s="38">
        <f>G50+G31</f>
        <v>2303971.91</v>
      </c>
      <c r="H51" s="38">
        <f t="shared" si="2"/>
        <v>14720711.530000001</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21752114</v>
      </c>
      <c r="D56" s="73">
        <f>'DOE25'!G60</f>
        <v>0</v>
      </c>
      <c r="E56" s="73">
        <f>'DOE25'!H60</f>
        <v>0</v>
      </c>
      <c r="F56" s="73">
        <f>'DOE25'!I60</f>
        <v>0</v>
      </c>
      <c r="G56" s="73">
        <f>'DOE25'!J60</f>
        <v>0</v>
      </c>
      <c r="H56" s="13">
        <f t="shared" ref="H56:H63" si="3">SUM(C56:G56)</f>
        <v>21752114</v>
      </c>
      <c r="I56"/>
    </row>
    <row r="57" spans="1:9" x14ac:dyDescent="0.2">
      <c r="A57" s="1" t="s">
        <v>164</v>
      </c>
      <c r="B57" s="6" t="s">
        <v>165</v>
      </c>
      <c r="C57" s="73">
        <f>'DOE25'!F79</f>
        <v>4278978.99</v>
      </c>
      <c r="D57" s="23" t="s">
        <v>288</v>
      </c>
      <c r="E57" s="73">
        <f>'DOE25'!H79</f>
        <v>0</v>
      </c>
      <c r="F57" s="23" t="s">
        <v>288</v>
      </c>
      <c r="G57" s="23" t="s">
        <v>288</v>
      </c>
      <c r="H57" s="13">
        <f t="shared" si="3"/>
        <v>4278978.99</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69110.880000000005</v>
      </c>
      <c r="D59" s="73">
        <f>'DOE25'!G96</f>
        <v>0</v>
      </c>
      <c r="E59" s="73">
        <f>'DOE25'!H96</f>
        <v>0</v>
      </c>
      <c r="F59" s="73">
        <f>'DOE25'!I96</f>
        <v>535867.16</v>
      </c>
      <c r="G59" s="73">
        <f>'DOE25'!J96</f>
        <v>13655</v>
      </c>
      <c r="H59" s="13">
        <f t="shared" si="3"/>
        <v>618633.04</v>
      </c>
      <c r="I59"/>
    </row>
    <row r="60" spans="1:9" x14ac:dyDescent="0.2">
      <c r="A60" s="1" t="s">
        <v>170</v>
      </c>
      <c r="B60" s="22" t="s">
        <v>171</v>
      </c>
      <c r="C60" s="23" t="s">
        <v>288</v>
      </c>
      <c r="D60" s="73">
        <f>'DOE25'!G97</f>
        <v>708706.8899999999</v>
      </c>
      <c r="E60" s="23" t="s">
        <v>288</v>
      </c>
      <c r="F60" s="23" t="s">
        <v>288</v>
      </c>
      <c r="G60" s="23" t="s">
        <v>288</v>
      </c>
      <c r="H60" s="13">
        <f t="shared" si="3"/>
        <v>708706.8899999999</v>
      </c>
      <c r="I60"/>
    </row>
    <row r="61" spans="1:9" ht="12" thickBot="1" x14ac:dyDescent="0.25">
      <c r="A61" s="1" t="s">
        <v>172</v>
      </c>
      <c r="B61" s="22" t="s">
        <v>173</v>
      </c>
      <c r="C61" s="73">
        <f>SUM('DOE25'!F98:F110)</f>
        <v>260349.07</v>
      </c>
      <c r="D61" s="73">
        <f>SUM('DOE25'!G98:G110)</f>
        <v>134.57</v>
      </c>
      <c r="E61" s="73">
        <f>SUM('DOE25'!H98:H110)</f>
        <v>0</v>
      </c>
      <c r="F61" s="73">
        <f>SUM('DOE25'!I98:I110)</f>
        <v>0</v>
      </c>
      <c r="G61" s="73">
        <f>SUM('DOE25'!J98:J110)</f>
        <v>0</v>
      </c>
      <c r="H61" s="13">
        <f t="shared" si="3"/>
        <v>260483.64</v>
      </c>
      <c r="I61"/>
    </row>
    <row r="62" spans="1:9" ht="12.75" thickTop="1" thickBot="1" x14ac:dyDescent="0.25">
      <c r="A62" s="28" t="s">
        <v>174</v>
      </c>
      <c r="B62" s="6"/>
      <c r="C62" s="93">
        <f>SUM(C57:C61)</f>
        <v>4608438.9400000004</v>
      </c>
      <c r="D62" s="93">
        <f>SUM(D57:D61)</f>
        <v>708841.45999999985</v>
      </c>
      <c r="E62" s="93">
        <f>SUM(E57:E61)</f>
        <v>0</v>
      </c>
      <c r="F62" s="93">
        <f>SUM(F57:F61)</f>
        <v>535867.16</v>
      </c>
      <c r="G62" s="93">
        <f>SUM(G57:G61)</f>
        <v>13655</v>
      </c>
      <c r="H62" s="13">
        <f t="shared" si="3"/>
        <v>5866802.5600000005</v>
      </c>
      <c r="I62"/>
    </row>
    <row r="63" spans="1:9" ht="12" thickTop="1" x14ac:dyDescent="0.2">
      <c r="A63" s="28" t="s">
        <v>175</v>
      </c>
      <c r="B63" s="6"/>
      <c r="C63" s="21">
        <f>C56+C62</f>
        <v>26360552.940000001</v>
      </c>
      <c r="D63" s="21">
        <f>D56+D62</f>
        <v>708841.45999999985</v>
      </c>
      <c r="E63" s="21">
        <f>E56+E62</f>
        <v>0</v>
      </c>
      <c r="F63" s="21">
        <f>F56+F62</f>
        <v>535867.16</v>
      </c>
      <c r="G63" s="21">
        <f>G56+G62</f>
        <v>13655</v>
      </c>
      <c r="H63" s="13">
        <f t="shared" si="3"/>
        <v>27618916.560000002</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4481616.16</v>
      </c>
      <c r="D66" s="23" t="s">
        <v>288</v>
      </c>
      <c r="E66" s="23" t="s">
        <v>288</v>
      </c>
      <c r="F66" s="23" t="s">
        <v>288</v>
      </c>
      <c r="G66" s="23" t="s">
        <v>288</v>
      </c>
      <c r="H66" s="13">
        <f t="shared" ref="H66:H81" si="4">SUM(C66:G66)</f>
        <v>4481616.16</v>
      </c>
      <c r="I66"/>
    </row>
    <row r="67" spans="1:9" x14ac:dyDescent="0.2">
      <c r="A67" s="1" t="s">
        <v>767</v>
      </c>
      <c r="B67" s="6">
        <v>3112</v>
      </c>
      <c r="C67" s="73">
        <f>'DOE25'!F118</f>
        <v>2124000</v>
      </c>
      <c r="D67" s="23"/>
      <c r="E67" s="23"/>
      <c r="F67" s="23"/>
      <c r="G67" s="23"/>
      <c r="H67" s="13">
        <f t="shared" si="4"/>
        <v>2124000</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8148.44</v>
      </c>
      <c r="D69" s="73">
        <f>'DOE25'!G120</f>
        <v>0</v>
      </c>
      <c r="E69" s="73">
        <f>'DOE25'!H120</f>
        <v>0</v>
      </c>
      <c r="F69" s="73">
        <f>'DOE25'!I120</f>
        <v>0</v>
      </c>
      <c r="G69" s="73">
        <f>'DOE25'!J120</f>
        <v>0</v>
      </c>
      <c r="H69" s="13">
        <f t="shared" si="4"/>
        <v>8148.44</v>
      </c>
      <c r="I69"/>
    </row>
    <row r="70" spans="1:9" ht="12" thickTop="1" x14ac:dyDescent="0.2">
      <c r="A70" s="28" t="s">
        <v>252</v>
      </c>
      <c r="B70" s="2"/>
      <c r="C70" s="97">
        <f>SUM(C66:C69)</f>
        <v>6613764.6000000006</v>
      </c>
      <c r="D70" s="97">
        <f>D69</f>
        <v>0</v>
      </c>
      <c r="E70" s="97">
        <f>E69</f>
        <v>0</v>
      </c>
      <c r="F70" s="97">
        <f>F69</f>
        <v>0</v>
      </c>
      <c r="G70" s="97">
        <f>G69</f>
        <v>0</v>
      </c>
      <c r="H70" s="13">
        <f t="shared" si="4"/>
        <v>6613764.6000000006</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67289.929999999993</v>
      </c>
      <c r="D72" s="23" t="s">
        <v>288</v>
      </c>
      <c r="E72" s="23" t="s">
        <v>288</v>
      </c>
      <c r="F72" s="73">
        <f>'DOE25'!I123</f>
        <v>0</v>
      </c>
      <c r="G72" s="23" t="s">
        <v>288</v>
      </c>
      <c r="H72" s="13">
        <f t="shared" si="4"/>
        <v>67289.929999999993</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424948.13</v>
      </c>
      <c r="D75" s="23" t="s">
        <v>288</v>
      </c>
      <c r="E75" s="23" t="s">
        <v>288</v>
      </c>
      <c r="F75" s="23" t="s">
        <v>288</v>
      </c>
      <c r="G75" s="23" t="s">
        <v>288</v>
      </c>
      <c r="H75" s="13">
        <f t="shared" si="4"/>
        <v>424948.13</v>
      </c>
      <c r="I75"/>
    </row>
    <row r="76" spans="1:9" x14ac:dyDescent="0.2">
      <c r="A76" s="1" t="s">
        <v>257</v>
      </c>
      <c r="B76" s="6" t="s">
        <v>179</v>
      </c>
      <c r="C76" s="73">
        <f>SUM('DOE25'!F127:F130)</f>
        <v>16863.599999999999</v>
      </c>
      <c r="D76" s="23" t="s">
        <v>288</v>
      </c>
      <c r="E76" s="73">
        <f>SUM('DOE25'!H127:H130)</f>
        <v>0</v>
      </c>
      <c r="F76" s="73">
        <f>SUM('DOE25'!I127:I130)</f>
        <v>0</v>
      </c>
      <c r="G76" s="23" t="s">
        <v>288</v>
      </c>
      <c r="H76" s="13">
        <f t="shared" si="4"/>
        <v>16863.599999999999</v>
      </c>
      <c r="I76"/>
    </row>
    <row r="77" spans="1:9" ht="12" thickBot="1" x14ac:dyDescent="0.25">
      <c r="A77" s="1" t="s">
        <v>258</v>
      </c>
      <c r="B77" s="6" t="s">
        <v>180</v>
      </c>
      <c r="C77" s="73">
        <f>SUM('DOE25'!F131:F135)</f>
        <v>0</v>
      </c>
      <c r="D77" s="73">
        <f>SUM('DOE25'!G131:G135)</f>
        <v>7886.86</v>
      </c>
      <c r="E77" s="73">
        <f>SUM('DOE25'!H131:H135)</f>
        <v>113627.7</v>
      </c>
      <c r="F77" s="73">
        <f>SUM('DOE25'!I131:I135)</f>
        <v>0</v>
      </c>
      <c r="G77" s="73">
        <f>SUM('DOE25'!J131:J135)</f>
        <v>0</v>
      </c>
      <c r="H77" s="13">
        <f t="shared" si="4"/>
        <v>121514.56</v>
      </c>
      <c r="I77"/>
    </row>
    <row r="78" spans="1:9" ht="12.75" thickTop="1" thickBot="1" x14ac:dyDescent="0.25">
      <c r="A78" s="28" t="s">
        <v>259</v>
      </c>
      <c r="B78" s="6"/>
      <c r="C78" s="93">
        <f>SUM(C72:C77)</f>
        <v>509101.66</v>
      </c>
      <c r="D78" s="93">
        <f>SUM(D72:D77)</f>
        <v>7886.86</v>
      </c>
      <c r="E78" s="93">
        <f>SUM(E72:E77)</f>
        <v>113627.7</v>
      </c>
      <c r="F78" s="93">
        <f>SUM(F72:F77)</f>
        <v>0</v>
      </c>
      <c r="G78" s="93">
        <f>SUM(G72:G77)</f>
        <v>0</v>
      </c>
      <c r="H78" s="13">
        <f t="shared" si="4"/>
        <v>630616.22</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7122866.2600000007</v>
      </c>
      <c r="D81" s="93">
        <f>SUM(D79:D80)+D78+D70</f>
        <v>7886.86</v>
      </c>
      <c r="E81" s="93">
        <f>SUM(E79:E80)+E78+E70</f>
        <v>113627.7</v>
      </c>
      <c r="F81" s="93">
        <f>SUM(F79:F80)+F78+F70</f>
        <v>0</v>
      </c>
      <c r="G81" s="93">
        <f>SUM(G79:G80)+G78+G70</f>
        <v>0</v>
      </c>
      <c r="H81" s="93">
        <f t="shared" si="4"/>
        <v>7244380.8200000012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136973.59</v>
      </c>
      <c r="D88" s="252">
        <f>SUM('DOE25'!G153:G162)</f>
        <v>190597.95</v>
      </c>
      <c r="E88" s="252">
        <f>SUM('DOE25'!H153:H162)</f>
        <v>774692.18</v>
      </c>
      <c r="F88" s="252">
        <f>SUM('DOE25'!I153:I162)</f>
        <v>0</v>
      </c>
      <c r="G88" s="23" t="s">
        <v>288</v>
      </c>
      <c r="H88" s="13">
        <f t="shared" si="5"/>
        <v>1102263.7200000002</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136973.59</v>
      </c>
      <c r="D91" s="94">
        <f>SUM(D85:D90)</f>
        <v>190597.95</v>
      </c>
      <c r="E91" s="94">
        <f>SUM(E85:E90)</f>
        <v>774692.18</v>
      </c>
      <c r="F91" s="94">
        <f>SUM(F85:F90)</f>
        <v>0</v>
      </c>
      <c r="G91" s="23" t="s">
        <v>288</v>
      </c>
      <c r="H91" s="13">
        <f t="shared" si="5"/>
        <v>1102263.7200000002</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12400000</v>
      </c>
      <c r="G93" s="23" t="s">
        <v>288</v>
      </c>
      <c r="H93" s="13">
        <f t="shared" si="5"/>
        <v>12400000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1159585</v>
      </c>
      <c r="H96" s="13">
        <f t="shared" si="5"/>
        <v>1159585</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29750</v>
      </c>
      <c r="D99" s="73">
        <f>'DOE25'!G186</f>
        <v>0</v>
      </c>
      <c r="E99" s="73">
        <f>'DOE25'!H186</f>
        <v>0</v>
      </c>
      <c r="F99" s="73">
        <f>'DOE25'!I186</f>
        <v>0</v>
      </c>
      <c r="G99" s="23" t="s">
        <v>288</v>
      </c>
      <c r="H99" s="13">
        <f t="shared" si="5"/>
        <v>29750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29750</v>
      </c>
      <c r="D103" s="68">
        <f>SUM(D93:D102)</f>
        <v>0</v>
      </c>
      <c r="E103" s="68">
        <f>SUM(E93:E102)</f>
        <v>0</v>
      </c>
      <c r="F103" s="68">
        <f>SUM(F93:F102)</f>
        <v>12400000</v>
      </c>
      <c r="G103" s="68">
        <f>SUM(G93:G102)</f>
        <v>1159585</v>
      </c>
      <c r="H103" s="68">
        <f t="shared" si="5"/>
        <v>13589335</v>
      </c>
    </row>
    <row r="104" spans="1:8" ht="12.75" thickTop="1" thickBot="1" x14ac:dyDescent="0.25">
      <c r="A104" s="32" t="s">
        <v>758</v>
      </c>
      <c r="C104" s="68">
        <f>C63+C81+C91+C103</f>
        <v>33650142.790000007</v>
      </c>
      <c r="D104" s="68">
        <f>D63+D81+D91+D103</f>
        <v>907326.26999999979</v>
      </c>
      <c r="E104" s="68">
        <f>E63+E81+E91+E103</f>
        <v>888319.88</v>
      </c>
      <c r="F104" s="68">
        <f>F63+F81+F91+F103</f>
        <v>12935867.16</v>
      </c>
      <c r="G104" s="68">
        <f>G63+G81+G103</f>
        <v>1173240</v>
      </c>
      <c r="H104" s="68">
        <f t="shared" si="5"/>
        <v>49554896.100000009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13827134.280000001</v>
      </c>
      <c r="D109" s="23" t="s">
        <v>288</v>
      </c>
      <c r="E109" s="73">
        <f>('DOE25'!L277)+('DOE25'!L296)+('DOE25'!L315)</f>
        <v>136622.28</v>
      </c>
      <c r="F109" s="23" t="s">
        <v>288</v>
      </c>
      <c r="G109" s="23" t="s">
        <v>288</v>
      </c>
      <c r="H109" s="13">
        <f t="shared" ref="H109:H115" si="6">SUM(C109:G109)</f>
        <v>13963756.560000001</v>
      </c>
    </row>
    <row r="110" spans="1:8" x14ac:dyDescent="0.2">
      <c r="A110" t="s">
        <v>198</v>
      </c>
      <c r="B110" s="31" t="s">
        <v>199</v>
      </c>
      <c r="C110" s="73">
        <f>('DOE25'!L199)+('DOE25'!L217)+('DOE25'!L235)</f>
        <v>6142955.1799999997</v>
      </c>
      <c r="D110" s="23" t="s">
        <v>288</v>
      </c>
      <c r="E110" s="73">
        <f>('DOE25'!L278)+('DOE25'!L297)+('DOE25'!L316)</f>
        <v>340182.89</v>
      </c>
      <c r="F110" s="23" t="s">
        <v>288</v>
      </c>
      <c r="G110" s="23" t="s">
        <v>288</v>
      </c>
      <c r="H110" s="13">
        <f t="shared" si="6"/>
        <v>6483138.0699999994</v>
      </c>
    </row>
    <row r="111" spans="1:8" x14ac:dyDescent="0.2">
      <c r="A111" t="s">
        <v>200</v>
      </c>
      <c r="B111" s="31" t="s">
        <v>165</v>
      </c>
      <c r="C111" s="73">
        <f>('DOE25'!L200)+('DOE25'!L218)+('DOE25'!L236)</f>
        <v>353738.84</v>
      </c>
      <c r="D111" s="23" t="s">
        <v>288</v>
      </c>
      <c r="E111" s="73">
        <f>('DOE25'!L279)+('DOE25'!L298)+('DOE25'!L317)</f>
        <v>0</v>
      </c>
      <c r="F111" s="23" t="s">
        <v>288</v>
      </c>
      <c r="G111" s="23" t="s">
        <v>288</v>
      </c>
      <c r="H111" s="13">
        <f t="shared" si="6"/>
        <v>353738.84</v>
      </c>
    </row>
    <row r="112" spans="1:8" x14ac:dyDescent="0.2">
      <c r="A112" t="s">
        <v>201</v>
      </c>
      <c r="B112" s="31" t="s">
        <v>167</v>
      </c>
      <c r="C112" s="73">
        <f>('DOE25'!L201)+('DOE25'!L219)+('DOE25'!L237)</f>
        <v>874431.49</v>
      </c>
      <c r="D112" s="23" t="s">
        <v>288</v>
      </c>
      <c r="E112" s="73">
        <f>+('DOE25'!L280)+('DOE25'!L299)+('DOE25'!L318)</f>
        <v>1138</v>
      </c>
      <c r="F112" s="23" t="s">
        <v>288</v>
      </c>
      <c r="G112" s="23" t="s">
        <v>288</v>
      </c>
      <c r="H112" s="13">
        <f t="shared" si="6"/>
        <v>875569.49</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21198259.789999999</v>
      </c>
      <c r="D115" s="68">
        <f>SUM(D109:D114)</f>
        <v>0</v>
      </c>
      <c r="E115" s="68">
        <f>SUM(E109:E114)</f>
        <v>477943.17000000004</v>
      </c>
      <c r="F115" s="68">
        <f>SUM(F109:F114)</f>
        <v>0</v>
      </c>
      <c r="G115" s="68">
        <f>SUM(G109:G114)</f>
        <v>0</v>
      </c>
      <c r="H115" s="68">
        <f t="shared" si="6"/>
        <v>21676202.960000001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2885691.8</v>
      </c>
      <c r="D118" s="23" t="s">
        <v>288</v>
      </c>
      <c r="E118" s="73">
        <f>+('DOE25'!L282)+('DOE25'!L301)+('DOE25'!L320)</f>
        <v>62826.429999999993</v>
      </c>
      <c r="F118" s="23" t="s">
        <v>288</v>
      </c>
      <c r="G118" s="23" t="s">
        <v>288</v>
      </c>
      <c r="H118" s="13">
        <f t="shared" ref="H118:H145" si="7">SUM(C118:G118)</f>
        <v>2948518.23</v>
      </c>
    </row>
    <row r="119" spans="1:8" x14ac:dyDescent="0.2">
      <c r="A119" t="s">
        <v>208</v>
      </c>
      <c r="B119" s="31" t="s">
        <v>209</v>
      </c>
      <c r="C119" s="73">
        <f>('DOE25'!L204)+('DOE25'!L222)+('DOE25'!L240)</f>
        <v>1471321.08</v>
      </c>
      <c r="D119" s="23" t="s">
        <v>288</v>
      </c>
      <c r="E119" s="73">
        <f>+('DOE25'!L283)+('DOE25'!L302)+('DOE25'!L321)</f>
        <v>235060.58000000002</v>
      </c>
      <c r="F119" s="23" t="s">
        <v>288</v>
      </c>
      <c r="G119" s="23" t="s">
        <v>288</v>
      </c>
      <c r="H119" s="13">
        <f t="shared" si="7"/>
        <v>1706381.6600000001</v>
      </c>
    </row>
    <row r="120" spans="1:8" x14ac:dyDescent="0.2">
      <c r="A120" t="s">
        <v>210</v>
      </c>
      <c r="B120" s="31" t="s">
        <v>211</v>
      </c>
      <c r="C120" s="73">
        <f>('DOE25'!L205)+('DOE25'!L223)+('DOE25'!L241)</f>
        <v>1227776.2700000003</v>
      </c>
      <c r="D120" s="23" t="s">
        <v>288</v>
      </c>
      <c r="E120" s="73">
        <f>+('DOE25'!L284)+('DOE25'!L303)+('DOE25'!L322)</f>
        <v>0</v>
      </c>
      <c r="F120" s="23" t="s">
        <v>288</v>
      </c>
      <c r="G120" s="23" t="s">
        <v>288</v>
      </c>
      <c r="H120" s="13">
        <f t="shared" si="7"/>
        <v>1227776.2700000003</v>
      </c>
    </row>
    <row r="121" spans="1:8" x14ac:dyDescent="0.2">
      <c r="A121" t="s">
        <v>212</v>
      </c>
      <c r="B121" s="31" t="s">
        <v>213</v>
      </c>
      <c r="C121" s="73">
        <f>('DOE25'!L206)+('DOE25'!L224)+('DOE25'!L242)</f>
        <v>1563766.66</v>
      </c>
      <c r="D121" s="23" t="s">
        <v>288</v>
      </c>
      <c r="E121" s="73">
        <f>+('DOE25'!L285)+('DOE25'!L304)+('DOE25'!L323)</f>
        <v>0</v>
      </c>
      <c r="F121" s="23" t="s">
        <v>288</v>
      </c>
      <c r="G121" s="23" t="s">
        <v>288</v>
      </c>
      <c r="H121" s="13">
        <f t="shared" si="7"/>
        <v>1563766.66</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2470378.9699999997</v>
      </c>
      <c r="D123" s="23" t="s">
        <v>288</v>
      </c>
      <c r="E123" s="73">
        <f>+('DOE25'!L287)+('DOE25'!L306)+('DOE25'!L325)</f>
        <v>112489.70000000001</v>
      </c>
      <c r="F123" s="23" t="s">
        <v>288</v>
      </c>
      <c r="G123" s="23" t="s">
        <v>288</v>
      </c>
      <c r="H123" s="13">
        <f t="shared" si="7"/>
        <v>2582868.67</v>
      </c>
    </row>
    <row r="124" spans="1:8" x14ac:dyDescent="0.2">
      <c r="A124" t="s">
        <v>218</v>
      </c>
      <c r="B124" s="31" t="s">
        <v>219</v>
      </c>
      <c r="C124" s="73">
        <f>('DOE25'!L209)+('DOE25'!L227)+('DOE25'!L245+'DOE25'!L255)</f>
        <v>1444206.2300000002</v>
      </c>
      <c r="D124" s="23" t="s">
        <v>288</v>
      </c>
      <c r="E124" s="73">
        <f>+('DOE25'!L288)+('DOE25'!L307)+('DOE25'!L326)</f>
        <v>0</v>
      </c>
      <c r="F124" s="23" t="s">
        <v>288</v>
      </c>
      <c r="G124" s="23" t="s">
        <v>288</v>
      </c>
      <c r="H124" s="13">
        <f t="shared" si="7"/>
        <v>1444206.2300000002</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1031172.06</v>
      </c>
      <c r="E127" s="23" t="s">
        <v>288</v>
      </c>
      <c r="F127" s="23" t="s">
        <v>288</v>
      </c>
      <c r="G127" s="23" t="s">
        <v>288</v>
      </c>
      <c r="H127" s="13">
        <f t="shared" si="7"/>
        <v>1031172.06</v>
      </c>
    </row>
    <row r="128" spans="1:8" ht="12.75" thickTop="1" thickBot="1" x14ac:dyDescent="0.25">
      <c r="A128" s="32" t="s">
        <v>226</v>
      </c>
      <c r="C128" s="68">
        <f>SUM(C118:C127)</f>
        <v>11063141.010000002</v>
      </c>
      <c r="D128" s="68">
        <f>SUM(D118:D127)</f>
        <v>1031172.06</v>
      </c>
      <c r="E128" s="68">
        <f>SUM(E118:E127)</f>
        <v>410376.71</v>
      </c>
      <c r="F128" s="68">
        <f>SUM(F118:F127)</f>
        <v>0</v>
      </c>
      <c r="G128" s="68">
        <f>SUM(G118:G127)</f>
        <v>0</v>
      </c>
      <c r="H128" s="68">
        <f t="shared" si="7"/>
        <v>12504689.780000003</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3776102.78</v>
      </c>
      <c r="G130" s="23" t="s">
        <v>288</v>
      </c>
      <c r="H130" s="13">
        <f t="shared" si="7"/>
        <v>3776102.78</v>
      </c>
    </row>
    <row r="131" spans="1:8" x14ac:dyDescent="0.2">
      <c r="A131" t="s">
        <v>229</v>
      </c>
      <c r="B131" s="31">
        <v>5110</v>
      </c>
      <c r="C131" s="73">
        <f>'DOE25'!L261</f>
        <v>200000</v>
      </c>
      <c r="D131" s="23" t="s">
        <v>288</v>
      </c>
      <c r="E131" s="92">
        <f>'DOE25'!L342</f>
        <v>0</v>
      </c>
      <c r="F131" s="23" t="s">
        <v>288</v>
      </c>
      <c r="G131" s="23" t="s">
        <v>288</v>
      </c>
      <c r="H131" s="13">
        <f t="shared" si="7"/>
        <v>200000</v>
      </c>
    </row>
    <row r="132" spans="1:8" x14ac:dyDescent="0.2">
      <c r="A132" t="s">
        <v>230</v>
      </c>
      <c r="B132" s="31">
        <v>5120</v>
      </c>
      <c r="C132" s="73">
        <f>'DOE25'!L262</f>
        <v>318762.27</v>
      </c>
      <c r="D132" s="23" t="s">
        <v>288</v>
      </c>
      <c r="E132" s="92">
        <f>'DOE25'!L343</f>
        <v>0</v>
      </c>
      <c r="F132" s="23" t="s">
        <v>288</v>
      </c>
      <c r="G132" s="23" t="s">
        <v>288</v>
      </c>
      <c r="H132" s="13">
        <f t="shared" si="7"/>
        <v>318762.27</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1173240</v>
      </c>
      <c r="D138" s="23" t="s">
        <v>288</v>
      </c>
      <c r="E138" s="23" t="s">
        <v>288</v>
      </c>
      <c r="F138" s="23" t="s">
        <v>288</v>
      </c>
      <c r="G138" s="23" t="s">
        <v>288</v>
      </c>
      <c r="H138" s="13">
        <f t="shared" si="7"/>
        <v>1173240</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-13655</v>
      </c>
      <c r="D141" s="23" t="s">
        <v>288</v>
      </c>
      <c r="E141" s="23" t="s">
        <v>288</v>
      </c>
      <c r="F141" s="23" t="s">
        <v>288</v>
      </c>
      <c r="G141" s="23" t="s">
        <v>288</v>
      </c>
      <c r="H141" s="13">
        <f t="shared" si="7"/>
        <v>-13655</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1678347.27</v>
      </c>
      <c r="D144" s="98">
        <f>SUM(D130:D143)</f>
        <v>0</v>
      </c>
      <c r="E144" s="98">
        <f>SUM(E130:E143)</f>
        <v>0</v>
      </c>
      <c r="F144" s="98">
        <f>SUM(F130:F143)</f>
        <v>3776102.78</v>
      </c>
      <c r="G144" s="98">
        <f>SUM(G130:G143)</f>
        <v>0</v>
      </c>
      <c r="H144" s="98">
        <f t="shared" si="7"/>
        <v>5454450.0499999998</v>
      </c>
    </row>
    <row r="145" spans="1:9" ht="12.75" thickTop="1" thickBot="1" x14ac:dyDescent="0.25">
      <c r="A145" s="32" t="s">
        <v>244</v>
      </c>
      <c r="C145" s="68">
        <f>(C115+C128+C144)</f>
        <v>33939748.07</v>
      </c>
      <c r="D145" s="68">
        <f>(D115+D128+D144)</f>
        <v>1031172.06</v>
      </c>
      <c r="E145" s="68">
        <f>(E115+E128+E144)</f>
        <v>888319.88000000012</v>
      </c>
      <c r="F145" s="68">
        <f>(F115+F128+F144)</f>
        <v>3776102.78</v>
      </c>
      <c r="G145" s="68">
        <f>(G115+G128+G144)</f>
        <v>0</v>
      </c>
      <c r="H145" s="68">
        <f t="shared" si="7"/>
        <v>39635342.790000007</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20</v>
      </c>
      <c r="D151" s="110">
        <f>'DOE25'!H491</f>
        <v>0</v>
      </c>
      <c r="E151" s="110">
        <f>'DOE25'!I491</f>
        <v>0</v>
      </c>
      <c r="F151" s="110">
        <f>'DOE25'!J491</f>
        <v>0</v>
      </c>
      <c r="G151" s="23" t="s">
        <v>288</v>
      </c>
    </row>
    <row r="152" spans="1:9" x14ac:dyDescent="0.2">
      <c r="A152" s="21" t="s">
        <v>28</v>
      </c>
      <c r="B152" s="109" t="str">
        <f>'DOE25'!F492</f>
        <v>7/06</v>
      </c>
      <c r="C152" s="109" t="str">
        <f>'DOE25'!G492</f>
        <v>7/23</v>
      </c>
      <c r="D152" s="109">
        <f>'DOE25'!H492</f>
        <v>0</v>
      </c>
      <c r="E152" s="109">
        <f>'DOE25'!I492</f>
        <v>0</v>
      </c>
      <c r="F152" s="109">
        <f>'DOE25'!J492</f>
        <v>0</v>
      </c>
      <c r="G152" s="23" t="s">
        <v>288</v>
      </c>
    </row>
    <row r="153" spans="1:9" x14ac:dyDescent="0.2">
      <c r="A153" s="21" t="s">
        <v>29</v>
      </c>
      <c r="B153" s="109" t="str">
        <f>'DOE25'!F493</f>
        <v>7/26</v>
      </c>
      <c r="C153" s="109" t="str">
        <f>'DOE25'!G493</f>
        <v>8/43</v>
      </c>
      <c r="D153" s="109">
        <f>'DOE25'!H493</f>
        <v>0</v>
      </c>
      <c r="E153" s="109">
        <f>'DOE25'!I493</f>
        <v>0</v>
      </c>
      <c r="F153" s="109">
        <f>'DOE25'!J493</f>
        <v>0</v>
      </c>
      <c r="G153" s="23" t="s">
        <v>288</v>
      </c>
    </row>
    <row r="154" spans="1:9" x14ac:dyDescent="0.2">
      <c r="A154" s="21" t="s">
        <v>30</v>
      </c>
      <c r="B154" s="19">
        <f>'DOE25'!F494</f>
        <v>4027000</v>
      </c>
      <c r="C154" s="19">
        <f>'DOE25'!G494</f>
        <v>11346765</v>
      </c>
      <c r="D154" s="19">
        <f>'DOE25'!H494</f>
        <v>0</v>
      </c>
      <c r="E154" s="19">
        <f>'DOE25'!I494</f>
        <v>0</v>
      </c>
      <c r="F154" s="19">
        <f>'DOE25'!J494</f>
        <v>0</v>
      </c>
      <c r="G154" s="23" t="s">
        <v>288</v>
      </c>
    </row>
    <row r="155" spans="1:9" x14ac:dyDescent="0.2">
      <c r="A155" s="21" t="s">
        <v>31</v>
      </c>
      <c r="B155" s="19">
        <f>'DOE25'!F495</f>
        <v>4.4000000000000004</v>
      </c>
      <c r="C155" s="19">
        <f>'DOE25'!G495</f>
        <v>3.65</v>
      </c>
      <c r="D155" s="19">
        <f>'DOE25'!H495</f>
        <v>0</v>
      </c>
      <c r="E155" s="19">
        <f>'DOE25'!I495</f>
        <v>0</v>
      </c>
      <c r="F155" s="19">
        <f>'DOE25'!J495</f>
        <v>0</v>
      </c>
      <c r="G155" s="23" t="s">
        <v>288</v>
      </c>
    </row>
    <row r="156" spans="1:9" x14ac:dyDescent="0.2">
      <c r="A156" s="21" t="s">
        <v>32</v>
      </c>
      <c r="B156" s="19">
        <f>'DOE25'!F496</f>
        <v>800000</v>
      </c>
      <c r="C156" s="19">
        <f>'DOE25'!G496</f>
        <v>11346765</v>
      </c>
      <c r="D156" s="19">
        <f>'DOE25'!H496</f>
        <v>0</v>
      </c>
      <c r="E156" s="19">
        <f>'DOE25'!I496</f>
        <v>0</v>
      </c>
      <c r="F156" s="19">
        <f>'DOE25'!J496</f>
        <v>0</v>
      </c>
      <c r="G156" s="96">
        <f>SUM(B156:F156)</f>
        <v>12146765</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200000</v>
      </c>
      <c r="C158" s="19">
        <f>'DOE25'!G498</f>
        <v>0</v>
      </c>
      <c r="D158" s="19">
        <f>'DOE25'!H498</f>
        <v>0</v>
      </c>
      <c r="E158" s="19">
        <f>'DOE25'!I498</f>
        <v>0</v>
      </c>
      <c r="F158" s="19">
        <f>'DOE25'!J498</f>
        <v>0</v>
      </c>
      <c r="G158" s="96">
        <f t="shared" si="8"/>
        <v>200000</v>
      </c>
    </row>
    <row r="159" spans="1:9" x14ac:dyDescent="0.2">
      <c r="A159" s="21" t="s">
        <v>35</v>
      </c>
      <c r="B159" s="19">
        <f>'DOE25'!F499</f>
        <v>800000</v>
      </c>
      <c r="C159" s="19">
        <f>'DOE25'!G499</f>
        <v>11346765</v>
      </c>
      <c r="D159" s="19">
        <f>'DOE25'!H499</f>
        <v>0</v>
      </c>
      <c r="E159" s="19">
        <f>'DOE25'!I499</f>
        <v>0</v>
      </c>
      <c r="F159" s="19">
        <f>'DOE25'!J499</f>
        <v>0</v>
      </c>
      <c r="G159" s="96">
        <f t="shared" si="8"/>
        <v>12146765</v>
      </c>
    </row>
    <row r="160" spans="1:9" x14ac:dyDescent="0.2">
      <c r="A160" s="21" t="s">
        <v>36</v>
      </c>
      <c r="B160" s="19">
        <f>'DOE25'!F500</f>
        <v>379161</v>
      </c>
      <c r="C160" s="19">
        <f>'DOE25'!G500</f>
        <v>5378364.9100000001</v>
      </c>
      <c r="D160" s="19">
        <f>'DOE25'!H500</f>
        <v>0</v>
      </c>
      <c r="E160" s="19">
        <f>'DOE25'!I500</f>
        <v>0</v>
      </c>
      <c r="F160" s="19">
        <f>'DOE25'!J500</f>
        <v>0</v>
      </c>
      <c r="G160" s="96">
        <f t="shared" si="8"/>
        <v>5757525.9100000001</v>
      </c>
    </row>
    <row r="161" spans="1:7" x14ac:dyDescent="0.2">
      <c r="A161" s="21" t="s">
        <v>37</v>
      </c>
      <c r="B161" s="19">
        <f>'DOE25'!F501</f>
        <v>1179161</v>
      </c>
      <c r="C161" s="19">
        <f>'DOE25'!G501</f>
        <v>16725129.91</v>
      </c>
      <c r="D161" s="19">
        <f>'DOE25'!H501</f>
        <v>0</v>
      </c>
      <c r="E161" s="19">
        <f>'DOE25'!I501</f>
        <v>0</v>
      </c>
      <c r="F161" s="19">
        <f>'DOE25'!J501</f>
        <v>0</v>
      </c>
      <c r="G161" s="96">
        <f t="shared" si="8"/>
        <v>17904290.91</v>
      </c>
    </row>
    <row r="162" spans="1:7" x14ac:dyDescent="0.2">
      <c r="A162" s="21" t="s">
        <v>38</v>
      </c>
      <c r="B162" s="19">
        <f>'DOE25'!F502</f>
        <v>200000</v>
      </c>
      <c r="C162" s="19">
        <f>'DOE25'!G502</f>
        <v>567339</v>
      </c>
      <c r="D162" s="19">
        <f>'DOE25'!H502</f>
        <v>0</v>
      </c>
      <c r="E162" s="19">
        <f>'DOE25'!I502</f>
        <v>0</v>
      </c>
      <c r="F162" s="19">
        <f>'DOE25'!J502</f>
        <v>0</v>
      </c>
      <c r="G162" s="96">
        <f t="shared" si="8"/>
        <v>767339</v>
      </c>
    </row>
    <row r="163" spans="1:7" x14ac:dyDescent="0.2">
      <c r="A163" s="21" t="s">
        <v>39</v>
      </c>
      <c r="B163" s="19">
        <f>'DOE25'!F503</f>
        <v>22500</v>
      </c>
      <c r="C163" s="19">
        <f>'DOE25'!G503</f>
        <v>541524.35</v>
      </c>
      <c r="D163" s="19">
        <f>'DOE25'!H503</f>
        <v>0</v>
      </c>
      <c r="E163" s="19">
        <f>'DOE25'!I503</f>
        <v>0</v>
      </c>
      <c r="F163" s="19">
        <f>'DOE25'!J503</f>
        <v>0</v>
      </c>
      <c r="G163" s="96">
        <f t="shared" si="8"/>
        <v>564024.35</v>
      </c>
    </row>
    <row r="164" spans="1:7" x14ac:dyDescent="0.2">
      <c r="A164" s="21" t="s">
        <v>246</v>
      </c>
      <c r="B164" s="19">
        <f>'DOE25'!F504</f>
        <v>222500</v>
      </c>
      <c r="C164" s="19">
        <f>'DOE25'!G504</f>
        <v>1108863.3500000001</v>
      </c>
      <c r="D164" s="19">
        <f>'DOE25'!H504</f>
        <v>0</v>
      </c>
      <c r="E164" s="19">
        <f>'DOE25'!I504</f>
        <v>0</v>
      </c>
      <c r="F164" s="19">
        <f>'DOE25'!J504</f>
        <v>0</v>
      </c>
      <c r="G164" s="96">
        <f t="shared" si="8"/>
        <v>1331363.3500000001</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Bow</v>
      </c>
    </row>
    <row r="3" spans="1:4" x14ac:dyDescent="0.2">
      <c r="B3" s="136" t="s">
        <v>1792</v>
      </c>
    </row>
    <row r="4" spans="1:4" x14ac:dyDescent="0.2">
      <c r="B4" t="s">
        <v>61</v>
      </c>
      <c r="C4" s="128">
        <f>IF('DOE25'!F666+'DOE25'!F671=0,0,ROUND('DOE25'!F673,0))</f>
        <v>17685</v>
      </c>
    </row>
    <row r="5" spans="1:4" x14ac:dyDescent="0.2">
      <c r="B5" t="s">
        <v>700</v>
      </c>
      <c r="C5" s="128">
        <f>IF('DOE25'!G666+'DOE25'!G671=0,0,ROUND('DOE25'!G673,0))</f>
        <v>17149</v>
      </c>
    </row>
    <row r="6" spans="1:4" x14ac:dyDescent="0.2">
      <c r="B6" t="s">
        <v>62</v>
      </c>
      <c r="C6" s="128">
        <f>IF('DOE25'!H666+'DOE25'!H671=0,0,ROUND('DOE25'!H673,0))</f>
        <v>20187</v>
      </c>
    </row>
    <row r="7" spans="1:4" x14ac:dyDescent="0.2">
      <c r="B7" t="s">
        <v>701</v>
      </c>
      <c r="C7" s="128">
        <f>IF('DOE25'!I666+'DOE25'!I671=0,0,ROUND('DOE25'!I673,0))</f>
        <v>18395</v>
      </c>
    </row>
    <row r="9" spans="1:4" x14ac:dyDescent="0.2">
      <c r="A9" s="135" t="s">
        <v>94</v>
      </c>
      <c r="B9" s="136" t="s">
        <v>1793</v>
      </c>
      <c r="C9" s="130" t="s">
        <v>720</v>
      </c>
      <c r="D9" s="130" t="s">
        <v>721</v>
      </c>
    </row>
    <row r="10" spans="1:4" x14ac:dyDescent="0.2">
      <c r="A10">
        <v>1100</v>
      </c>
      <c r="B10" t="s">
        <v>702</v>
      </c>
      <c r="C10" s="128">
        <f>ROUND('DOE25'!L198+'DOE25'!L216+'DOE25'!L234+'DOE25'!L277+'DOE25'!L296+'DOE25'!L315,0)</f>
        <v>13963757</v>
      </c>
      <c r="D10" s="131">
        <f>ROUND((C10/$C$28)*100,1)</f>
        <v>41.3</v>
      </c>
    </row>
    <row r="11" spans="1:4" x14ac:dyDescent="0.2">
      <c r="A11">
        <v>1200</v>
      </c>
      <c r="B11" t="s">
        <v>703</v>
      </c>
      <c r="C11" s="128">
        <f>ROUND('DOE25'!L199+'DOE25'!L217+'DOE25'!L235+'DOE25'!L278+'DOE25'!L297+'DOE25'!L316,0)</f>
        <v>6483138</v>
      </c>
      <c r="D11" s="131">
        <f>ROUND((C11/$C$28)*100,1)</f>
        <v>19.2</v>
      </c>
    </row>
    <row r="12" spans="1:4" x14ac:dyDescent="0.2">
      <c r="A12">
        <v>1300</v>
      </c>
      <c r="B12" t="s">
        <v>704</v>
      </c>
      <c r="C12" s="128">
        <f>ROUND('DOE25'!L200+'DOE25'!L218+'DOE25'!L236+'DOE25'!L279+'DOE25'!L298+'DOE25'!L317,0)</f>
        <v>353739</v>
      </c>
      <c r="D12" s="131">
        <f>ROUND((C12/$C$28)*100,1)</f>
        <v>1</v>
      </c>
    </row>
    <row r="13" spans="1:4" x14ac:dyDescent="0.2">
      <c r="A13">
        <v>1400</v>
      </c>
      <c r="B13" t="s">
        <v>705</v>
      </c>
      <c r="C13" s="128">
        <f>ROUND('DOE25'!L201+'DOE25'!L219+'DOE25'!L237+'DOE25'!L280+'DOE25'!L299+'DOE25'!L318,0)</f>
        <v>875569</v>
      </c>
      <c r="D13" s="131">
        <f>ROUND((C13/$C$28)*100,1)</f>
        <v>2.6</v>
      </c>
    </row>
    <row r="14" spans="1:4" x14ac:dyDescent="0.2">
      <c r="D14" s="131"/>
    </row>
    <row r="15" spans="1:4" x14ac:dyDescent="0.2">
      <c r="A15">
        <v>2100</v>
      </c>
      <c r="B15" t="s">
        <v>706</v>
      </c>
      <c r="C15" s="128">
        <f>ROUND('DOE25'!L203+'DOE25'!L221+'DOE25'!L239+'DOE25'!L282+'DOE25'!L301+'DOE25'!L320,0)</f>
        <v>2948518</v>
      </c>
      <c r="D15" s="131">
        <f t="shared" ref="D15:D27" si="0">ROUND((C15/$C$28)*100,1)</f>
        <v>8.6999999999999993</v>
      </c>
    </row>
    <row r="16" spans="1:4" x14ac:dyDescent="0.2">
      <c r="A16">
        <v>2200</v>
      </c>
      <c r="B16" t="s">
        <v>707</v>
      </c>
      <c r="C16" s="128">
        <f>ROUND('DOE25'!L204+'DOE25'!L222+'DOE25'!L240+'DOE25'!L283+'DOE25'!L302+'DOE25'!L321,0)</f>
        <v>1706382</v>
      </c>
      <c r="D16" s="131">
        <f t="shared" si="0"/>
        <v>5</v>
      </c>
    </row>
    <row r="17" spans="1:4" x14ac:dyDescent="0.2">
      <c r="A17" s="132" t="s">
        <v>723</v>
      </c>
      <c r="B17" t="s">
        <v>738</v>
      </c>
      <c r="C17" s="128">
        <f>ROUND('DOE25'!L205+'DOE25'!L210+'DOE25'!L223+'DOE25'!L228+'DOE25'!L241+'DOE25'!L246+'DOE25'!L284+'DOE25'!L289+'DOE25'!L303+'DOE25'!L308+'DOE25'!L322+'DOE25'!L327,0)</f>
        <v>1227776</v>
      </c>
      <c r="D17" s="131">
        <f t="shared" si="0"/>
        <v>3.6</v>
      </c>
    </row>
    <row r="18" spans="1:4" x14ac:dyDescent="0.2">
      <c r="A18">
        <v>2400</v>
      </c>
      <c r="B18" t="s">
        <v>711</v>
      </c>
      <c r="C18" s="128">
        <f>ROUND('DOE25'!L206+'DOE25'!L224+'DOE25'!L242+'DOE25'!L285+'DOE25'!L304+'DOE25'!L323,0)</f>
        <v>1563767</v>
      </c>
      <c r="D18" s="131">
        <f t="shared" si="0"/>
        <v>4.5999999999999996</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2582869</v>
      </c>
      <c r="D20" s="131">
        <f t="shared" si="0"/>
        <v>7.6</v>
      </c>
    </row>
    <row r="21" spans="1:4" x14ac:dyDescent="0.2">
      <c r="A21">
        <v>2700</v>
      </c>
      <c r="B21" t="s">
        <v>710</v>
      </c>
      <c r="C21" s="128">
        <f>ROUND('DOE25'!L209+'DOE25'!L227+'DOE25'!L245+'DOE25'!L288+'DOE25'!L307+'DOE25'!L326,0)</f>
        <v>1444206</v>
      </c>
      <c r="D21" s="131">
        <f t="shared" si="0"/>
        <v>4.3</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318762</v>
      </c>
      <c r="D25" s="131">
        <f t="shared" si="0"/>
        <v>0.9</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322330.54000000015</v>
      </c>
      <c r="D27" s="131">
        <f t="shared" si="0"/>
        <v>1</v>
      </c>
    </row>
    <row r="28" spans="1:4" x14ac:dyDescent="0.2">
      <c r="B28" s="135" t="s">
        <v>719</v>
      </c>
      <c r="C28" s="129">
        <f>SUM(C10:C27)</f>
        <v>33790813.539999999</v>
      </c>
      <c r="D28" s="133">
        <f>ROUND(SUM(D10:D27),0)</f>
        <v>100</v>
      </c>
    </row>
    <row r="29" spans="1:4" x14ac:dyDescent="0.2">
      <c r="A29">
        <v>4000</v>
      </c>
      <c r="B29" t="s">
        <v>724</v>
      </c>
      <c r="C29" s="128">
        <f>ROUND('DOE25'!L256+'DOE25'!L337+'DOE25'!L375+'DOE25'!L376+'DOE25'!L377+'DOE25'!L378+'DOE25'!L379+'DOE25'!L380+'DOE25'!L381,0)</f>
        <v>3776103</v>
      </c>
    </row>
    <row r="30" spans="1:4" x14ac:dyDescent="0.2">
      <c r="B30" s="135" t="s">
        <v>725</v>
      </c>
      <c r="C30" s="129">
        <f>SUM(C28:C29)</f>
        <v>37566916.539999999</v>
      </c>
    </row>
    <row r="31" spans="1:4" x14ac:dyDescent="0.2">
      <c r="B31" s="32"/>
      <c r="C31" s="129"/>
    </row>
    <row r="32" spans="1:4" x14ac:dyDescent="0.2">
      <c r="A32">
        <v>5100</v>
      </c>
      <c r="B32" s="32" t="s">
        <v>726</v>
      </c>
      <c r="C32" s="129">
        <f>ROUND('DOE25'!L261+'DOE25'!L342,0)</f>
        <v>200000</v>
      </c>
    </row>
    <row r="34" spans="1:4" x14ac:dyDescent="0.2">
      <c r="A34" s="135" t="s">
        <v>94</v>
      </c>
      <c r="B34" s="136" t="s">
        <v>1794</v>
      </c>
      <c r="C34" s="130" t="s">
        <v>720</v>
      </c>
      <c r="D34" s="130" t="s">
        <v>721</v>
      </c>
    </row>
    <row r="35" spans="1:4" x14ac:dyDescent="0.2">
      <c r="A35">
        <v>1100</v>
      </c>
      <c r="B35" s="71" t="s">
        <v>727</v>
      </c>
      <c r="C35" s="128">
        <f>ROUND('DOE25'!F60+'DOE25'!G60+'DOE25'!H60+'DOE25'!I60+'DOE25'!J60,0)</f>
        <v>21752114</v>
      </c>
      <c r="D35" s="131">
        <f t="shared" ref="D35:D40" si="1">ROUND((C35/$C$41)*100,1)</f>
        <v>61.7</v>
      </c>
    </row>
    <row r="36" spans="1:4" x14ac:dyDescent="0.2">
      <c r="B36" s="71" t="s">
        <v>739</v>
      </c>
      <c r="C36" s="128">
        <f>SUM('DOE25'!F112:J112)-SUM('DOE25'!G97:G110)+('DOE25'!F175+'DOE25'!F176+'DOE25'!I175+'DOE25'!I176)-C35</f>
        <v>5157961.1000000015</v>
      </c>
      <c r="D36" s="131">
        <f t="shared" si="1"/>
        <v>14.6</v>
      </c>
    </row>
    <row r="37" spans="1:4" x14ac:dyDescent="0.2">
      <c r="A37" s="132" t="s">
        <v>831</v>
      </c>
      <c r="B37" s="71" t="s">
        <v>728</v>
      </c>
      <c r="C37" s="128">
        <f>ROUND('DOE25'!F117+'DOE25'!F118,0)</f>
        <v>6605616</v>
      </c>
      <c r="D37" s="131">
        <f t="shared" si="1"/>
        <v>18.7</v>
      </c>
    </row>
    <row r="38" spans="1:4" x14ac:dyDescent="0.2">
      <c r="A38" s="132" t="s">
        <v>734</v>
      </c>
      <c r="B38" s="71" t="s">
        <v>729</v>
      </c>
      <c r="C38" s="128">
        <f>ROUND(SUM('DOE25'!F140:J140)-SUM('DOE25'!F117:F119),0)</f>
        <v>638765</v>
      </c>
      <c r="D38" s="131">
        <f t="shared" si="1"/>
        <v>1.8</v>
      </c>
    </row>
    <row r="39" spans="1:4" x14ac:dyDescent="0.2">
      <c r="A39">
        <v>4000</v>
      </c>
      <c r="B39" s="71" t="s">
        <v>730</v>
      </c>
      <c r="C39" s="128">
        <f>ROUND('DOE25'!F170+'DOE25'!G170+'DOE25'!H170+'DOE25'!I170,0)</f>
        <v>1102264</v>
      </c>
      <c r="D39" s="131">
        <f t="shared" si="1"/>
        <v>3.1</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35256720.100000001</v>
      </c>
      <c r="D41" s="133">
        <f>SUM(D35:D40)</f>
        <v>99.899999999999991</v>
      </c>
    </row>
    <row r="42" spans="1:4" x14ac:dyDescent="0.2">
      <c r="A42" s="132" t="s">
        <v>737</v>
      </c>
      <c r="B42" s="71" t="s">
        <v>733</v>
      </c>
      <c r="C42" s="128">
        <f>ROUND('DOE25'!F174+'DOE25'!I174+'DOE25'!F177+'DOE25'!I177,0)</f>
        <v>12400000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Bow</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c r="D4" s="332"/>
      <c r="E4" s="332"/>
      <c r="F4" s="332"/>
      <c r="G4" s="332"/>
      <c r="H4" s="332"/>
      <c r="I4" s="332"/>
      <c r="J4" s="332"/>
      <c r="K4" s="332"/>
      <c r="L4" s="332"/>
      <c r="M4" s="334"/>
    </row>
    <row r="5" spans="1:13" x14ac:dyDescent="0.2">
      <c r="A5" s="158"/>
      <c r="B5" s="149"/>
      <c r="C5" s="332"/>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29</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IFERROR(SMALL($T$4:$T$75,ROWS($T$4:T4)),"")</f>
        <v>8</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IFERROR(SMALL(AE4:$AE$100,ROWS($AE$4:AE4)),"")</f>
        <v>8</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IFERROR(SMALL($I$4:$I$325,ROWS($I$4:I5)),"")</f>
        <v>30</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f>IF('School Level Expenditures'!$B$2='School Tables'!L11,'School Tables'!S11,"")</f>
        <v>8</v>
      </c>
      <c r="U11" s="281" t="str">
        <f>IFERROR(SMALL($T$4:$T$75,ROWS($T$4:T11)),"")</f>
        <v/>
      </c>
      <c r="V11" s="256" t="b">
        <f t="shared" si="1"/>
        <v>0</v>
      </c>
      <c r="W11">
        <v>57</v>
      </c>
      <c r="X11" t="s">
        <v>934</v>
      </c>
      <c r="Y11" t="s">
        <v>937</v>
      </c>
      <c r="Z11">
        <v>27375</v>
      </c>
      <c r="AA11" t="s">
        <v>1518</v>
      </c>
      <c r="AB11">
        <v>67</v>
      </c>
      <c r="AC11" t="s">
        <v>1650</v>
      </c>
      <c r="AD11" s="281">
        <f>ROWS($AC$4:AC11)</f>
        <v>8</v>
      </c>
      <c r="AE11" s="281">
        <f>IF('School Level Expenditures'!$B$2='School Tables'!W11,'School Tables'!AD11,"")</f>
        <v>8</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f>IF('School Level Expenditures'!$B$2=A32,'School Tables'!H32,"")</f>
        <v>29</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f>IF('School Level Expenditures'!$B$2=A33,'School Tables'!H33,"")</f>
        <v>30</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2024-12-20T18:37:26Z</dcterms:modified>
</cp:coreProperties>
</file>