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A421FA0-A367-48FD-A9B1-F3D41CE92DFC}"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27" i="1" l="1"/>
  <c r="H522" i="1"/>
  <c r="H534" i="1"/>
  <c r="H532" i="1"/>
  <c r="L39" i="14"/>
  <c r="K39" i="14"/>
  <c r="L5" i="14"/>
  <c r="K5" i="14"/>
  <c r="D39" i="14"/>
  <c r="D5" i="14"/>
  <c r="E39" i="14"/>
  <c r="E5" i="14"/>
  <c r="H278" i="1"/>
  <c r="H316" i="1"/>
  <c r="H282" i="1"/>
  <c r="H159" i="1"/>
  <c r="H22" i="1"/>
  <c r="H13" i="1"/>
  <c r="H24" i="1"/>
  <c r="H473" i="1"/>
  <c r="H469" i="1"/>
  <c r="F469" i="1"/>
  <c r="J469" i="1" l="1"/>
  <c r="H586" i="1"/>
  <c r="H577" i="1"/>
  <c r="H576" i="1"/>
  <c r="F576" i="1"/>
  <c r="G460" i="1"/>
  <c r="H529" i="1"/>
  <c r="K522" i="1"/>
  <c r="H245" i="1"/>
  <c r="K241" i="1"/>
  <c r="I241" i="1"/>
  <c r="H241" i="1"/>
  <c r="G241" i="1"/>
  <c r="F241" i="1"/>
  <c r="K205" i="1"/>
  <c r="I205" i="1"/>
  <c r="H205" i="1"/>
  <c r="G205" i="1"/>
  <c r="F205" i="1"/>
  <c r="H239" i="1"/>
  <c r="H203" i="1"/>
  <c r="H236" i="1"/>
  <c r="K199" i="1"/>
  <c r="H199" i="1"/>
  <c r="H234" i="1"/>
  <c r="H198" i="1"/>
  <c r="F28" i="1"/>
  <c r="F24" i="1"/>
  <c r="F23"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P2" i="14"/>
  <c r="O2" i="14"/>
  <c r="Q45" i="14"/>
  <c r="P45" i="14"/>
  <c r="O45" i="14"/>
  <c r="N45" i="14"/>
  <c r="M45" i="14"/>
  <c r="L45" i="14"/>
  <c r="K45" i="14"/>
  <c r="Q34" i="14"/>
  <c r="P34" i="14"/>
  <c r="O34" i="14"/>
  <c r="N34" i="14"/>
  <c r="M34" i="14"/>
  <c r="L34" i="14"/>
  <c r="K34" i="14"/>
  <c r="Q21" i="14"/>
  <c r="P21" i="14"/>
  <c r="O21" i="14"/>
  <c r="N21" i="14"/>
  <c r="M21" i="14"/>
  <c r="L21" i="14"/>
  <c r="K21" i="14"/>
  <c r="I662" i="1"/>
  <c r="C2" i="1"/>
  <c r="B2" i="1"/>
  <c r="P3" i="14" l="1"/>
  <c r="O3" i="14"/>
  <c r="G42" i="13"/>
  <c r="H135" i="2"/>
  <c r="H136" i="2"/>
  <c r="H143" i="2"/>
  <c r="H134" i="2"/>
  <c r="H132" i="2"/>
  <c r="H131" i="2"/>
  <c r="H127" i="2"/>
  <c r="H122" i="2"/>
  <c r="H123" i="2"/>
  <c r="H125" i="2"/>
  <c r="H112" i="2"/>
  <c r="H113" i="2"/>
  <c r="H114" i="2"/>
  <c r="H97" i="2"/>
  <c r="H98" i="2"/>
  <c r="H99" i="2"/>
  <c r="H101" i="2"/>
  <c r="H102" i="2"/>
  <c r="H94" i="2"/>
  <c r="H93" i="2"/>
  <c r="H89" i="2"/>
  <c r="H90" i="2"/>
  <c r="H87" i="2"/>
  <c r="H85" i="2"/>
  <c r="H73" i="2"/>
  <c r="H74" i="2"/>
  <c r="H75" i="2"/>
  <c r="H77" i="2"/>
  <c r="H79" i="2"/>
  <c r="H80" i="2"/>
  <c r="H72" i="2"/>
  <c r="H57" i="2"/>
  <c r="H58" i="2"/>
  <c r="H60" i="2"/>
  <c r="H61" i="2"/>
  <c r="H48" i="2"/>
  <c r="H43" i="2"/>
  <c r="H44" i="2"/>
  <c r="H42" i="2"/>
  <c r="H40" i="2"/>
  <c r="H39" i="2"/>
  <c r="H38" i="2"/>
  <c r="H36" i="2"/>
  <c r="H35" i="2"/>
  <c r="H34" i="2"/>
  <c r="H24" i="2"/>
  <c r="H25" i="2"/>
  <c r="H26" i="2"/>
  <c r="H28" i="2"/>
  <c r="H29" i="2"/>
  <c r="H30" i="2"/>
  <c r="H9" i="2"/>
  <c r="H10" i="2"/>
  <c r="H11"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H88" i="2" s="1"/>
  <c r="D88" i="2"/>
  <c r="C88" i="2"/>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J652" i="1" s="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G62" i="2" s="1"/>
  <c r="H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H21" i="2" s="1"/>
  <c r="F21" i="2"/>
  <c r="I449" i="1"/>
  <c r="J22" i="1" s="1"/>
  <c r="C22" i="2"/>
  <c r="H22" i="2" s="1"/>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C61" i="2"/>
  <c r="D61" i="2"/>
  <c r="E61" i="2"/>
  <c r="F61" i="2"/>
  <c r="C66" i="2"/>
  <c r="H66" i="2" s="1"/>
  <c r="C67" i="2"/>
  <c r="H67" i="2" s="1"/>
  <c r="C69" i="2"/>
  <c r="H69" i="2" s="1"/>
  <c r="D69" i="2"/>
  <c r="D70" i="2" s="1"/>
  <c r="E69" i="2"/>
  <c r="E70" i="2" s="1"/>
  <c r="F69" i="2"/>
  <c r="F70" i="2" s="1"/>
  <c r="G69" i="2"/>
  <c r="G70" i="2" s="1"/>
  <c r="C72" i="2"/>
  <c r="F72" i="2"/>
  <c r="C73" i="2"/>
  <c r="F73" i="2"/>
  <c r="C74" i="2"/>
  <c r="C75" i="2"/>
  <c r="C76" i="2"/>
  <c r="H76" i="2" s="1"/>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H653" i="1"/>
  <c r="G654" i="1"/>
  <c r="H654" i="1"/>
  <c r="H655" i="1"/>
  <c r="H656" i="1"/>
  <c r="I170" i="1"/>
  <c r="H23" i="2" l="1"/>
  <c r="H12" i="2"/>
  <c r="H477" i="1"/>
  <c r="H625" i="1" s="1"/>
  <c r="G646" i="1"/>
  <c r="J646" i="1" s="1"/>
  <c r="G409" i="1"/>
  <c r="H646" i="1" s="1"/>
  <c r="H8" i="2"/>
  <c r="D15" i="13"/>
  <c r="C15" i="13" s="1"/>
  <c r="C120" i="2"/>
  <c r="H120" i="2" s="1"/>
  <c r="C12" i="10"/>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H31" i="2"/>
  <c r="H50" i="2"/>
  <c r="H18" i="2"/>
  <c r="F194" i="1"/>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<sst xmlns="http://schemas.openxmlformats.org/spreadsheetml/2006/main" count="6640" uniqueCount="1841">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</sst>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1" sqref="H67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1742</v>
      </c>
      <c r="B2">
        <f>INDEX('School Tables'!$AH$3:$AH$213,MATCH('DOE25'!A2,'School Tables'!$AJ$3:$AJ$213,0))</f>
        <v>103</v>
      </c>
      <c r="C2">
        <f>INDEX('School Tables'!$AI$3:$AI$213,MATCH('DOE25'!A2,'School Tables'!$AJ$3:$AJ$213,0))</f>
        <v>103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111573.26</v>
      </c>
      <c r="G9" s="18"/>
      <c r="H9" s="18"/>
      <c r="I9" s="18"/>
      <c r="J9" s="13">
        <f>SUM(I440)</f>
        <v>117324.03</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2666.68</v>
      </c>
      <c r="G13" s="18"/>
      <c r="H13" s="18">
        <f>2955+611.68</f>
        <v>3566.68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114239.93999999999</v>
      </c>
      <c r="G19" s="38">
        <f>SUM(G9:G18)</f>
        <v>0</v>
      </c>
      <c r="H19" s="38">
        <f>SUM(H9:H18)</f>
        <v>3566.68</v>
      </c>
      <c r="I19" s="38">
        <f>SUM(I9:I18)</f>
        <v>0</v>
      </c>
      <c r="J19" s="38">
        <f>SUM(J9:J18)</f>
        <v>117324.03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f>2055+611.68</f>
        <v>2666.68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f>18494.29-54.72-30.78-324.36-182.45</f>
        <v>17901.98</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54.72+30.78+324.36+182.45</f>
        <v>592.30999999999995</v>
      </c>
      <c r="G24" s="18"/>
      <c r="H24" s="18">
        <f>900</f>
        <v>900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400+30.6</f>
        <v>430.6</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18924.89</v>
      </c>
      <c r="G32" s="38">
        <f>SUM(G22:G31)</f>
        <v>0</v>
      </c>
      <c r="H32" s="38">
        <f>SUM(H22:H31)</f>
        <v>3566.68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25216.85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117324.03</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70098.2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95315.049999999988</v>
      </c>
      <c r="G51" s="38">
        <f>SUM(G35:G50)</f>
        <v>0</v>
      </c>
      <c r="H51" s="38">
        <f>SUM(H35:H50)</f>
        <v>0</v>
      </c>
      <c r="I51" s="38">
        <f>SUM(I35:I50)</f>
        <v>0</v>
      </c>
      <c r="J51" s="38">
        <f>SUM(J35:J50)</f>
        <v>117324.03</v>
      </c>
      <c r="K51" s="42" t="s">
        <v>288</v>
      </c>
      <c r="L51" s="42" t="s">
        <v>288</v>
      </c>
      <c r="N51" s="130"/>
    </row>
    <row r="52" spans="1:14" s="3" customFormat="1" ht="12.2" customHeight="1" thickTop="1" x14ac:dyDescent="0.15">
      <c r="A52" s="35" t="s">
        <v>455</v>
      </c>
      <c r="B52" s="36" t="s">
        <v>289</v>
      </c>
      <c r="C52" s="6">
        <v>37</v>
      </c>
      <c r="D52" s="36" t="s">
        <v>653</v>
      </c>
      <c r="E52" s="36"/>
      <c r="F52" s="38">
        <f>F51+F32</f>
        <v>114239.93999999999</v>
      </c>
      <c r="G52" s="38">
        <f>G51+G32</f>
        <v>0</v>
      </c>
      <c r="H52" s="38">
        <f>H51+H32</f>
        <v>3566.68</v>
      </c>
      <c r="I52" s="38">
        <f>I51+I32</f>
        <v>0</v>
      </c>
      <c r="J52" s="38">
        <f>J51+J32</f>
        <v>117324.03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386465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386465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v>818.86</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818.86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386465</v>
      </c>
      <c r="G112" s="38">
        <f>G60+G111</f>
        <v>0</v>
      </c>
      <c r="H112" s="38">
        <f>H60+H79+H94+H111</f>
        <v>0</v>
      </c>
      <c r="I112" s="38">
        <f>I60+I111</f>
        <v>0</v>
      </c>
      <c r="J112" s="38">
        <f>J60+J111</f>
        <v>818.86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792.61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117872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1349.14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120013.75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3314.48</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770</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4084.48</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124098.23</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4842.5+611.68</f>
        <v>5454.18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5454.18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5454.18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40000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40000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t="s">
        <v>286</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40000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510563.23</v>
      </c>
      <c r="G194" s="38">
        <f>G112+G140+G170+G193</f>
        <v>0</v>
      </c>
      <c r="H194" s="38">
        <f>H112+H140+H170+H193</f>
        <v>5454.18</v>
      </c>
      <c r="I194" s="38">
        <f>I112+I140+I170+I193</f>
        <v>0</v>
      </c>
      <c r="J194" s="38">
        <f>J112+J140+J193</f>
        <v>40818.86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f>331715.5</f>
        <v>331715.5</v>
      </c>
      <c r="I198" s="18"/>
      <c r="J198" s="18"/>
      <c r="K198" s="18"/>
      <c r="L198" s="13">
        <f>SUM(F198:K198)</f>
        <v>331715.5</v>
      </c>
      <c r="M198" s="8"/>
      <c r="N198" s="164"/>
    </row>
    <row r="199" spans="1:14" s="3" customFormat="1" ht="12.2" customHeight="1" x14ac:dyDescent="0.15">
      <c r="A199" s="1" t="s">
        <v>439</v>
      </c>
      <c r="B199" s="2" t="s">
        <v>341</v>
      </c>
      <c r="C199" s="2" t="s">
        <v>291</v>
      </c>
      <c r="D199" s="2" t="s">
        <v>431</v>
      </c>
      <c r="E199" s="6">
        <v>1200</v>
      </c>
      <c r="F199" s="18"/>
      <c r="G199" s="18"/>
      <c r="H199" s="18">
        <f>9135.6</f>
        <v>9135.6</v>
      </c>
      <c r="I199" s="18"/>
      <c r="J199" s="18"/>
      <c r="K199" s="18">
        <f>22768.68</f>
        <v>22768.68</v>
      </c>
      <c r="L199" s="13">
        <f>SUM(F199:K199)</f>
        <v>31904.28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f>2308.51</f>
        <v>2308.5100000000002</v>
      </c>
      <c r="I203" s="18"/>
      <c r="J203" s="18"/>
      <c r="K203" s="18"/>
      <c r="L203" s="13">
        <f t="shared" ref="L203:L209" si="0">SUM(F203:K203)</f>
        <v>2308.5100000000002</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f>1950</f>
        <v>1950</v>
      </c>
      <c r="G205" s="18">
        <f>441.35</f>
        <v>441.35</v>
      </c>
      <c r="H205" s="18">
        <f>31720.73+2350.43</f>
        <v>34071.159999999996</v>
      </c>
      <c r="I205" s="18">
        <f>30.17</f>
        <v>30.17</v>
      </c>
      <c r="J205" s="18"/>
      <c r="K205" s="18">
        <f>1116.03</f>
        <v>1116.03</v>
      </c>
      <c r="L205" s="13">
        <f t="shared" si="0"/>
        <v>37608.709999999992</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v>31479.98</v>
      </c>
      <c r="I209" s="18"/>
      <c r="J209" s="18"/>
      <c r="K209" s="18"/>
      <c r="L209" s="13">
        <f t="shared" si="0"/>
        <v>31479.98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1950</v>
      </c>
      <c r="G212" s="38">
        <f t="shared" si="1"/>
        <v>441.35</v>
      </c>
      <c r="H212" s="38">
        <f t="shared" si="1"/>
        <v>408710.74999999994</v>
      </c>
      <c r="I212" s="38">
        <f t="shared" si="1"/>
        <v>30.17</v>
      </c>
      <c r="J212" s="38">
        <f t="shared" si="1"/>
        <v>0</v>
      </c>
      <c r="K212" s="38">
        <f t="shared" si="1"/>
        <v>23884.71</v>
      </c>
      <c r="L212" s="38">
        <f t="shared" si="1"/>
        <v>435016.98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55665.92</f>
        <v>55665.919999999998</v>
      </c>
      <c r="I234" s="18"/>
      <c r="J234" s="18"/>
      <c r="K234" s="18"/>
      <c r="L234" s="13">
        <f>SUM(F234:K234)</f>
        <v>55665.919999999998</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f>11000</f>
        <v>11000</v>
      </c>
      <c r="I236" s="18"/>
      <c r="J236" s="18"/>
      <c r="K236" s="18"/>
      <c r="L236" s="13">
        <f>SUM(F236:K236)</f>
        <v>11000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f>359.28</f>
        <v>359.28</v>
      </c>
      <c r="I239" s="18"/>
      <c r="J239" s="18"/>
      <c r="K239" s="18"/>
      <c r="L239" s="13">
        <f t="shared" ref="L239:L245" si="4">SUM(F239:K239)</f>
        <v>359.28</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f>1050</f>
        <v>1050</v>
      </c>
      <c r="G241" s="18">
        <f>188.17</f>
        <v>188.17</v>
      </c>
      <c r="H241" s="18">
        <f>17842.9+1322.12</f>
        <v>19165.02</v>
      </c>
      <c r="I241" s="18">
        <f>19.41</f>
        <v>19.41</v>
      </c>
      <c r="J241" s="18"/>
      <c r="K241" s="18">
        <f>627.76</f>
        <v>627.76</v>
      </c>
      <c r="L241" s="13">
        <f t="shared" si="4"/>
        <v>21050.36</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18015.37</f>
        <v>18015.37</v>
      </c>
      <c r="I245" s="18"/>
      <c r="J245" s="18"/>
      <c r="K245" s="18"/>
      <c r="L245" s="13">
        <f t="shared" si="4"/>
        <v>18015.37</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1050</v>
      </c>
      <c r="G248" s="38">
        <f t="shared" si="5"/>
        <v>188.17</v>
      </c>
      <c r="H248" s="38">
        <f t="shared" si="5"/>
        <v>104205.59</v>
      </c>
      <c r="I248" s="38">
        <f t="shared" si="5"/>
        <v>19.41</v>
      </c>
      <c r="J248" s="38">
        <f t="shared" si="5"/>
        <v>0</v>
      </c>
      <c r="K248" s="38">
        <f t="shared" si="5"/>
        <v>627.76</v>
      </c>
      <c r="L248" s="38">
        <f t="shared" si="5"/>
        <v>106090.93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3000</v>
      </c>
      <c r="G258" s="38">
        <f t="shared" si="8"/>
        <v>629.52</v>
      </c>
      <c r="H258" s="38">
        <f t="shared" si="8"/>
        <v>512916.33999999997</v>
      </c>
      <c r="I258" s="38">
        <f t="shared" si="8"/>
        <v>49.58</v>
      </c>
      <c r="J258" s="38">
        <f t="shared" si="8"/>
        <v>0</v>
      </c>
      <c r="K258" s="38">
        <f t="shared" si="8"/>
        <v>24512.469999999998</v>
      </c>
      <c r="L258" s="38">
        <f t="shared" si="8"/>
        <v>541107.90999999992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40000</v>
      </c>
      <c r="L267" s="13">
        <f t="shared" si="9"/>
        <v>40000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5743.92</v>
      </c>
      <c r="L269" s="13">
        <f t="shared" si="9"/>
        <v>5743.92</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45743.92</v>
      </c>
      <c r="L271" s="38">
        <f t="shared" si="9"/>
        <v>45743.92</v>
      </c>
      <c r="M271" s="8"/>
      <c r="N271" s="164"/>
    </row>
    <row r="272" spans="1:14" s="33" customFormat="1" ht="12.2" customHeight="1" thickTop="1" x14ac:dyDescent="0.2">
      <c r="A272" s="40" t="s">
        <v>464</v>
      </c>
      <c r="B272" s="37">
        <v>10</v>
      </c>
      <c r="C272" s="37">
        <v>18</v>
      </c>
      <c r="D272" s="36" t="s">
        <v>431</v>
      </c>
      <c r="E272" s="37"/>
      <c r="F272" s="39">
        <f t="shared" ref="F272:L272" si="11">F258+F271</f>
        <v>3000</v>
      </c>
      <c r="G272" s="39">
        <f t="shared" si="11"/>
        <v>629.52</v>
      </c>
      <c r="H272" s="39">
        <f t="shared" si="11"/>
        <v>512916.33999999997</v>
      </c>
      <c r="I272" s="39">
        <f t="shared" si="11"/>
        <v>49.58</v>
      </c>
      <c r="J272" s="39">
        <f t="shared" si="11"/>
        <v>0</v>
      </c>
      <c r="K272" s="39">
        <f t="shared" si="11"/>
        <v>70256.39</v>
      </c>
      <c r="L272" s="39">
        <f t="shared" si="11"/>
        <v>586851.82999999996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f>500</f>
        <v>500</v>
      </c>
      <c r="I278" s="18"/>
      <c r="J278" s="18"/>
      <c r="K278" s="18"/>
      <c r="L278" s="13">
        <f>SUM(F278:K278)</f>
        <v>500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167.5+3675+611.68</f>
        <v>4454.18</v>
      </c>
      <c r="I282" s="18"/>
      <c r="J282" s="18"/>
      <c r="K282" s="18"/>
      <c r="L282" s="13">
        <f t="shared" ref="L282:L288" si="12">SUM(F282:K282)</f>
        <v>4454.18</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4954.18</v>
      </c>
      <c r="I291" s="39">
        <f t="shared" si="13"/>
        <v>0</v>
      </c>
      <c r="J291" s="39">
        <f t="shared" si="13"/>
        <v>0</v>
      </c>
      <c r="K291" s="39">
        <f t="shared" si="13"/>
        <v>0</v>
      </c>
      <c r="L291" s="38">
        <f t="shared" si="13"/>
        <v>4954.18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f>500</f>
        <v>500</v>
      </c>
      <c r="I316" s="18"/>
      <c r="J316" s="18"/>
      <c r="K316" s="18"/>
      <c r="L316" s="13">
        <f>SUM(F316:K316)</f>
        <v>500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500</v>
      </c>
      <c r="I329" s="39">
        <f t="shared" si="17"/>
        <v>0</v>
      </c>
      <c r="J329" s="39">
        <f t="shared" si="17"/>
        <v>0</v>
      </c>
      <c r="K329" s="39">
        <f t="shared" si="17"/>
        <v>0</v>
      </c>
      <c r="L329" s="38">
        <f t="shared" si="17"/>
        <v>500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5454.18</v>
      </c>
      <c r="I339" s="38">
        <f t="shared" si="20"/>
        <v>0</v>
      </c>
      <c r="J339" s="38">
        <f t="shared" si="20"/>
        <v>0</v>
      </c>
      <c r="K339" s="38">
        <f t="shared" si="20"/>
        <v>0</v>
      </c>
      <c r="L339" s="38">
        <f t="shared" si="20"/>
        <v>5454.18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5454.18</v>
      </c>
      <c r="I353" s="38">
        <f>I339</f>
        <v>0</v>
      </c>
      <c r="J353" s="38">
        <f>J339</f>
        <v>0</v>
      </c>
      <c r="K353" s="38">
        <f>K339+K352</f>
        <v>0</v>
      </c>
      <c r="L353" s="38">
        <f>L339+L352</f>
        <v>5454.18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v>40000</v>
      </c>
      <c r="H399" s="18">
        <v>818.86</v>
      </c>
      <c r="I399" s="18"/>
      <c r="J399" s="23" t="s">
        <v>288</v>
      </c>
      <c r="K399" s="23" t="s">
        <v>288</v>
      </c>
      <c r="L399" s="13">
        <f t="shared" si="26"/>
        <v>40818.86</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40000</v>
      </c>
      <c r="H402" s="38">
        <f>SUM(H396:H401)</f>
        <v>818.86</v>
      </c>
      <c r="I402" s="38">
        <f>SUM(I396:I401)</f>
        <v>0</v>
      </c>
      <c r="J402" s="42" t="s">
        <v>288</v>
      </c>
      <c r="K402" s="42" t="s">
        <v>288</v>
      </c>
      <c r="L402" s="38">
        <f>SUM(L396:L401)</f>
        <v>40818.86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40000</v>
      </c>
      <c r="H409" s="38">
        <f>H394+H402+H408</f>
        <v>818.86</v>
      </c>
      <c r="I409" s="38">
        <f>I394+I402+I408</f>
        <v>0</v>
      </c>
      <c r="J409" s="23" t="s">
        <v>288</v>
      </c>
      <c r="K409" s="23" t="s">
        <v>288</v>
      </c>
      <c r="L409" s="38">
        <f>L394+L402+L408</f>
        <v>40818.86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t="s">
        <v>286</v>
      </c>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117324.03</v>
      </c>
      <c r="H440" s="18"/>
      <c r="I440" s="13">
        <f t="shared" ref="I440:I446" si="33">SUM(F440:H440)</f>
        <v>117324.03</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117324.03</v>
      </c>
      <c r="H447" s="13">
        <f>SUM(H440:H446)</f>
        <v>0</v>
      </c>
      <c r="I447" s="13">
        <f>SUM(I440:I446)</f>
        <v>117324.03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76505.17+40818.86</f>
        <v>117324.03</v>
      </c>
      <c r="H460" s="18"/>
      <c r="I460" s="13">
        <f t="shared" si="34"/>
        <v>117324.03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117324.03</v>
      </c>
      <c r="H461" s="65">
        <f>SUM(H455:H460)</f>
        <v>0</v>
      </c>
      <c r="I461" s="65">
        <f>SUM(I455:I460)</f>
        <v>117324.03</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117324.03</v>
      </c>
      <c r="H462" s="39">
        <f>H453+H461</f>
        <v>0</v>
      </c>
      <c r="I462" s="39">
        <f>I453+I461</f>
        <v>117324.03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171603.65</v>
      </c>
      <c r="G466" s="18"/>
      <c r="H466" s="18"/>
      <c r="I466" s="18"/>
      <c r="J466" s="18">
        <v>76505.17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510563.23</f>
        <v>510563.23</v>
      </c>
      <c r="G469" s="18"/>
      <c r="H469" s="18">
        <f>4842.5+611.68</f>
        <v>5454.18</v>
      </c>
      <c r="I469" s="18"/>
      <c r="J469" s="18">
        <f>818.86+40000</f>
        <v>40818.86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510563.23</v>
      </c>
      <c r="G471" s="19">
        <f>SUM(G469:G470)</f>
        <v>0</v>
      </c>
      <c r="H471" s="19">
        <f>SUM(H469:H470)</f>
        <v>5454.18</v>
      </c>
      <c r="I471" s="19">
        <f>SUM(I469:I470)</f>
        <v>0</v>
      </c>
      <c r="J471" s="19">
        <f>SUM(J469:J470)</f>
        <v>40818.86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586851.82999999996</v>
      </c>
      <c r="G473" s="18"/>
      <c r="H473" s="18">
        <f>4842.5+611.68</f>
        <v>5454.18</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586851.82999999996</v>
      </c>
      <c r="G475" s="19">
        <f>SUM(G473:G474)</f>
        <v>0</v>
      </c>
      <c r="H475" s="19">
        <f>SUM(H473:H474)</f>
        <v>5454.18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95315.050000000047</v>
      </c>
      <c r="G477" s="19">
        <f>(G466+G471)- G475</f>
        <v>0</v>
      </c>
      <c r="H477" s="19">
        <f>(H466+H471)- H475</f>
        <v>0</v>
      </c>
      <c r="I477" s="19">
        <f>(I466+I471)- I475</f>
        <v>0</v>
      </c>
      <c r="J477" s="19">
        <f>(J466+J471)- J475</f>
        <v>117324.03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f>8846.89+897.8</f>
        <v>9744.6899999999987</v>
      </c>
      <c r="I522" s="18"/>
      <c r="J522" s="18"/>
      <c r="K522" s="18">
        <f>22768.68</f>
        <v>22768.68</v>
      </c>
      <c r="L522" s="69">
        <f>SUM(F522:K522)</f>
        <v>32513.37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0</v>
      </c>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9744.6899999999987</v>
      </c>
      <c r="I525" s="81">
        <f t="shared" si="36"/>
        <v>0</v>
      </c>
      <c r="J525" s="81">
        <f t="shared" si="36"/>
        <v>0</v>
      </c>
      <c r="K525" s="81">
        <f t="shared" si="36"/>
        <v>22768.68</v>
      </c>
      <c r="L525" s="70">
        <f t="shared" si="36"/>
        <v>32513.37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1993.51+315+1997.5</f>
        <v>4306.01</v>
      </c>
      <c r="I527" s="18"/>
      <c r="J527" s="18"/>
      <c r="K527" s="18"/>
      <c r="L527" s="69">
        <f>SUM(F527:K527)</f>
        <v>4306.01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f>359.28</f>
        <v>359.28</v>
      </c>
      <c r="I529" s="18"/>
      <c r="J529" s="18"/>
      <c r="K529" s="18"/>
      <c r="L529" s="69">
        <f>SUM(F529:K529)</f>
        <v>359.28</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4665.29</v>
      </c>
      <c r="I530" s="70">
        <f t="shared" si="37"/>
        <v>0</v>
      </c>
      <c r="J530" s="70">
        <f t="shared" si="37"/>
        <v>0</v>
      </c>
      <c r="K530" s="70">
        <f t="shared" si="37"/>
        <v>0</v>
      </c>
      <c r="L530" s="70">
        <f t="shared" si="37"/>
        <v>4665.29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f>2856.29</f>
        <v>2856.29</v>
      </c>
      <c r="I532" s="18"/>
      <c r="J532" s="18"/>
      <c r="K532" s="18"/>
      <c r="L532" s="69">
        <f>SUM(F532:K532)</f>
        <v>2856.29</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f>1606.66</f>
        <v>1606.66</v>
      </c>
      <c r="I534" s="18"/>
      <c r="J534" s="18"/>
      <c r="K534" s="18"/>
      <c r="L534" s="69">
        <f>SUM(F534:K534)</f>
        <v>1606.66</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4462.95</v>
      </c>
      <c r="I535" s="70">
        <f t="shared" si="38"/>
        <v>0</v>
      </c>
      <c r="J535" s="70">
        <f t="shared" si="38"/>
        <v>0</v>
      </c>
      <c r="K535" s="70">
        <f t="shared" si="38"/>
        <v>0</v>
      </c>
      <c r="L535" s="70">
        <f t="shared" si="38"/>
        <v>4462.95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18872.93</v>
      </c>
      <c r="I546" s="70">
        <f t="shared" si="41"/>
        <v>0</v>
      </c>
      <c r="J546" s="70">
        <f t="shared" si="41"/>
        <v>0</v>
      </c>
      <c r="K546" s="70">
        <f t="shared" si="41"/>
        <v>22768.68</v>
      </c>
      <c r="L546" s="70">
        <f t="shared" si="41"/>
        <v>41641.609999999993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32513.37</v>
      </c>
      <c r="G550" s="69">
        <f>L527</f>
        <v>4306.01</v>
      </c>
      <c r="H550" s="69">
        <f>L532</f>
        <v>2856.29</v>
      </c>
      <c r="I550" s="69">
        <f>L537</f>
        <v>0</v>
      </c>
      <c r="J550" s="69">
        <f>L542</f>
        <v>0</v>
      </c>
      <c r="K550" s="69">
        <f>SUM(F550:J550)</f>
        <v>39675.67</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359.28</v>
      </c>
      <c r="H552" s="69">
        <f>L534</f>
        <v>1606.66</v>
      </c>
      <c r="I552" s="69">
        <f>L539</f>
        <v>0</v>
      </c>
      <c r="J552" s="69">
        <f>L544</f>
        <v>0</v>
      </c>
      <c r="K552" s="69">
        <f>SUM(F552:J552)</f>
        <v>1965.94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32513.37</v>
      </c>
      <c r="G553" s="70">
        <f t="shared" si="42"/>
        <v>4665.29</v>
      </c>
      <c r="H553" s="70">
        <f t="shared" si="42"/>
        <v>4462.95</v>
      </c>
      <c r="I553" s="70">
        <f t="shared" si="42"/>
        <v>0</v>
      </c>
      <c r="J553" s="70">
        <f t="shared" si="42"/>
        <v>0</v>
      </c>
      <c r="K553" s="70">
        <f t="shared" si="42"/>
        <v>41641.61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f>310314.5+21401</f>
        <v>331715.5</v>
      </c>
      <c r="G576" s="18"/>
      <c r="H576" s="18">
        <f>44543.7</f>
        <v>44543.7</v>
      </c>
      <c r="I576" s="69">
        <f>SUM(F576:H576)</f>
        <v>376259.2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f>11122.22</f>
        <v>11122.22</v>
      </c>
      <c r="I577" s="69">
        <f t="shared" ref="I577:I588" si="47">SUM(F577:H577)</f>
        <v>11122.22</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f>11000</f>
        <v>11000</v>
      </c>
      <c r="I586" s="69">
        <f t="shared" si="47"/>
        <v>11000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331715.5</v>
      </c>
      <c r="G589" s="79">
        <f t="shared" ref="G589:I589" si="48">SUM(G576:G588)</f>
        <v>0</v>
      </c>
      <c r="H589" s="79">
        <f t="shared" si="48"/>
        <v>66665.919999999998</v>
      </c>
      <c r="I589" s="79">
        <f t="shared" si="48"/>
        <v>398381.42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31479.98</v>
      </c>
      <c r="I592" s="18"/>
      <c r="J592" s="18">
        <v>18015.37</v>
      </c>
      <c r="K592" s="80">
        <f t="shared" ref="K592:K598" si="49">SUM(H592:J592)</f>
        <v>49495.35</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31479.98</v>
      </c>
      <c r="I599" s="81">
        <f>SUM(I592:I598)</f>
        <v>0</v>
      </c>
      <c r="J599" s="81">
        <f>SUM(J592:J598)</f>
        <v>18015.37</v>
      </c>
      <c r="K599" s="81">
        <f>SUM(K592:K598)</f>
        <v>49495.35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114239.93999999999</v>
      </c>
      <c r="H618" s="80">
        <f>SUM(F52)</f>
        <v>114239.93999999999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3566.68</v>
      </c>
      <c r="H620" s="80">
        <f>SUM(H52)</f>
        <v>3566.68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117324.03</v>
      </c>
      <c r="H622" s="80">
        <f>SUM(J52)</f>
        <v>117324.03</v>
      </c>
      <c r="I622" s="87" t="s">
        <v>875</v>
      </c>
      <c r="J622" s="80">
        <f>G622-H622</f>
        <v>0</v>
      </c>
      <c r="K622" s="80"/>
      <c r="L622" s="80"/>
      <c r="M622" s="8"/>
    </row>
    <row r="623" spans="1:14" s="3" customFormat="1" ht="12.2" customHeight="1" x14ac:dyDescent="0.15">
      <c r="A623" s="74"/>
      <c r="B623" s="22"/>
      <c r="C623" s="22"/>
      <c r="D623" s="22"/>
      <c r="E623" s="22"/>
      <c r="F623" s="87" t="s">
        <v>861</v>
      </c>
      <c r="G623" s="80">
        <f>F51</f>
        <v>95315.049999999988</v>
      </c>
      <c r="H623" s="80">
        <f>F477</f>
        <v>95315.050000000047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117324.03</v>
      </c>
      <c r="H627" s="80">
        <f>J477</f>
        <v>117324.03</v>
      </c>
      <c r="I627" s="87" t="s">
        <v>105</v>
      </c>
      <c r="J627" s="80">
        <f t="shared" si="51"/>
        <v>0</v>
      </c>
      <c r="K627" s="67"/>
      <c r="L627" s="69"/>
      <c r="M627" s="8"/>
    </row>
    <row r="628" spans="1:13" s="3" customFormat="1" ht="12.2" customHeight="1" x14ac:dyDescent="0.15">
      <c r="A628" s="21"/>
      <c r="B628" s="22"/>
      <c r="C628" s="22"/>
      <c r="D628" s="22"/>
      <c r="E628" s="22"/>
      <c r="F628" s="86" t="s">
        <v>658</v>
      </c>
      <c r="G628" s="80">
        <f>F194</f>
        <v>510563.23</v>
      </c>
      <c r="H628" s="80">
        <f>SUM(F469)</f>
        <v>510563.23</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5454.18</v>
      </c>
      <c r="H630" s="80">
        <f>SUM(H469)</f>
        <v>5454.18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40818.86</v>
      </c>
      <c r="H632" s="80">
        <f>SUM(J469)</f>
        <v>40818.86</v>
      </c>
      <c r="I632" s="87" t="s">
        <v>110</v>
      </c>
      <c r="J632" s="80">
        <f>G632-H632</f>
        <v>0</v>
      </c>
      <c r="K632" s="67"/>
      <c r="L632" s="69"/>
      <c r="M632" s="8"/>
    </row>
    <row r="633" spans="1:13" s="3" customFormat="1" ht="12.2" customHeight="1" x14ac:dyDescent="0.15">
      <c r="A633" s="21"/>
      <c r="B633" s="22"/>
      <c r="C633" s="22"/>
      <c r="D633" s="22"/>
      <c r="E633" s="22"/>
      <c r="F633" s="86" t="s">
        <v>394</v>
      </c>
      <c r="G633" s="80">
        <f>SUM(L272)</f>
        <v>586851.82999999996</v>
      </c>
      <c r="H633" s="80">
        <f>SUM(F473)</f>
        <v>586851.82999999996</v>
      </c>
      <c r="I633" s="87" t="s">
        <v>111</v>
      </c>
      <c r="J633" s="80">
        <f t="shared" si="51"/>
        <v>0</v>
      </c>
      <c r="K633" s="67"/>
      <c r="L633" s="69"/>
      <c r="M633" s="8"/>
    </row>
    <row r="634" spans="1:13" s="3" customFormat="1" ht="12.2" customHeight="1" x14ac:dyDescent="0.15">
      <c r="A634" s="21"/>
      <c r="B634" s="22"/>
      <c r="C634" s="22"/>
      <c r="D634" s="22"/>
      <c r="E634" s="22"/>
      <c r="F634" s="86" t="s">
        <v>395</v>
      </c>
      <c r="G634" s="80">
        <f>SUM(L353)</f>
        <v>5454.18</v>
      </c>
      <c r="H634" s="80">
        <f>SUM(H473)</f>
        <v>5454.18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40818.86</v>
      </c>
      <c r="H638" s="108">
        <f>SUM(J469)</f>
        <v>40818.86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117324.03</v>
      </c>
      <c r="H641" s="80">
        <f>SUM(G462)</f>
        <v>117324.03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117324.03</v>
      </c>
      <c r="H643" s="80">
        <f>SUM(I462)</f>
        <v>117324.03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818.86</v>
      </c>
      <c r="H645" s="80">
        <f>H409</f>
        <v>818.86</v>
      </c>
      <c r="I645" s="87" t="s">
        <v>480</v>
      </c>
      <c r="J645" s="80">
        <f t="shared" si="51"/>
        <v>0</v>
      </c>
      <c r="K645" s="67"/>
      <c r="L645" s="69"/>
      <c r="M645" s="8"/>
    </row>
    <row r="646" spans="1:13" s="3" customFormat="1" ht="12.2" customHeight="1" x14ac:dyDescent="0.15">
      <c r="A646" s="21"/>
      <c r="B646" s="22"/>
      <c r="C646" s="22"/>
      <c r="D646" s="22"/>
      <c r="E646" s="22"/>
      <c r="F646" s="86" t="s">
        <v>664</v>
      </c>
      <c r="G646" s="80">
        <f>J184</f>
        <v>40000</v>
      </c>
      <c r="H646" s="80">
        <f>G409</f>
        <v>40000</v>
      </c>
      <c r="I646" s="87" t="s">
        <v>481</v>
      </c>
      <c r="J646" s="80">
        <f t="shared" si="51"/>
        <v>0</v>
      </c>
      <c r="K646" s="67"/>
      <c r="L646" s="69"/>
      <c r="M646" s="8"/>
    </row>
    <row r="647" spans="1:13" s="3" customFormat="1" ht="12.2" customHeight="1" x14ac:dyDescent="0.15">
      <c r="A647" s="21"/>
      <c r="B647" s="22"/>
      <c r="C647" s="22"/>
      <c r="D647" s="22"/>
      <c r="E647" s="22"/>
      <c r="F647" s="86" t="s">
        <v>662</v>
      </c>
      <c r="G647" s="80">
        <f>J194</f>
        <v>40818.86</v>
      </c>
      <c r="H647" s="80">
        <f>L409</f>
        <v>40818.86</v>
      </c>
      <c r="I647" s="87" t="s">
        <v>477</v>
      </c>
      <c r="J647" s="80">
        <f t="shared" si="51"/>
        <v>0</v>
      </c>
      <c r="K647" s="67"/>
      <c r="L647" s="69"/>
      <c r="M647" s="8"/>
    </row>
    <row r="648" spans="1:13" s="3" customFormat="1" ht="12.2" customHeight="1" x14ac:dyDescent="0.15">
      <c r="A648" s="21"/>
      <c r="B648" s="22"/>
      <c r="C648" s="22"/>
      <c r="D648" s="22"/>
      <c r="E648" s="22"/>
      <c r="F648" s="86" t="s">
        <v>51</v>
      </c>
      <c r="G648" s="80">
        <f>K599</f>
        <v>49495.35</v>
      </c>
      <c r="H648" s="80">
        <f>L209+L227+L245</f>
        <v>49495.35</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31479.98</v>
      </c>
      <c r="H650" s="80">
        <f>H599</f>
        <v>31479.98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18015.37</v>
      </c>
      <c r="H652" s="80">
        <f>J599</f>
        <v>18015.37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40000</v>
      </c>
      <c r="H656" s="80">
        <f>K267+K348</f>
        <v>40000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439971.16</v>
      </c>
      <c r="G661" s="13">
        <f>(L230+L310+L360)</f>
        <v>0</v>
      </c>
      <c r="H661" s="13">
        <f>(L248+L329+L361)</f>
        <v>106590.93</v>
      </c>
      <c r="I661" s="13">
        <f>SUM(F661:H661)</f>
        <v>546562.09</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31479.98</v>
      </c>
      <c r="G663" s="13">
        <f>(L227+L307)-(J227+J307)</f>
        <v>0</v>
      </c>
      <c r="H663" s="13">
        <f>(L245+L326)-(J245+J326)</f>
        <v>18015.37</v>
      </c>
      <c r="I663" s="13">
        <f>SUM(F663:H663)</f>
        <v>49495.35</v>
      </c>
      <c r="J663"/>
      <c r="K663" s="13"/>
      <c r="L663" s="13"/>
      <c r="M663" s="9"/>
    </row>
    <row r="664" spans="1:13" s="3" customFormat="1" ht="12.2" customHeight="1" x14ac:dyDescent="0.15">
      <c r="A664" s="141" t="s">
        <v>129</v>
      </c>
      <c r="B664" s="124"/>
      <c r="C664" s="124"/>
      <c r="D664" s="124"/>
      <c r="E664" s="124"/>
      <c r="F664" s="142">
        <f>SUM(F576:F588)+SUM(H603:H605)+SUM(L612)</f>
        <v>331715.5</v>
      </c>
      <c r="G664" s="142">
        <f>SUM(G576:G588)+SUM(I603:I605)+L613</f>
        <v>0</v>
      </c>
      <c r="H664" s="142">
        <f>SUM(H576:H588)+SUM(J603:J605)+L614</f>
        <v>66665.919999999998</v>
      </c>
      <c r="I664" s="13">
        <f>SUM(F664:H664)</f>
        <v>398381.42</v>
      </c>
      <c r="J664" s="13"/>
      <c r="K664" s="13"/>
      <c r="L664" s="13"/>
      <c r="M664" s="9"/>
    </row>
    <row r="665" spans="1:13" s="3" customFormat="1" ht="12.2" customHeight="1" x14ac:dyDescent="0.15">
      <c r="A665" s="1" t="s">
        <v>130</v>
      </c>
      <c r="F665" s="13">
        <f>F661-SUM(F662:F664)</f>
        <v>76775.679999999993</v>
      </c>
      <c r="G665" s="13">
        <f>G661-SUM(G662:G664)</f>
        <v>0</v>
      </c>
      <c r="H665" s="13">
        <f>H661-SUM(H662:H664)</f>
        <v>21909.64</v>
      </c>
      <c r="I665" s="13">
        <f>I661-SUM(I662:I664)</f>
        <v>98685.32</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-76775.679999999993</v>
      </c>
      <c r="G670" s="73" t="str">
        <f t="shared" si="52"/>
        <v/>
      </c>
      <c r="H670" s="73">
        <f t="shared" si="52"/>
        <v>-21909.64</v>
      </c>
      <c r="I670" s="13">
        <f>SUM(F670:H670)</f>
        <v>-98685.319999999992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4" sqref="C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Clarksville</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8" sqref="C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Clarksville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Clarksville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430285.7</v>
      </c>
      <c r="D5" s="19">
        <f>SUM('DOE25'!L198:L201)+SUM('DOE25'!L216:L219)+SUM('DOE25'!L234:L237)-F5-G5-H5</f>
        <v>407517.02</v>
      </c>
      <c r="E5" s="179"/>
      <c r="F5" s="180"/>
      <c r="G5" s="19">
        <f>SUM('DOE25'!J198:J201)+SUM('DOE25'!J216:J219)+SUM('DOE25'!J234:J237)</f>
        <v>0</v>
      </c>
      <c r="H5" s="19">
        <f>SUM('DOE25'!K198:K201)+SUM('DOE25'!K216:K219)+SUM('DOE25'!K234:K237)</f>
        <v>22768.68</v>
      </c>
      <c r="I5" s="191"/>
    </row>
    <row r="6" spans="1:9" x14ac:dyDescent="0.2">
      <c r="A6" s="31">
        <v>2100</v>
      </c>
      <c r="B6" t="s">
        <v>793</v>
      </c>
      <c r="C6" s="205">
        <f t="shared" si="0"/>
        <v>2667.79</v>
      </c>
      <c r="D6" s="19">
        <f>'DOE25'!L203+'DOE25'!L221+'DOE25'!L239-F6-G6-H6</f>
        <v>2667.79</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48250.12999999999</v>
      </c>
      <c r="D8" s="179"/>
      <c r="E8" s="19">
        <f>'DOE25'!L205+'DOE25'!L223+'DOE25'!L241-F8-G8-H8-D9-D11</f>
        <v>46506.339999999989</v>
      </c>
      <c r="F8" s="180"/>
      <c r="G8" s="19">
        <f>'DOE25'!J205+'DOE25'!J223+'DOE25'!J241</f>
        <v>0</v>
      </c>
      <c r="H8" s="19">
        <f>'DOE25'!K205+'DOE25'!K223+'DOE25'!K241</f>
        <v>1743.79</v>
      </c>
      <c r="I8" s="191"/>
    </row>
    <row r="9" spans="1:9" ht="14.25" x14ac:dyDescent="0.2">
      <c r="A9" s="31">
        <v>2310</v>
      </c>
      <c r="B9" s="71" t="s">
        <v>884</v>
      </c>
      <c r="C9" s="205">
        <f t="shared" si="0"/>
        <v>10408.94</v>
      </c>
      <c r="D9" s="180">
        <v>10408.94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49495.35</v>
      </c>
      <c r="D15" s="19">
        <f>'DOE25'!L209+'DOE25'!L227+'DOE25'!L245-F15-G15-H15</f>
        <v>22830.84</v>
      </c>
      <c r="E15" s="179"/>
      <c r="F15" s="180">
        <v>26664.51</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5454.18</v>
      </c>
      <c r="D31" s="19">
        <f>'DOE25'!L291+'DOE25'!L310+'DOE25'!L329+'DOE25'!L334+'DOE25'!L335+'DOE25'!L336-F31-G31-H31</f>
        <v>5454.18</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448878.77</v>
      </c>
      <c r="E33" s="181">
        <f t="shared" si="1"/>
        <v>46506.339999999989</v>
      </c>
      <c r="F33" s="181">
        <f t="shared" si="1"/>
        <v>26664.51</v>
      </c>
      <c r="G33" s="181">
        <f t="shared" si="1"/>
        <v>0</v>
      </c>
      <c r="H33" s="181">
        <f t="shared" si="1"/>
        <v>24512.47</v>
      </c>
      <c r="I33" s="181">
        <f t="shared" si="1"/>
        <v>0</v>
      </c>
    </row>
    <row r="34" spans="1:9" ht="12" thickBot="1" x14ac:dyDescent="0.25"/>
    <row r="35" spans="1:9" ht="12" thickBot="1" x14ac:dyDescent="0.25">
      <c r="B35" s="187" t="s">
        <v>827</v>
      </c>
      <c r="D35" s="188">
        <f>E33</f>
        <v>46506.339999999989</v>
      </c>
      <c r="E35" s="184"/>
      <c r="F35" s="294" t="s">
        <v>1596</v>
      </c>
      <c r="G35" s="295"/>
      <c r="H35" s="295"/>
      <c r="I35" s="296"/>
    </row>
    <row r="36" spans="1:9" ht="12" thickTop="1" x14ac:dyDescent="0.2">
      <c r="B36" t="s">
        <v>807</v>
      </c>
      <c r="D36" s="19">
        <f>D33</f>
        <v>448878.77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C33" sqref="C3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Clarksville</v>
      </c>
      <c r="B2">
        <f>'DOE25'!B2</f>
        <v>103</v>
      </c>
      <c r="J2" s="223" t="s">
        <v>1799</v>
      </c>
      <c r="K2" s="308">
        <f>SUM('DOE25'!L198:L201)+SUM('DOE25'!L277:L280)</f>
        <v>364119.78</v>
      </c>
      <c r="L2" s="308">
        <f>'DOE25'!L203+'DOE25'!L282</f>
        <v>6762.6900000000005</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439971.16</v>
      </c>
      <c r="G4" s="228">
        <f>'DOE25'!L212+'DOE25'!L291</f>
        <v>439971.16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460616.98-25600</f>
        <v>435016.98</v>
      </c>
      <c r="E5" s="219">
        <f>500+167.5+3675+611.68</f>
        <v>4954.18</v>
      </c>
      <c r="F5" s="231">
        <f>D5+E5</f>
        <v>439971.16</v>
      </c>
      <c r="G5" s="222"/>
      <c r="H5" s="222"/>
      <c r="J5" s="71" t="s">
        <v>1840</v>
      </c>
      <c r="K5" s="20">
        <f>310314.5+21401+288.71+8846.89+22768.68+500</f>
        <v>364119.78</v>
      </c>
      <c r="L5" s="20">
        <f>1993.51+315+4454.18</f>
        <v>6762.6900000000005</v>
      </c>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435016.98</v>
      </c>
      <c r="E21" s="261">
        <f>SUM(E5:E20)</f>
        <v>4954.18</v>
      </c>
      <c r="F21" s="216"/>
      <c r="G21" s="216"/>
      <c r="H21" s="216"/>
      <c r="K21" s="262">
        <f t="shared" ref="K21:Q21" si="4">SUM(K5:K20)</f>
        <v>364119.78</v>
      </c>
      <c r="L21" s="262">
        <f t="shared" si="4"/>
        <v>6762.6900000000005</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67165.919999999998</v>
      </c>
      <c r="L36" s="19">
        <f>'DOE25'!L239+'DOE25'!L320</f>
        <v>359.28</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106590.93000000001</v>
      </c>
      <c r="G38" s="228">
        <f>'DOE25'!L248+'DOE25'!L329</f>
        <v>106590.93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126234.85-14400-5743.92</f>
        <v>106090.93000000001</v>
      </c>
      <c r="E39" s="219">
        <f>500</f>
        <v>500</v>
      </c>
      <c r="F39" s="231">
        <f t="shared" ref="F39:F44" si="10">D39+E39</f>
        <v>106590.93000000001</v>
      </c>
      <c r="G39" s="222"/>
      <c r="H39" s="222"/>
      <c r="J39" s="71" t="s">
        <v>1840</v>
      </c>
      <c r="K39" s="315">
        <f>44543.7+11122.22+11000+500</f>
        <v>67165.919999999998</v>
      </c>
      <c r="L39" s="315">
        <f>359.28</f>
        <v>359.28</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106090.93000000001</v>
      </c>
      <c r="E45" s="262">
        <f>SUM(E39:E44)</f>
        <v>500</v>
      </c>
      <c r="K45" s="262">
        <f t="shared" ref="K45:Q45" si="11">SUM(K39:K44)</f>
        <v>67165.919999999998</v>
      </c>
      <c r="L45" s="262">
        <f t="shared" si="11"/>
        <v>359.28</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3"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Clarksville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111573.26</v>
      </c>
      <c r="D8" s="73">
        <f>'DOE25'!G9</f>
        <v>0</v>
      </c>
      <c r="E8" s="73">
        <f>'DOE25'!H9</f>
        <v>0</v>
      </c>
      <c r="F8" s="73">
        <f>'DOE25'!I9</f>
        <v>0</v>
      </c>
      <c r="G8" s="73">
        <f>'DOE25'!J9</f>
        <v>117324.03</v>
      </c>
      <c r="H8" s="13">
        <f>SUM(C8:G8)</f>
        <v>228897.28999999998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2666.68</v>
      </c>
      <c r="D12" s="73">
        <f>'DOE25'!G13</f>
        <v>0</v>
      </c>
      <c r="E12" s="73">
        <f>'DOE25'!H13</f>
        <v>3566.68</v>
      </c>
      <c r="F12" s="73">
        <f>'DOE25'!I13</f>
        <v>0</v>
      </c>
      <c r="G12" s="73">
        <f>'DOE25'!J13</f>
        <v>0</v>
      </c>
      <c r="H12" s="13">
        <f t="shared" si="0"/>
        <v>6233.36</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114239.93999999999</v>
      </c>
      <c r="D18" s="38">
        <f>SUM(D8:D17)</f>
        <v>0</v>
      </c>
      <c r="E18" s="38">
        <f>SUM(E8:E17)</f>
        <v>3566.68</v>
      </c>
      <c r="F18" s="38">
        <f>SUM(F8:F17)</f>
        <v>0</v>
      </c>
      <c r="G18" s="38">
        <f>SUM(G8:G17)</f>
        <v>117324.03</v>
      </c>
      <c r="H18" s="38">
        <f t="shared" si="0"/>
        <v>235130.64999999997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2666.68</v>
      </c>
      <c r="F21" s="73">
        <f>'DOE25'!I22</f>
        <v>0</v>
      </c>
      <c r="G21" s="73">
        <f>'DOE25'!J22</f>
        <v>0</v>
      </c>
      <c r="H21" s="13">
        <f t="shared" ref="H21:H31" si="1">SUM(C21:G21)</f>
        <v>2666.68</v>
      </c>
      <c r="I21" s="90"/>
    </row>
    <row r="22" spans="1:9" x14ac:dyDescent="0.2">
      <c r="A22" s="1" t="s">
        <v>151</v>
      </c>
      <c r="B22" s="6">
        <v>410</v>
      </c>
      <c r="C22" s="73">
        <f>'DOE25'!F23</f>
        <v>17901.98</v>
      </c>
      <c r="D22" s="73">
        <f>'DOE25'!G23</f>
        <v>0</v>
      </c>
      <c r="E22" s="73">
        <f>'DOE25'!H23</f>
        <v>0</v>
      </c>
      <c r="F22" s="73">
        <f>'DOE25'!I23</f>
        <v>0</v>
      </c>
      <c r="G22" s="73">
        <f>'DOE25'!J23</f>
        <v>0</v>
      </c>
      <c r="H22" s="13">
        <f t="shared" si="1"/>
        <v>17901.98</v>
      </c>
      <c r="I22" s="90"/>
    </row>
    <row r="23" spans="1:9" x14ac:dyDescent="0.2">
      <c r="A23" s="1" t="s">
        <v>152</v>
      </c>
      <c r="B23" s="6">
        <v>420</v>
      </c>
      <c r="C23" s="73">
        <f>'DOE25'!F24</f>
        <v>592.30999999999995</v>
      </c>
      <c r="D23" s="73">
        <f>'DOE25'!G24</f>
        <v>0</v>
      </c>
      <c r="E23" s="73">
        <f>'DOE25'!H24</f>
        <v>900</v>
      </c>
      <c r="F23" s="73">
        <f>'DOE25'!I24</f>
        <v>0</v>
      </c>
      <c r="G23" s="73">
        <f>'DOE25'!J24</f>
        <v>0</v>
      </c>
      <c r="H23" s="13">
        <f t="shared" si="1"/>
        <v>1492.31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430.6</v>
      </c>
      <c r="D27" s="73">
        <f>'DOE25'!G28</f>
        <v>0</v>
      </c>
      <c r="E27" s="73">
        <f>'DOE25'!H28</f>
        <v>0</v>
      </c>
      <c r="F27" s="73">
        <f>'DOE25'!I28</f>
        <v>0</v>
      </c>
      <c r="G27" s="23" t="s">
        <v>288</v>
      </c>
      <c r="H27" s="13">
        <f t="shared" si="1"/>
        <v>430.6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18924.89</v>
      </c>
      <c r="D31" s="38">
        <f>SUM(D21:D30)</f>
        <v>0</v>
      </c>
      <c r="E31" s="38">
        <f>SUM(E21:E30)</f>
        <v>3566.68</v>
      </c>
      <c r="F31" s="38">
        <f>SUM(F21:F30)</f>
        <v>0</v>
      </c>
      <c r="G31" s="38">
        <f>SUM(G21:G30)</f>
        <v>0</v>
      </c>
      <c r="H31" s="38">
        <f t="shared" si="1"/>
        <v>22491.57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25216.85</v>
      </c>
      <c r="D45" s="23" t="s">
        <v>288</v>
      </c>
      <c r="E45" s="23" t="s">
        <v>288</v>
      </c>
      <c r="F45" s="23" t="s">
        <v>288</v>
      </c>
      <c r="G45" s="23" t="s">
        <v>288</v>
      </c>
      <c r="H45" s="13">
        <f t="shared" si="2"/>
        <v>25216.85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117324.03</v>
      </c>
      <c r="H47" s="13">
        <f t="shared" si="2"/>
        <v>117324.03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70098.2</v>
      </c>
      <c r="D49" s="23" t="s">
        <v>288</v>
      </c>
      <c r="E49" s="23" t="s">
        <v>288</v>
      </c>
      <c r="F49" s="23" t="s">
        <v>288</v>
      </c>
      <c r="G49" s="23" t="s">
        <v>288</v>
      </c>
      <c r="H49" s="13">
        <f t="shared" si="2"/>
        <v>70098.2</v>
      </c>
      <c r="I49" s="90"/>
    </row>
    <row r="50" spans="1:9" ht="12.75" thickTop="1" thickBot="1" x14ac:dyDescent="0.25">
      <c r="A50" s="35" t="s">
        <v>880</v>
      </c>
      <c r="B50" s="44"/>
      <c r="C50" s="38">
        <f>SUM(C34:C49)</f>
        <v>95315.049999999988</v>
      </c>
      <c r="D50" s="38">
        <f>SUM(D34:D49)</f>
        <v>0</v>
      </c>
      <c r="E50" s="38">
        <f>SUM(E34:E49)</f>
        <v>0</v>
      </c>
      <c r="F50" s="38">
        <f>SUM(F34:F49)</f>
        <v>0</v>
      </c>
      <c r="G50" s="38">
        <f>SUM(G34:G49)</f>
        <v>117324.03</v>
      </c>
      <c r="H50" s="38">
        <f t="shared" si="2"/>
        <v>212639.08</v>
      </c>
      <c r="I50" s="90"/>
    </row>
    <row r="51" spans="1:9" ht="12" thickTop="1" x14ac:dyDescent="0.2">
      <c r="A51" s="35" t="s">
        <v>881</v>
      </c>
      <c r="B51" s="2"/>
      <c r="C51" s="38">
        <f>C50+C31</f>
        <v>114239.93999999999</v>
      </c>
      <c r="D51" s="38">
        <f>D50+D31</f>
        <v>0</v>
      </c>
      <c r="E51" s="38">
        <f>E50+E31</f>
        <v>3566.68</v>
      </c>
      <c r="F51" s="38">
        <f>F50+F31</f>
        <v>0</v>
      </c>
      <c r="G51" s="38">
        <f>G50+G31</f>
        <v>117324.03</v>
      </c>
      <c r="H51" s="38">
        <f t="shared" si="2"/>
        <v>235130.64999999997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386465</v>
      </c>
      <c r="D56" s="73">
        <f>'DOE25'!G60</f>
        <v>0</v>
      </c>
      <c r="E56" s="73">
        <f>'DOE25'!H60</f>
        <v>0</v>
      </c>
      <c r="F56" s="73">
        <f>'DOE25'!I60</f>
        <v>0</v>
      </c>
      <c r="G56" s="73">
        <f>'DOE25'!J60</f>
        <v>0</v>
      </c>
      <c r="H56" s="13">
        <f t="shared" ref="H56:H63" si="3">SUM(C56:G56)</f>
        <v>386465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818.86</v>
      </c>
      <c r="H59" s="13">
        <f t="shared" si="3"/>
        <v>818.86</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818.86</v>
      </c>
      <c r="H62" s="13">
        <f t="shared" si="3"/>
        <v>818.86</v>
      </c>
      <c r="I62"/>
    </row>
    <row r="63" spans="1:9" ht="12" thickTop="1" x14ac:dyDescent="0.2">
      <c r="A63" s="28" t="s">
        <v>175</v>
      </c>
      <c r="B63" s="6"/>
      <c r="C63" s="21">
        <f>C56+C62</f>
        <v>386465</v>
      </c>
      <c r="D63" s="21">
        <f>D56+D62</f>
        <v>0</v>
      </c>
      <c r="E63" s="21">
        <f>E56+E62</f>
        <v>0</v>
      </c>
      <c r="F63" s="21">
        <f>F56+F62</f>
        <v>0</v>
      </c>
      <c r="G63" s="21">
        <f>G56+G62</f>
        <v>818.86</v>
      </c>
      <c r="H63" s="13">
        <f t="shared" si="3"/>
        <v>387283.86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792.61</v>
      </c>
      <c r="D66" s="23" t="s">
        <v>288</v>
      </c>
      <c r="E66" s="23" t="s">
        <v>288</v>
      </c>
      <c r="F66" s="23" t="s">
        <v>288</v>
      </c>
      <c r="G66" s="23" t="s">
        <v>288</v>
      </c>
      <c r="H66" s="13">
        <f t="shared" ref="H66:H81" si="4">SUM(C66:G66)</f>
        <v>792.61</v>
      </c>
      <c r="I66"/>
    </row>
    <row r="67" spans="1:9" x14ac:dyDescent="0.2">
      <c r="A67" s="1" t="s">
        <v>767</v>
      </c>
      <c r="B67" s="6">
        <v>3112</v>
      </c>
      <c r="C67" s="73">
        <f>'DOE25'!F118</f>
        <v>117872</v>
      </c>
      <c r="D67" s="23"/>
      <c r="E67" s="23"/>
      <c r="F67" s="23"/>
      <c r="G67" s="23"/>
      <c r="H67" s="13">
        <f t="shared" si="4"/>
        <v>117872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1349.14</v>
      </c>
      <c r="D69" s="73">
        <f>'DOE25'!G120</f>
        <v>0</v>
      </c>
      <c r="E69" s="73">
        <f>'DOE25'!H120</f>
        <v>0</v>
      </c>
      <c r="F69" s="73">
        <f>'DOE25'!I120</f>
        <v>0</v>
      </c>
      <c r="G69" s="73">
        <f>'DOE25'!J120</f>
        <v>0</v>
      </c>
      <c r="H69" s="13">
        <f t="shared" si="4"/>
        <v>1349.14</v>
      </c>
      <c r="I69"/>
    </row>
    <row r="70" spans="1:9" ht="12" thickTop="1" x14ac:dyDescent="0.2">
      <c r="A70" s="28" t="s">
        <v>252</v>
      </c>
      <c r="B70" s="2"/>
      <c r="C70" s="97">
        <f>SUM(C66:C69)</f>
        <v>120013.75</v>
      </c>
      <c r="D70" s="97">
        <f>D69</f>
        <v>0</v>
      </c>
      <c r="E70" s="97">
        <f>E69</f>
        <v>0</v>
      </c>
      <c r="F70" s="97">
        <f>F69</f>
        <v>0</v>
      </c>
      <c r="G70" s="97">
        <f>G69</f>
        <v>0</v>
      </c>
      <c r="H70" s="13">
        <f t="shared" si="4"/>
        <v>120013.75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4084.48</v>
      </c>
      <c r="D76" s="23" t="s">
        <v>288</v>
      </c>
      <c r="E76" s="73">
        <f>SUM('DOE25'!H127:H130)</f>
        <v>0</v>
      </c>
      <c r="F76" s="73">
        <f>SUM('DOE25'!I127:I130)</f>
        <v>0</v>
      </c>
      <c r="G76" s="23" t="s">
        <v>288</v>
      </c>
      <c r="H76" s="13">
        <f t="shared" si="4"/>
        <v>4084.48</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4084.48</v>
      </c>
      <c r="D78" s="93">
        <f>SUM(D72:D77)</f>
        <v>0</v>
      </c>
      <c r="E78" s="93">
        <f>SUM(E72:E77)</f>
        <v>0</v>
      </c>
      <c r="F78" s="93">
        <f>SUM(F72:F77)</f>
        <v>0</v>
      </c>
      <c r="G78" s="93">
        <f>SUM(G72:G77)</f>
        <v>0</v>
      </c>
      <c r="H78" s="13">
        <f t="shared" si="4"/>
        <v>4084.48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124098.23</v>
      </c>
      <c r="D81" s="93">
        <f>SUM(D79:D80)+D78+D70</f>
        <v>0</v>
      </c>
      <c r="E81" s="93">
        <f>SUM(E79:E80)+E78+E70</f>
        <v>0</v>
      </c>
      <c r="F81" s="93">
        <f>SUM(F79:F80)+F78+F70</f>
        <v>0</v>
      </c>
      <c r="G81" s="93">
        <f>SUM(G79:G80)+G78+G70</f>
        <v>0</v>
      </c>
      <c r="H81" s="93">
        <f t="shared" si="4"/>
        <v>124098.23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5454.18</v>
      </c>
      <c r="F88" s="252">
        <f>SUM('DOE25'!I153:I162)</f>
        <v>0</v>
      </c>
      <c r="G88" s="23" t="s">
        <v>288</v>
      </c>
      <c r="H88" s="13">
        <f t="shared" si="5"/>
        <v>5454.18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5454.18</v>
      </c>
      <c r="F91" s="94">
        <f>SUM(F85:F90)</f>
        <v>0</v>
      </c>
      <c r="G91" s="23" t="s">
        <v>288</v>
      </c>
      <c r="H91" s="13">
        <f t="shared" si="5"/>
        <v>5454.18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40000</v>
      </c>
      <c r="H96" s="13">
        <f t="shared" si="5"/>
        <v>40000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40000</v>
      </c>
      <c r="H103" s="68">
        <f t="shared" si="5"/>
        <v>40000</v>
      </c>
    </row>
    <row r="104" spans="1:8" ht="12.75" thickTop="1" thickBot="1" x14ac:dyDescent="0.25">
      <c r="A104" s="32" t="s">
        <v>758</v>
      </c>
      <c r="C104" s="68">
        <f>C63+C81+C91+C103</f>
        <v>510563.23</v>
      </c>
      <c r="D104" s="68">
        <f>D63+D81+D91+D103</f>
        <v>0</v>
      </c>
      <c r="E104" s="68">
        <f>E63+E81+E91+E103</f>
        <v>5454.18</v>
      </c>
      <c r="F104" s="68">
        <f>F63+F81+F91+F103</f>
        <v>0</v>
      </c>
      <c r="G104" s="68">
        <f>G63+G81+G103</f>
        <v>40818.86</v>
      </c>
      <c r="H104" s="68">
        <f t="shared" si="5"/>
        <v>556836.27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387381.42</v>
      </c>
      <c r="D109" s="23" t="s">
        <v>288</v>
      </c>
      <c r="E109" s="73">
        <f>('DOE25'!L277)+('DOE25'!L296)+('DOE25'!L315)</f>
        <v>0</v>
      </c>
      <c r="F109" s="23" t="s">
        <v>288</v>
      </c>
      <c r="G109" s="23" t="s">
        <v>288</v>
      </c>
      <c r="H109" s="13">
        <f t="shared" ref="H109:H115" si="6">SUM(C109:G109)</f>
        <v>387381.42</v>
      </c>
    </row>
    <row r="110" spans="1:8" x14ac:dyDescent="0.2">
      <c r="A110" t="s">
        <v>198</v>
      </c>
      <c r="B110" s="31" t="s">
        <v>199</v>
      </c>
      <c r="C110" s="73">
        <f>('DOE25'!L199)+('DOE25'!L217)+('DOE25'!L235)</f>
        <v>31904.28</v>
      </c>
      <c r="D110" s="23" t="s">
        <v>288</v>
      </c>
      <c r="E110" s="73">
        <f>('DOE25'!L278)+('DOE25'!L297)+('DOE25'!L316)</f>
        <v>1000</v>
      </c>
      <c r="F110" s="23" t="s">
        <v>288</v>
      </c>
      <c r="G110" s="23" t="s">
        <v>288</v>
      </c>
      <c r="H110" s="13">
        <f t="shared" si="6"/>
        <v>32904.28</v>
      </c>
    </row>
    <row r="111" spans="1:8" x14ac:dyDescent="0.2">
      <c r="A111" t="s">
        <v>200</v>
      </c>
      <c r="B111" s="31" t="s">
        <v>165</v>
      </c>
      <c r="C111" s="73">
        <f>('DOE25'!L200)+('DOE25'!L218)+('DOE25'!L236)</f>
        <v>11000</v>
      </c>
      <c r="D111" s="23" t="s">
        <v>288</v>
      </c>
      <c r="E111" s="73">
        <f>('DOE25'!L279)+('DOE25'!L298)+('DOE25'!L317)</f>
        <v>0</v>
      </c>
      <c r="F111" s="23" t="s">
        <v>288</v>
      </c>
      <c r="G111" s="23" t="s">
        <v>288</v>
      </c>
      <c r="H111" s="13">
        <f t="shared" si="6"/>
        <v>11000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430285.69999999995</v>
      </c>
      <c r="D115" s="68">
        <f>SUM(D109:D114)</f>
        <v>0</v>
      </c>
      <c r="E115" s="68">
        <f>SUM(E109:E114)</f>
        <v>1000</v>
      </c>
      <c r="F115" s="68">
        <f>SUM(F109:F114)</f>
        <v>0</v>
      </c>
      <c r="G115" s="68">
        <f>SUM(G109:G114)</f>
        <v>0</v>
      </c>
      <c r="H115" s="68">
        <f t="shared" si="6"/>
        <v>431285.69999999995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2667.79</v>
      </c>
      <c r="D118" s="23" t="s">
        <v>288</v>
      </c>
      <c r="E118" s="73">
        <f>+('DOE25'!L282)+('DOE25'!L301)+('DOE25'!L320)</f>
        <v>4454.18</v>
      </c>
      <c r="F118" s="23" t="s">
        <v>288</v>
      </c>
      <c r="G118" s="23" t="s">
        <v>288</v>
      </c>
      <c r="H118" s="13">
        <f t="shared" ref="H118:H145" si="7">SUM(C118:G118)</f>
        <v>7121.97</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58659.069999999992</v>
      </c>
      <c r="D120" s="23" t="s">
        <v>288</v>
      </c>
      <c r="E120" s="73">
        <f>+('DOE25'!L284)+('DOE25'!L303)+('DOE25'!L322)</f>
        <v>0</v>
      </c>
      <c r="F120" s="23" t="s">
        <v>288</v>
      </c>
      <c r="G120" s="23" t="s">
        <v>288</v>
      </c>
      <c r="H120" s="13">
        <f t="shared" si="7"/>
        <v>58659.069999999992</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49495.35</v>
      </c>
      <c r="D124" s="23" t="s">
        <v>288</v>
      </c>
      <c r="E124" s="73">
        <f>+('DOE25'!L288)+('DOE25'!L307)+('DOE25'!L326)</f>
        <v>0</v>
      </c>
      <c r="F124" s="23" t="s">
        <v>288</v>
      </c>
      <c r="G124" s="23" t="s">
        <v>288</v>
      </c>
      <c r="H124" s="13">
        <f t="shared" si="7"/>
        <v>49495.35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110822.20999999999</v>
      </c>
      <c r="D128" s="68">
        <f>SUM(D118:D127)</f>
        <v>0</v>
      </c>
      <c r="E128" s="68">
        <f>SUM(E118:E127)</f>
        <v>4454.18</v>
      </c>
      <c r="F128" s="68">
        <f>SUM(F118:F127)</f>
        <v>0</v>
      </c>
      <c r="G128" s="68">
        <f>SUM(G118:G127)</f>
        <v>0</v>
      </c>
      <c r="H128" s="68">
        <f t="shared" si="7"/>
        <v>115276.38999999998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40818.86</v>
      </c>
      <c r="D139" s="23" t="s">
        <v>288</v>
      </c>
      <c r="E139" s="23" t="s">
        <v>288</v>
      </c>
      <c r="F139" s="23" t="s">
        <v>288</v>
      </c>
      <c r="G139" s="23" t="s">
        <v>288</v>
      </c>
      <c r="H139" s="13">
        <f t="shared" si="7"/>
        <v>40818.86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-818.86000000000058</v>
      </c>
      <c r="D141" s="23" t="s">
        <v>288</v>
      </c>
      <c r="E141" s="23" t="s">
        <v>288</v>
      </c>
      <c r="F141" s="23" t="s">
        <v>288</v>
      </c>
      <c r="G141" s="23" t="s">
        <v>288</v>
      </c>
      <c r="H141" s="13">
        <f t="shared" si="7"/>
        <v>-818.86000000000058</v>
      </c>
    </row>
    <row r="142" spans="1:8" x14ac:dyDescent="0.2">
      <c r="A142" t="s">
        <v>241</v>
      </c>
      <c r="B142" s="31">
        <v>5310</v>
      </c>
      <c r="C142" s="92">
        <f>'DOE25'!L269</f>
        <v>5743.92</v>
      </c>
      <c r="D142" s="23" t="s">
        <v>288</v>
      </c>
      <c r="E142" s="92">
        <f>'DOE25'!L350</f>
        <v>0</v>
      </c>
      <c r="F142" s="23" t="s">
        <v>288</v>
      </c>
      <c r="G142" s="23" t="s">
        <v>288</v>
      </c>
      <c r="H142" s="13">
        <f t="shared" si="7"/>
        <v>5743.92</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45743.92</v>
      </c>
      <c r="D144" s="98">
        <f>SUM(D130:D143)</f>
        <v>0</v>
      </c>
      <c r="E144" s="98">
        <f>SUM(E130:E143)</f>
        <v>0</v>
      </c>
      <c r="F144" s="98">
        <f>SUM(F130:F143)</f>
        <v>0</v>
      </c>
      <c r="G144" s="98">
        <f>SUM(G130:G143)</f>
        <v>0</v>
      </c>
      <c r="H144" s="98">
        <f t="shared" si="7"/>
        <v>45743.92</v>
      </c>
    </row>
    <row r="145" spans="1:9" ht="12.75" thickTop="1" thickBot="1" x14ac:dyDescent="0.25">
      <c r="A145" s="32" t="s">
        <v>244</v>
      </c>
      <c r="C145" s="68">
        <f>(C115+C128+C144)</f>
        <v>586851.82999999996</v>
      </c>
      <c r="D145" s="68">
        <f>(D115+D128+D144)</f>
        <v>0</v>
      </c>
      <c r="E145" s="68">
        <f>(E115+E128+E144)</f>
        <v>5454.18</v>
      </c>
      <c r="F145" s="68">
        <f>(F115+F128+F144)</f>
        <v>0</v>
      </c>
      <c r="G145" s="68">
        <f>(G115+G128+G144)</f>
        <v>0</v>
      </c>
      <c r="H145" s="68">
        <f t="shared" si="7"/>
        <v>592306.01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24"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Clarksville</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387381</v>
      </c>
      <c r="D10" s="131">
        <f>ROUND((C10/$C$28)*100,1)</f>
        <v>70.099999999999994</v>
      </c>
    </row>
    <row r="11" spans="1:4" x14ac:dyDescent="0.2">
      <c r="A11">
        <v>1200</v>
      </c>
      <c r="B11" t="s">
        <v>703</v>
      </c>
      <c r="C11" s="128">
        <f>ROUND('DOE25'!L199+'DOE25'!L217+'DOE25'!L235+'DOE25'!L278+'DOE25'!L297+'DOE25'!L316,0)</f>
        <v>32904</v>
      </c>
      <c r="D11" s="131">
        <f>ROUND((C11/$C$28)*100,1)</f>
        <v>6</v>
      </c>
    </row>
    <row r="12" spans="1:4" x14ac:dyDescent="0.2">
      <c r="A12">
        <v>1300</v>
      </c>
      <c r="B12" t="s">
        <v>704</v>
      </c>
      <c r="C12" s="128">
        <f>ROUND('DOE25'!L200+'DOE25'!L218+'DOE25'!L236+'DOE25'!L279+'DOE25'!L298+'DOE25'!L317,0)</f>
        <v>11000</v>
      </c>
      <c r="D12" s="131">
        <f>ROUND((C12/$C$28)*100,1)</f>
        <v>2</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7122</v>
      </c>
      <c r="D15" s="131">
        <f t="shared" ref="D15:D27" si="0">ROUND((C15/$C$28)*100,1)</f>
        <v>1.3</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58659</v>
      </c>
      <c r="D17" s="131">
        <f t="shared" si="0"/>
        <v>10.6</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49495</v>
      </c>
      <c r="D21" s="131">
        <f t="shared" si="0"/>
        <v>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5743.92</v>
      </c>
      <c r="D26" s="131">
        <f t="shared" si="0"/>
        <v>1</v>
      </c>
    </row>
    <row r="27" spans="1:4" x14ac:dyDescent="0.2">
      <c r="A27">
        <v>3100</v>
      </c>
      <c r="B27" t="s">
        <v>11</v>
      </c>
      <c r="C27" s="128">
        <f>ROUND('DOE25'!L363-'DOE25'!L362,0)-SUM('DOE25'!G97:G110)</f>
        <v>0</v>
      </c>
      <c r="D27" s="131">
        <f t="shared" si="0"/>
        <v>0</v>
      </c>
    </row>
    <row r="28" spans="1:4" x14ac:dyDescent="0.2">
      <c r="B28" s="135" t="s">
        <v>719</v>
      </c>
      <c r="C28" s="129">
        <f>SUM(C10:C27)</f>
        <v>552304.92000000004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552304.92000000004</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386465</v>
      </c>
      <c r="D35" s="131">
        <f t="shared" ref="D35:D40" si="1">ROUND((C35/$C$41)*100,1)</f>
        <v>74.8</v>
      </c>
    </row>
    <row r="36" spans="1:4" x14ac:dyDescent="0.2">
      <c r="B36" s="71" t="s">
        <v>739</v>
      </c>
      <c r="C36" s="128">
        <f>SUM('DOE25'!F112:J112)-SUM('DOE25'!G97:G110)+('DOE25'!F175+'DOE25'!F176+'DOE25'!I175+'DOE25'!I176)-C35</f>
        <v>818.85999999998603</v>
      </c>
      <c r="D36" s="131">
        <f t="shared" si="1"/>
        <v>0.2</v>
      </c>
    </row>
    <row r="37" spans="1:4" x14ac:dyDescent="0.2">
      <c r="A37" s="132" t="s">
        <v>831</v>
      </c>
      <c r="B37" s="71" t="s">
        <v>728</v>
      </c>
      <c r="C37" s="128">
        <f>ROUND('DOE25'!F117+'DOE25'!F118,0)</f>
        <v>118665</v>
      </c>
      <c r="D37" s="131">
        <f t="shared" si="1"/>
        <v>23</v>
      </c>
    </row>
    <row r="38" spans="1:4" x14ac:dyDescent="0.2">
      <c r="A38" s="132" t="s">
        <v>734</v>
      </c>
      <c r="B38" s="71" t="s">
        <v>729</v>
      </c>
      <c r="C38" s="128">
        <f>ROUND(SUM('DOE25'!F140:J140)-SUM('DOE25'!F117:F119),0)</f>
        <v>5434</v>
      </c>
      <c r="D38" s="131">
        <f t="shared" si="1"/>
        <v>1.1000000000000001</v>
      </c>
    </row>
    <row r="39" spans="1:4" x14ac:dyDescent="0.2">
      <c r="A39">
        <v>4000</v>
      </c>
      <c r="B39" s="71" t="s">
        <v>730</v>
      </c>
      <c r="C39" s="128">
        <f>ROUND('DOE25'!F170+'DOE25'!G170+'DOE25'!H170+'DOE25'!I170,0)</f>
        <v>5454</v>
      </c>
      <c r="D39" s="131">
        <f t="shared" si="1"/>
        <v>1.1000000000000001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516836.86</v>
      </c>
      <c r="D41" s="133">
        <f>SUM(D35:D40)</f>
        <v>100.19999999999999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Clarksville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2024-08-21T18:00:09Z</cp:lastPrinted>
  <dcterms:created xsi:type="dcterms:W3CDTF">1997-12-04T19:04:30Z</dcterms:created>
  <dcterms:modified xsi:type="dcterms:W3CDTF">2025-01-06T12:27:23Z</dcterms:modified>
</cp:coreProperties>
</file>