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C35A509-E375-4528-9EE1-FD079B4D6C2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544" i="1" l="1"/>
  <c r="F166" i="1"/>
  <c r="F68" i="1"/>
  <c r="Q40" i="14"/>
  <c r="Q6" i="14"/>
  <c r="P40" i="14"/>
  <c r="P6" i="14"/>
  <c r="O40" i="14"/>
  <c r="O6" i="14"/>
  <c r="J524" i="1"/>
  <c r="J529" i="1"/>
  <c r="F529" i="1"/>
  <c r="K542" i="1"/>
  <c r="F527" i="1"/>
  <c r="K522" i="1"/>
  <c r="F522" i="1"/>
  <c r="K39" i="14"/>
  <c r="K5" i="14"/>
  <c r="E40" i="14"/>
  <c r="D39" i="14"/>
  <c r="D5" i="14"/>
  <c r="E6" i="14"/>
  <c r="E39" i="14"/>
  <c r="E5" i="14"/>
  <c r="F16" i="13"/>
  <c r="F15" i="13"/>
  <c r="F14" i="13"/>
  <c r="F5" i="13"/>
  <c r="C38" i="12"/>
  <c r="C28" i="12"/>
  <c r="C29" i="12"/>
  <c r="C19" i="12"/>
  <c r="C20" i="12"/>
  <c r="C10" i="12"/>
  <c r="C11" i="12"/>
  <c r="B29" i="12"/>
  <c r="B20" i="12"/>
  <c r="B19" i="12"/>
  <c r="B11" i="12"/>
  <c r="B38" i="12"/>
  <c r="B28" i="12"/>
  <c r="E13" i="17"/>
  <c r="E9" i="17"/>
  <c r="E17" i="17"/>
  <c r="H593" i="1"/>
  <c r="J596" i="1"/>
  <c r="H596" i="1"/>
  <c r="J595" i="1"/>
  <c r="H595" i="1"/>
  <c r="J594" i="1"/>
  <c r="J593" i="1"/>
  <c r="J592" i="1"/>
  <c r="H592" i="1"/>
  <c r="K209" i="1"/>
  <c r="K245" i="1"/>
  <c r="I245" i="1"/>
  <c r="H245" i="1"/>
  <c r="G245" i="1"/>
  <c r="H209" i="1"/>
  <c r="H368" i="1"/>
  <c r="F368" i="1"/>
  <c r="H369" i="1"/>
  <c r="F369" i="1"/>
  <c r="K201" i="1"/>
  <c r="K199" i="1"/>
  <c r="G612" i="1"/>
  <c r="F612" i="1"/>
  <c r="J605" i="1"/>
  <c r="H605" i="1"/>
  <c r="H532" i="1"/>
  <c r="H529" i="1"/>
  <c r="H527" i="1"/>
  <c r="H524" i="1"/>
  <c r="H522" i="1"/>
  <c r="G522" i="1"/>
  <c r="J527" i="1"/>
  <c r="G527" i="1"/>
  <c r="J522" i="1"/>
  <c r="I522" i="1"/>
  <c r="I544" i="1"/>
  <c r="I529" i="1"/>
  <c r="G529" i="1"/>
  <c r="G524" i="1"/>
  <c r="F524" i="1"/>
  <c r="K527" i="1"/>
  <c r="I527" i="1"/>
  <c r="I320" i="1"/>
  <c r="I282" i="1"/>
  <c r="H282" i="1"/>
  <c r="I315" i="1"/>
  <c r="J315" i="1"/>
  <c r="I323" i="1"/>
  <c r="I277" i="1"/>
  <c r="J277" i="1"/>
  <c r="I285" i="1"/>
  <c r="H320" i="1"/>
  <c r="I361" i="1"/>
  <c r="H361" i="1"/>
  <c r="I359" i="1"/>
  <c r="H359" i="1"/>
  <c r="J361" i="1"/>
  <c r="J359" i="1"/>
  <c r="J469" i="1"/>
  <c r="G440" i="1" l="1"/>
  <c r="F440" i="1"/>
  <c r="H423" i="1"/>
  <c r="H416" i="1"/>
  <c r="I416" i="1"/>
  <c r="H401" i="1"/>
  <c r="H393" i="1"/>
  <c r="H397" i="1"/>
  <c r="H398" i="1"/>
  <c r="H400" i="1"/>
  <c r="H390" i="1"/>
  <c r="H337" i="1"/>
  <c r="I325" i="1"/>
  <c r="K324" i="1"/>
  <c r="H323" i="1"/>
  <c r="K321" i="1"/>
  <c r="I321" i="1"/>
  <c r="H321" i="1"/>
  <c r="G321" i="1"/>
  <c r="F321" i="1"/>
  <c r="J320" i="1"/>
  <c r="K317" i="1"/>
  <c r="J317" i="1"/>
  <c r="I317" i="1"/>
  <c r="J316" i="1"/>
  <c r="H316" i="1"/>
  <c r="G316" i="1"/>
  <c r="F316" i="1"/>
  <c r="K315" i="1"/>
  <c r="I288" i="1"/>
  <c r="G288" i="1"/>
  <c r="F288" i="1"/>
  <c r="K286" i="1"/>
  <c r="H285" i="1"/>
  <c r="G284" i="1"/>
  <c r="F284" i="1"/>
  <c r="K283" i="1"/>
  <c r="I283" i="1"/>
  <c r="H283" i="1"/>
  <c r="G283" i="1"/>
  <c r="F283" i="1"/>
  <c r="J282" i="1"/>
  <c r="G282" i="1"/>
  <c r="F282" i="1"/>
  <c r="J280" i="1"/>
  <c r="G280" i="1"/>
  <c r="F280" i="1"/>
  <c r="J278" i="1"/>
  <c r="I278" i="1"/>
  <c r="H278" i="1"/>
  <c r="G278" i="1"/>
  <c r="F278" i="1"/>
  <c r="K277" i="1"/>
  <c r="G277" i="1"/>
  <c r="F277" i="1"/>
  <c r="J246" i="1"/>
  <c r="I246" i="1"/>
  <c r="H246" i="1"/>
  <c r="J245" i="1"/>
  <c r="F245" i="1"/>
  <c r="K244" i="1"/>
  <c r="J244" i="1"/>
  <c r="I244" i="1"/>
  <c r="H244" i="1"/>
  <c r="G244" i="1"/>
  <c r="F244" i="1"/>
  <c r="K242" i="1"/>
  <c r="J242" i="1"/>
  <c r="I242" i="1"/>
  <c r="H242" i="1"/>
  <c r="G242" i="1"/>
  <c r="F242" i="1"/>
  <c r="K241" i="1"/>
  <c r="I241" i="1"/>
  <c r="H241" i="1"/>
  <c r="G241" i="1"/>
  <c r="F241" i="1"/>
  <c r="K240" i="1"/>
  <c r="H240" i="1"/>
  <c r="G240" i="1"/>
  <c r="F240" i="1"/>
  <c r="K239" i="1"/>
  <c r="I239" i="1"/>
  <c r="H239" i="1"/>
  <c r="G239" i="1"/>
  <c r="F239" i="1"/>
  <c r="K237" i="1"/>
  <c r="J237" i="1"/>
  <c r="I237" i="1"/>
  <c r="H237" i="1"/>
  <c r="G237" i="1"/>
  <c r="F237" i="1"/>
  <c r="K236" i="1"/>
  <c r="J236" i="1"/>
  <c r="I236" i="1"/>
  <c r="H236" i="1"/>
  <c r="G236" i="1"/>
  <c r="F236" i="1"/>
  <c r="I235" i="1"/>
  <c r="H235" i="1"/>
  <c r="G235" i="1"/>
  <c r="F235" i="1"/>
  <c r="K234" i="1"/>
  <c r="J234" i="1"/>
  <c r="I234" i="1"/>
  <c r="H234" i="1"/>
  <c r="G234" i="1"/>
  <c r="F234" i="1"/>
  <c r="J210" i="1"/>
  <c r="I210" i="1"/>
  <c r="H210" i="1"/>
  <c r="J209" i="1"/>
  <c r="I209" i="1"/>
  <c r="G209" i="1"/>
  <c r="F209" i="1"/>
  <c r="K208" i="1"/>
  <c r="J208" i="1"/>
  <c r="I208" i="1"/>
  <c r="H208" i="1"/>
  <c r="G208" i="1"/>
  <c r="F208" i="1"/>
  <c r="K206" i="1"/>
  <c r="I206" i="1"/>
  <c r="H206" i="1"/>
  <c r="G206" i="1"/>
  <c r="F206" i="1"/>
  <c r="K205" i="1"/>
  <c r="I205" i="1"/>
  <c r="H205" i="1"/>
  <c r="G205" i="1"/>
  <c r="F205" i="1"/>
  <c r="K204" i="1"/>
  <c r="I204" i="1"/>
  <c r="H204" i="1"/>
  <c r="G204" i="1"/>
  <c r="F204" i="1"/>
  <c r="K203" i="1"/>
  <c r="I203" i="1"/>
  <c r="H203" i="1"/>
  <c r="G203" i="1"/>
  <c r="F203" i="1"/>
  <c r="J201" i="1"/>
  <c r="I201" i="1"/>
  <c r="H201" i="1"/>
  <c r="G201" i="1"/>
  <c r="F201" i="1"/>
  <c r="I199" i="1"/>
  <c r="H199" i="1"/>
  <c r="G199" i="1"/>
  <c r="F199" i="1"/>
  <c r="K198" i="1"/>
  <c r="J198" i="1"/>
  <c r="I198" i="1"/>
  <c r="H198" i="1"/>
  <c r="G198" i="1"/>
  <c r="F198" i="1"/>
  <c r="G158" i="1"/>
  <c r="G97" i="1"/>
  <c r="H161" i="1"/>
  <c r="H159" i="1"/>
  <c r="H156" i="1"/>
  <c r="H155" i="1"/>
  <c r="H154" i="1"/>
  <c r="H145" i="1"/>
  <c r="H110" i="1"/>
  <c r="H162" i="1"/>
  <c r="H22" i="1"/>
  <c r="H24" i="1"/>
  <c r="H28" i="1"/>
  <c r="H12" i="1"/>
  <c r="H30" i="1"/>
  <c r="H13" i="1"/>
  <c r="G24" i="1"/>
  <c r="F50" i="1"/>
  <c r="F2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34" i="2"/>
  <c r="H132" i="2"/>
  <c r="H131" i="2"/>
  <c r="H113" i="2"/>
  <c r="H114" i="2"/>
  <c r="H97" i="2"/>
  <c r="H98" i="2"/>
  <c r="H101" i="2"/>
  <c r="H102" i="2"/>
  <c r="H96" i="2"/>
  <c r="H94" i="2"/>
  <c r="H93" i="2"/>
  <c r="H89" i="2"/>
  <c r="H87" i="2"/>
  <c r="H73" i="2"/>
  <c r="H74" i="2"/>
  <c r="H75" i="2"/>
  <c r="H79" i="2"/>
  <c r="H80" i="2"/>
  <c r="H72" i="2"/>
  <c r="H58" i="2"/>
  <c r="H43" i="2"/>
  <c r="H44" i="2"/>
  <c r="H42" i="2"/>
  <c r="H40" i="2"/>
  <c r="H39" i="2"/>
  <c r="H38" i="2"/>
  <c r="H36" i="2"/>
  <c r="H35" i="2"/>
  <c r="H22" i="2"/>
  <c r="H24" i="2"/>
  <c r="H25" i="2"/>
  <c r="H26"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H30" i="2" s="1"/>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C76" i="2"/>
  <c r="H76" i="2" s="1"/>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H100" i="2" s="1"/>
  <c r="D100" i="2"/>
  <c r="E100" i="2"/>
  <c r="F100" i="2"/>
  <c r="C101" i="2"/>
  <c r="D101" i="2"/>
  <c r="E101" i="2"/>
  <c r="F101" i="2"/>
  <c r="C102" i="2"/>
  <c r="D102" i="2"/>
  <c r="E102" i="2"/>
  <c r="F102" i="2"/>
  <c r="E111" i="2"/>
  <c r="D115" i="2"/>
  <c r="F115" i="2"/>
  <c r="G115" i="2"/>
  <c r="C125" i="2"/>
  <c r="H125" i="2" s="1"/>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J652" i="1" l="1"/>
  <c r="H477" i="1"/>
  <c r="H625" i="1" s="1"/>
  <c r="J625" i="1" s="1"/>
  <c r="G477" i="1"/>
  <c r="H624" i="1" s="1"/>
  <c r="J624" i="1" s="1"/>
  <c r="H8" i="2"/>
  <c r="I409" i="1"/>
  <c r="D29" i="13"/>
  <c r="C29" i="13" s="1"/>
  <c r="G662" i="1"/>
  <c r="D15" i="13"/>
  <c r="C15" i="13" s="1"/>
  <c r="C13" i="10"/>
  <c r="C12" i="10"/>
  <c r="K36" i="14"/>
  <c r="K37" i="14" s="1"/>
  <c r="C120" i="2"/>
  <c r="H120" i="2" s="1"/>
  <c r="C119" i="2"/>
  <c r="C112" i="2"/>
  <c r="H112" i="2" s="1"/>
  <c r="K2" i="14"/>
  <c r="K3" i="14" s="1"/>
  <c r="H59" i="2"/>
  <c r="D78" i="2"/>
  <c r="H77" i="2"/>
  <c r="H61" i="2"/>
  <c r="H27" i="2"/>
  <c r="H11" i="2"/>
  <c r="H21" i="2"/>
  <c r="H29" i="2"/>
  <c r="H47"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H122" i="2" s="1"/>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I662" i="1"/>
  <c r="H123" i="2"/>
  <c r="D128" i="2"/>
  <c r="D145" i="2" s="1"/>
  <c r="H127" i="2"/>
  <c r="I663" i="1"/>
  <c r="H119" i="2"/>
  <c r="E91" i="2"/>
  <c r="H91" i="2" s="1"/>
  <c r="H85" i="2"/>
  <c r="H62" i="2"/>
  <c r="C81" i="2"/>
  <c r="H81" i="2" s="1"/>
  <c r="F194" i="1"/>
  <c r="G628" i="1" s="1"/>
  <c r="J628" i="1" s="1"/>
  <c r="E51" i="2"/>
  <c r="H31" i="2"/>
  <c r="D51" i="2"/>
  <c r="H50"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E104" i="2"/>
  <c r="C104" i="2"/>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0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<sst xmlns="http://schemas.openxmlformats.org/spreadsheetml/2006/main" count="6643" uniqueCount="1841">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</sst>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957</v>
      </c>
      <c r="B2">
        <f>INDEX('School Tables'!$AH$3:$AH$213,MATCH('DOE25'!A2,'School Tables'!$AJ$3:$AJ$213,0))</f>
        <v>105</v>
      </c>
      <c r="C2">
        <f>INDEX('School Tables'!$AI$3:$AI$213,MATCH('DOE25'!A2,'School Tables'!$AJ$3:$AJ$213,0))</f>
        <v>105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586225.02</v>
      </c>
      <c r="G9" s="18">
        <v>398564.74</v>
      </c>
      <c r="H9" s="18"/>
      <c r="I9" s="18"/>
      <c r="J9" s="13">
        <f>SUM(I440)</f>
        <v>1275464.5900000001</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435554.59</v>
      </c>
      <c r="G12" s="18"/>
      <c r="H12" s="18">
        <f>94+8187.41+436.35+346.15+861.68</f>
        <v>9925.59</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454835.09</v>
      </c>
      <c r="G13" s="18">
        <v>19433.88</v>
      </c>
      <c r="H13" s="18">
        <f>3118.99+32886.47+73687.72</f>
        <v>109693.18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2.85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4000.56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1476614.7000000002</v>
      </c>
      <c r="G19" s="38">
        <f>SUM(G9:G18)</f>
        <v>422002.02999999997</v>
      </c>
      <c r="H19" s="38">
        <f>SUM(H9:H18)</f>
        <v>119618.76999999999</v>
      </c>
      <c r="I19" s="38">
        <f>SUM(I9:I18)</f>
        <v>0</v>
      </c>
      <c r="J19" s="38">
        <f>SUM(J9:J18)</f>
        <v>1275464.5900000001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360816.48</v>
      </c>
      <c r="H22" s="18">
        <f>3118.99+19631.55+61476.69</f>
        <v>84227.23000000001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156085.82</v>
      </c>
      <c r="G24" s="18">
        <f>11192.59+230.19</f>
        <v>11422.78</v>
      </c>
      <c r="H24" s="18">
        <f>7380</f>
        <v>7380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152228.76+11645.5+26885.86</f>
        <v>190760.12</v>
      </c>
      <c r="G28" s="18"/>
      <c r="H28" s="18">
        <f>4615.42+353.09+906.41+2111.87+161.56+414.77</f>
        <v>8563.1200000000008</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541.66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11138.71</v>
      </c>
      <c r="H30" s="18">
        <f>94+8187.41+436.35+346.15+861.68+9514+8.83</f>
        <v>19448.420000000002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347387.6</v>
      </c>
      <c r="G32" s="38">
        <f>SUM(G22:G31)</f>
        <v>383377.97000000003</v>
      </c>
      <c r="H32" s="38">
        <f>SUM(H22:H31)</f>
        <v>119618.77</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4000.56</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141073.54999999999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t="s">
        <v>286</v>
      </c>
      <c r="G48" s="18">
        <v>34623.5</v>
      </c>
      <c r="H48" s="18" t="s">
        <v>286</v>
      </c>
      <c r="I48" s="18"/>
      <c r="J48" s="13">
        <f>SUM(I460)</f>
        <v>1275464.5900000001</v>
      </c>
      <c r="K48" s="23" t="s">
        <v>288</v>
      </c>
      <c r="L48" s="23" t="s">
        <v>288</v>
      </c>
      <c r="M48" s="8"/>
      <c r="N48" s="164"/>
    </row>
    <row r="49" spans="1:14" s="3" customFormat="1" ht="12.2" customHeight="1" x14ac:dyDescent="0.15">
      <c r="A49" s="1" t="s">
        <v>855</v>
      </c>
      <c r="B49" s="2" t="s">
        <v>289</v>
      </c>
      <c r="C49" s="6">
        <v>34</v>
      </c>
      <c r="D49" s="2"/>
      <c r="E49" s="6">
        <v>753</v>
      </c>
      <c r="F49" s="18">
        <v>65684.31</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732054.71+190414.53</f>
        <v>922469.24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1129227.1000000001</v>
      </c>
      <c r="G51" s="38">
        <f>SUM(G35:G50)</f>
        <v>38624.06</v>
      </c>
      <c r="H51" s="38">
        <f>SUM(H35:H50)</f>
        <v>0</v>
      </c>
      <c r="I51" s="38">
        <f>SUM(I35:I50)</f>
        <v>0</v>
      </c>
      <c r="J51" s="38">
        <f>SUM(J35:J50)</f>
        <v>1275464.5900000001</v>
      </c>
      <c r="K51" s="42" t="s">
        <v>288</v>
      </c>
      <c r="L51" s="42" t="s">
        <v>288</v>
      </c>
      <c r="N51" s="130"/>
    </row>
    <row r="52" spans="1:14" s="3" customFormat="1" ht="12.2" customHeight="1" thickTop="1" x14ac:dyDescent="0.15">
      <c r="A52" s="35" t="s">
        <v>455</v>
      </c>
      <c r="B52" s="36" t="s">
        <v>289</v>
      </c>
      <c r="C52" s="6">
        <v>37</v>
      </c>
      <c r="D52" s="36" t="s">
        <v>653</v>
      </c>
      <c r="E52" s="36"/>
      <c r="F52" s="38">
        <f>F51+F32</f>
        <v>1476614.7000000002</v>
      </c>
      <c r="G52" s="38">
        <f>G51+G32</f>
        <v>422002.03</v>
      </c>
      <c r="H52" s="38">
        <f>H51+H32</f>
        <v>119618.77</v>
      </c>
      <c r="I52" s="38">
        <f>I51+I32</f>
        <v>0</v>
      </c>
      <c r="J52" s="38">
        <f>J51+J32</f>
        <v>1275464.5900000001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2530734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2530734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1391425.38-15938.71</f>
        <v>1375486.67</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261024.45</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1636511.1199999999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104.98</v>
      </c>
      <c r="G96" s="18"/>
      <c r="H96" s="18"/>
      <c r="I96" s="18"/>
      <c r="J96" s="18">
        <v>26499.18</v>
      </c>
      <c r="K96" s="23" t="s">
        <v>288</v>
      </c>
      <c r="L96" s="23" t="s">
        <v>288</v>
      </c>
      <c r="M96" s="8"/>
      <c r="N96" s="164"/>
    </row>
    <row r="97" spans="1:14" s="3" customFormat="1" ht="12.2" customHeight="1" x14ac:dyDescent="0.15">
      <c r="A97" s="1" t="s">
        <v>503</v>
      </c>
      <c r="B97" s="2" t="s">
        <v>315</v>
      </c>
      <c r="C97" s="6">
        <v>12</v>
      </c>
      <c r="D97" s="2" t="s">
        <v>430</v>
      </c>
      <c r="E97" s="6">
        <v>1600</v>
      </c>
      <c r="F97" s="23" t="s">
        <v>288</v>
      </c>
      <c r="G97" s="18">
        <f>56181.74</f>
        <v>56181.74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18000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v>7448.1</v>
      </c>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91604.6</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31967.71</v>
      </c>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-23041.46</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f>804+728.94+2000+603.33+5486</f>
        <v>9622.27</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118635.83000000002</v>
      </c>
      <c r="G111" s="38">
        <f>SUM(G96:G110)</f>
        <v>56181.74</v>
      </c>
      <c r="H111" s="38">
        <f>SUM(H96:H110)</f>
        <v>9622.27</v>
      </c>
      <c r="I111" s="38">
        <f>SUM(I96:I110)</f>
        <v>0</v>
      </c>
      <c r="J111" s="38">
        <f>SUM(J96:J110)</f>
        <v>33947.279999999999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4285880.95</v>
      </c>
      <c r="G112" s="38">
        <f>G60+G111</f>
        <v>56181.74</v>
      </c>
      <c r="H112" s="38">
        <f>H60+H79+H94+H111</f>
        <v>9622.27</v>
      </c>
      <c r="I112" s="38">
        <f>I60+I111</f>
        <v>0</v>
      </c>
      <c r="J112" s="38">
        <f>J60+J111</f>
        <v>33947.279999999999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2066171.42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290737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798.04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2357706.46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23753.72</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4734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676.83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28487.72</v>
      </c>
      <c r="G136" s="38">
        <f>SUM(G123:G135)</f>
        <v>676.83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2386194.1800000002</v>
      </c>
      <c r="G140" s="38">
        <f>G121+SUM(G136:G137)</f>
        <v>676.83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f>4073</f>
        <v>4073</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4073</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10408.18+178023.08</f>
        <v>188431.25999999998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5520.52+27750.99+956.04+6720+21654.03+16520</f>
        <v>79121.58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15326.26</f>
        <v>15326.26</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89082.6+18733.09</f>
        <v>107815.69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5899.21+6437.45+63824.46</f>
        <v>76161.119999999995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2004.26+14842.58+3017.5</f>
        <v>19864.34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44652.1+169359.65</f>
        <v>214011.75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107815.69</v>
      </c>
      <c r="H163" s="38">
        <f>SUM(H150:H162)</f>
        <v>592916.31000000006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f>15938.71</f>
        <v>15938.71</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15938.71</v>
      </c>
      <c r="G170" s="38">
        <f>G147+G163+SUM(G164:G169)</f>
        <v>107815.69</v>
      </c>
      <c r="H170" s="38">
        <f>H147+H163+SUM(H164:H169)</f>
        <v>596989.31000000006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177066.59</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32000.5</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209067.09</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209067.09</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6897080.9300000006</v>
      </c>
      <c r="G194" s="38">
        <f>G112+G140+G170+G193</f>
        <v>164674.26</v>
      </c>
      <c r="H194" s="38">
        <f>H112+H140+H170+H193</f>
        <v>606611.58000000007</v>
      </c>
      <c r="I194" s="38">
        <f>I112+I140+I170+I193</f>
        <v>0</v>
      </c>
      <c r="J194" s="38">
        <f>J112+J140+J193</f>
        <v>33947.279999999999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789241.61</f>
        <v>789241.61</v>
      </c>
      <c r="G198" s="18">
        <f>490764.16</f>
        <v>490764.16</v>
      </c>
      <c r="H198" s="18">
        <f>2246.4+2960.89</f>
        <v>5207.29</v>
      </c>
      <c r="I198" s="18">
        <f>25265.43</f>
        <v>25265.43</v>
      </c>
      <c r="J198" s="18">
        <f>159.99</f>
        <v>159.99</v>
      </c>
      <c r="K198" s="18">
        <f>1032.07</f>
        <v>1032.07</v>
      </c>
      <c r="L198" s="13">
        <f>SUM(F198:K198)</f>
        <v>1311670.55</v>
      </c>
      <c r="M198" s="8"/>
      <c r="N198" s="164"/>
    </row>
    <row r="199" spans="1:14" s="3" customFormat="1" ht="12.2" customHeight="1" x14ac:dyDescent="0.15">
      <c r="A199" s="1" t="s">
        <v>439</v>
      </c>
      <c r="B199" s="2" t="s">
        <v>341</v>
      </c>
      <c r="C199" s="2" t="s">
        <v>291</v>
      </c>
      <c r="D199" s="2" t="s">
        <v>431</v>
      </c>
      <c r="E199" s="6">
        <v>1200</v>
      </c>
      <c r="F199" s="18">
        <f>414414.39</f>
        <v>414414.39</v>
      </c>
      <c r="G199" s="18">
        <f>97856.63</f>
        <v>97856.63</v>
      </c>
      <c r="H199" s="18">
        <f>28500</f>
        <v>28500</v>
      </c>
      <c r="I199" s="18">
        <f>930.78</f>
        <v>930.78</v>
      </c>
      <c r="J199" s="18"/>
      <c r="K199" s="18">
        <f>52212.06</f>
        <v>52212.06</v>
      </c>
      <c r="L199" s="13">
        <f>SUM(F199:K199)</f>
        <v>593913.8600000001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29713.5</f>
        <v>29713.5</v>
      </c>
      <c r="G201" s="18">
        <f>4681.07</f>
        <v>4681.07</v>
      </c>
      <c r="H201" s="18">
        <f>4309.02+392.43</f>
        <v>4701.4500000000007</v>
      </c>
      <c r="I201" s="18">
        <f>2088.25</f>
        <v>2088.25</v>
      </c>
      <c r="J201" s="18">
        <f>6000</f>
        <v>6000</v>
      </c>
      <c r="K201" s="18">
        <f>11385.29</f>
        <v>11385.29</v>
      </c>
      <c r="L201" s="13">
        <f>SUM(F201:K201)</f>
        <v>58569.560000000005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318662.16</f>
        <v>318662.15999999997</v>
      </c>
      <c r="G203" s="18">
        <f>87782.11</f>
        <v>87782.11</v>
      </c>
      <c r="H203" s="18">
        <f>25626.94+76.38</f>
        <v>25703.32</v>
      </c>
      <c r="I203" s="18">
        <f>5067.76</f>
        <v>5067.76</v>
      </c>
      <c r="J203" s="18"/>
      <c r="K203" s="18">
        <f>6973.1</f>
        <v>6973.1</v>
      </c>
      <c r="L203" s="13">
        <f t="shared" ref="L203:L209" si="0">SUM(F203:K203)</f>
        <v>444188.44999999995</v>
      </c>
      <c r="M203" s="8"/>
      <c r="N203" s="164"/>
    </row>
    <row r="204" spans="1:14" s="3" customFormat="1" ht="12.2" customHeight="1" x14ac:dyDescent="0.15">
      <c r="A204" s="1" t="s">
        <v>443</v>
      </c>
      <c r="B204" s="2" t="s">
        <v>341</v>
      </c>
      <c r="C204" s="2" t="s">
        <v>295</v>
      </c>
      <c r="D204" s="2" t="s">
        <v>431</v>
      </c>
      <c r="E204" s="6">
        <v>2200</v>
      </c>
      <c r="F204" s="18">
        <f>67467.63</f>
        <v>67467.63</v>
      </c>
      <c r="G204" s="18">
        <f>34671.65</f>
        <v>34671.65</v>
      </c>
      <c r="H204" s="18">
        <f>165.71</f>
        <v>165.71</v>
      </c>
      <c r="I204" s="18">
        <f>2846.01</f>
        <v>2846.01</v>
      </c>
      <c r="J204" s="18"/>
      <c r="K204" s="18">
        <f>1406.86+10320</f>
        <v>11726.86</v>
      </c>
      <c r="L204" s="13">
        <f t="shared" si="0"/>
        <v>116877.86</v>
      </c>
      <c r="M204" s="8"/>
      <c r="N204" s="164"/>
    </row>
    <row r="205" spans="1:14" s="3" customFormat="1" ht="12.2" customHeight="1" x14ac:dyDescent="0.15">
      <c r="A205" s="1" t="s">
        <v>444</v>
      </c>
      <c r="B205" s="2" t="s">
        <v>341</v>
      </c>
      <c r="C205" s="2" t="s">
        <v>296</v>
      </c>
      <c r="D205" s="2" t="s">
        <v>431</v>
      </c>
      <c r="E205" s="6">
        <v>2300</v>
      </c>
      <c r="F205" s="18">
        <f>15518.44</f>
        <v>15518.44</v>
      </c>
      <c r="G205" s="18">
        <f>3128.13</f>
        <v>3128.13</v>
      </c>
      <c r="H205" s="18">
        <f>377987.34+8717.58</f>
        <v>386704.92000000004</v>
      </c>
      <c r="I205" s="18">
        <f>593.27</f>
        <v>593.27</v>
      </c>
      <c r="J205" s="18"/>
      <c r="K205" s="18">
        <f>4191.06</f>
        <v>4191.0600000000004</v>
      </c>
      <c r="L205" s="13">
        <f t="shared" si="0"/>
        <v>410135.82000000007</v>
      </c>
      <c r="M205" s="8"/>
      <c r="N205" s="164"/>
    </row>
    <row r="206" spans="1:14" s="3" customFormat="1" ht="12.2" customHeight="1" x14ac:dyDescent="0.15">
      <c r="A206" s="1" t="s">
        <v>445</v>
      </c>
      <c r="B206" s="2" t="s">
        <v>341</v>
      </c>
      <c r="C206" s="2" t="s">
        <v>297</v>
      </c>
      <c r="D206" s="2" t="s">
        <v>431</v>
      </c>
      <c r="E206" s="6">
        <v>2400</v>
      </c>
      <c r="F206" s="18">
        <f>133863.68</f>
        <v>133863.67999999999</v>
      </c>
      <c r="G206" s="18">
        <f>53385.43</f>
        <v>53385.43</v>
      </c>
      <c r="H206" s="18">
        <f>1096.72+1286.19+11233.76</f>
        <v>13616.67</v>
      </c>
      <c r="I206" s="18">
        <f>4936.21</f>
        <v>4936.21</v>
      </c>
      <c r="J206" s="18"/>
      <c r="K206" s="18">
        <f>1625.93</f>
        <v>1625.93</v>
      </c>
      <c r="L206" s="13">
        <f t="shared" si="0"/>
        <v>207427.91999999998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97146.45</f>
        <v>97146.45</v>
      </c>
      <c r="G208" s="18">
        <f>42982.99</f>
        <v>42982.99</v>
      </c>
      <c r="H208" s="18">
        <f>59342.44+143683.75+11233.26</f>
        <v>214259.45</v>
      </c>
      <c r="I208" s="18">
        <f>144499.34</f>
        <v>144499.34</v>
      </c>
      <c r="J208" s="18">
        <f>6085.19</f>
        <v>6085.19</v>
      </c>
      <c r="K208" s="18">
        <f>507.41</f>
        <v>507.41</v>
      </c>
      <c r="L208" s="13">
        <f t="shared" si="0"/>
        <v>505480.82999999996</v>
      </c>
      <c r="M208" s="8"/>
      <c r="N208" s="164"/>
    </row>
    <row r="209" spans="1:14" s="3" customFormat="1" ht="12.2" customHeight="1" x14ac:dyDescent="0.15">
      <c r="A209" s="1" t="s">
        <v>448</v>
      </c>
      <c r="B209" s="2" t="s">
        <v>341</v>
      </c>
      <c r="C209" s="2" t="s">
        <v>300</v>
      </c>
      <c r="D209" s="2" t="s">
        <v>431</v>
      </c>
      <c r="E209" s="6">
        <v>2700</v>
      </c>
      <c r="F209" s="18">
        <f>2664.17</f>
        <v>2664.17</v>
      </c>
      <c r="G209" s="18">
        <f>202.89</f>
        <v>202.89</v>
      </c>
      <c r="H209" s="18">
        <f>114546.38+14.39</f>
        <v>114560.77</v>
      </c>
      <c r="I209" s="18">
        <f>20.63</f>
        <v>20.63</v>
      </c>
      <c r="J209" s="18">
        <f>21.99</f>
        <v>21.99</v>
      </c>
      <c r="K209" s="18">
        <f>540.47+13672.71</f>
        <v>14213.179999999998</v>
      </c>
      <c r="L209" s="13">
        <f t="shared" si="0"/>
        <v>131683.63</v>
      </c>
      <c r="M209" s="8"/>
      <c r="N209" s="164"/>
    </row>
    <row r="210" spans="1:14" s="3" customFormat="1" ht="12.2" customHeight="1" x14ac:dyDescent="0.15">
      <c r="A210" s="1" t="s">
        <v>449</v>
      </c>
      <c r="B210" s="2" t="s">
        <v>341</v>
      </c>
      <c r="C210" s="2" t="s">
        <v>343</v>
      </c>
      <c r="D210" s="2" t="s">
        <v>431</v>
      </c>
      <c r="E210" s="6">
        <v>2800</v>
      </c>
      <c r="F210" s="18"/>
      <c r="G210" s="18"/>
      <c r="H210" s="18">
        <f>1448.12</f>
        <v>1448.12</v>
      </c>
      <c r="I210" s="18">
        <f>33990.03</f>
        <v>33990.03</v>
      </c>
      <c r="J210" s="18">
        <f>33524.72</f>
        <v>33524.720000000001</v>
      </c>
      <c r="K210" s="18"/>
      <c r="L210" s="13">
        <f>SUM(F210:K210)</f>
        <v>68962.87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1868692.0299999998</v>
      </c>
      <c r="G212" s="38">
        <f t="shared" si="1"/>
        <v>815455.06</v>
      </c>
      <c r="H212" s="38">
        <f t="shared" si="1"/>
        <v>794867.70000000007</v>
      </c>
      <c r="I212" s="38">
        <f t="shared" si="1"/>
        <v>220237.71</v>
      </c>
      <c r="J212" s="38">
        <f t="shared" si="1"/>
        <v>45791.89</v>
      </c>
      <c r="K212" s="38">
        <f t="shared" si="1"/>
        <v>103866.95999999999</v>
      </c>
      <c r="L212" s="38">
        <f t="shared" si="1"/>
        <v>3848911.3499999996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557178.29</f>
        <v>557178.29</v>
      </c>
      <c r="G234" s="18">
        <f>293481.11</f>
        <v>293481.11</v>
      </c>
      <c r="H234" s="18">
        <f>1497.48+4251.64+295</f>
        <v>6044.1200000000008</v>
      </c>
      <c r="I234" s="18">
        <f>18132.4</f>
        <v>18132.400000000001</v>
      </c>
      <c r="J234" s="18">
        <f>1907.59</f>
        <v>1907.59</v>
      </c>
      <c r="K234" s="18">
        <f>5582.35</f>
        <v>5582.35</v>
      </c>
      <c r="L234" s="13">
        <f>SUM(F234:K234)</f>
        <v>882325.86</v>
      </c>
      <c r="M234" s="8"/>
      <c r="N234" s="164"/>
    </row>
    <row r="235" spans="1:14" s="3" customFormat="1" ht="12.2" customHeight="1" x14ac:dyDescent="0.15">
      <c r="A235" s="1" t="s">
        <v>439</v>
      </c>
      <c r="B235" s="2" t="s">
        <v>350</v>
      </c>
      <c r="C235" s="2" t="s">
        <v>291</v>
      </c>
      <c r="D235" s="2" t="s">
        <v>431</v>
      </c>
      <c r="E235" s="6">
        <v>1200</v>
      </c>
      <c r="F235" s="18">
        <f>117624.02</f>
        <v>117624.02</v>
      </c>
      <c r="G235" s="18">
        <f>24169.02</f>
        <v>24169.02</v>
      </c>
      <c r="H235" s="18">
        <f>10368+296.01</f>
        <v>10664.01</v>
      </c>
      <c r="I235" s="18">
        <f>96.46</f>
        <v>96.46</v>
      </c>
      <c r="J235" s="18"/>
      <c r="K235" s="18"/>
      <c r="L235" s="13">
        <f>SUM(F235:K235)</f>
        <v>152553.51</v>
      </c>
      <c r="M235" s="8"/>
      <c r="N235" s="164"/>
    </row>
    <row r="236" spans="1:14" s="3" customFormat="1" ht="12.2" customHeight="1" x14ac:dyDescent="0.15">
      <c r="A236" s="1" t="s">
        <v>440</v>
      </c>
      <c r="B236" s="2" t="s">
        <v>350</v>
      </c>
      <c r="C236" s="2" t="s">
        <v>292</v>
      </c>
      <c r="D236" s="2" t="s">
        <v>431</v>
      </c>
      <c r="E236" s="6">
        <v>1300</v>
      </c>
      <c r="F236" s="18">
        <f>93238.12</f>
        <v>93238.12</v>
      </c>
      <c r="G236" s="18">
        <f>56087.05</f>
        <v>56087.05</v>
      </c>
      <c r="H236" s="18">
        <f>57415.21</f>
        <v>57415.21</v>
      </c>
      <c r="I236" s="18">
        <f>13282.85</f>
        <v>13282.85</v>
      </c>
      <c r="J236" s="18">
        <f>978.89</f>
        <v>978.89</v>
      </c>
      <c r="K236" s="18">
        <f>445</f>
        <v>445</v>
      </c>
      <c r="L236" s="13">
        <f>SUM(F236:K236)</f>
        <v>221447.12</v>
      </c>
      <c r="M236" s="8"/>
      <c r="N236" s="164"/>
    </row>
    <row r="237" spans="1:14" s="3" customFormat="1" ht="12.2" customHeight="1" x14ac:dyDescent="0.15">
      <c r="A237" s="1" t="s">
        <v>441</v>
      </c>
      <c r="B237" s="2" t="s">
        <v>350</v>
      </c>
      <c r="C237" s="2" t="s">
        <v>293</v>
      </c>
      <c r="D237" s="2" t="s">
        <v>431</v>
      </c>
      <c r="E237" s="6">
        <v>1400</v>
      </c>
      <c r="F237" s="18">
        <f>94980</f>
        <v>94980</v>
      </c>
      <c r="G237" s="18">
        <f>21097.89</f>
        <v>21097.89</v>
      </c>
      <c r="H237" s="18">
        <f>15023.6+764.77</f>
        <v>15788.37</v>
      </c>
      <c r="I237" s="18">
        <f>8253.68</f>
        <v>8253.68</v>
      </c>
      <c r="J237" s="18">
        <f>6593.09</f>
        <v>6593.09</v>
      </c>
      <c r="K237" s="18">
        <f>8845</f>
        <v>8845</v>
      </c>
      <c r="L237" s="13">
        <f>SUM(F237:K237)</f>
        <v>155558.03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101163.1</f>
        <v>101163.1</v>
      </c>
      <c r="G239" s="18">
        <f>44386.14</f>
        <v>44386.14</v>
      </c>
      <c r="H239" s="18">
        <f>25779.17+165.05</f>
        <v>25944.219999999998</v>
      </c>
      <c r="I239" s="18">
        <f>2663.8</f>
        <v>2663.8</v>
      </c>
      <c r="J239" s="18"/>
      <c r="K239" s="18">
        <f>4668.62</f>
        <v>4668.62</v>
      </c>
      <c r="L239" s="13">
        <f t="shared" ref="L239:L245" si="4">SUM(F239:K239)</f>
        <v>178825.87999999998</v>
      </c>
      <c r="M239" s="8"/>
      <c r="N239" s="164"/>
    </row>
    <row r="240" spans="1:14" s="3" customFormat="1" ht="12.2" customHeight="1" x14ac:dyDescent="0.15">
      <c r="A240" s="1" t="s">
        <v>443</v>
      </c>
      <c r="B240" s="2" t="s">
        <v>350</v>
      </c>
      <c r="C240" s="2" t="s">
        <v>295</v>
      </c>
      <c r="D240" s="2" t="s">
        <v>431</v>
      </c>
      <c r="E240" s="6">
        <v>2200</v>
      </c>
      <c r="F240" s="18">
        <f>73900.87</f>
        <v>73900.87</v>
      </c>
      <c r="G240" s="18">
        <f>36213.35</f>
        <v>36213.35</v>
      </c>
      <c r="H240" s="18">
        <f>118.96</f>
        <v>118.96</v>
      </c>
      <c r="I240" s="18">
        <v>1661.31</v>
      </c>
      <c r="J240" s="18"/>
      <c r="K240" s="18">
        <f>1224.5+5280</f>
        <v>6504.5</v>
      </c>
      <c r="L240" s="13">
        <f t="shared" si="4"/>
        <v>118398.99</v>
      </c>
      <c r="M240" s="8"/>
      <c r="N240" s="164"/>
    </row>
    <row r="241" spans="1:14" s="3" customFormat="1" ht="12.2" customHeight="1" x14ac:dyDescent="0.15">
      <c r="A241" s="1" t="s">
        <v>444</v>
      </c>
      <c r="B241" s="2" t="s">
        <v>350</v>
      </c>
      <c r="C241" s="2" t="s">
        <v>296</v>
      </c>
      <c r="D241" s="2" t="s">
        <v>431</v>
      </c>
      <c r="E241" s="6">
        <v>2300</v>
      </c>
      <c r="F241" s="18">
        <f>37985.52</f>
        <v>37985.519999999997</v>
      </c>
      <c r="G241" s="18">
        <f>22293.39</f>
        <v>22293.39</v>
      </c>
      <c r="H241" s="18">
        <f>252568.87+6184.62</f>
        <v>258753.49</v>
      </c>
      <c r="I241" s="18">
        <f>4518.59</f>
        <v>4518.59</v>
      </c>
      <c r="J241" s="18"/>
      <c r="K241" s="18">
        <f>5052.77</f>
        <v>5052.7700000000004</v>
      </c>
      <c r="L241" s="13">
        <f t="shared" si="4"/>
        <v>328603.76</v>
      </c>
      <c r="M241" s="8"/>
      <c r="N241" s="164"/>
    </row>
    <row r="242" spans="1:14" s="3" customFormat="1" ht="12.2" customHeight="1" x14ac:dyDescent="0.15">
      <c r="A242" s="1" t="s">
        <v>445</v>
      </c>
      <c r="B242" s="2" t="s">
        <v>350</v>
      </c>
      <c r="C242" s="2" t="s">
        <v>297</v>
      </c>
      <c r="D242" s="2" t="s">
        <v>431</v>
      </c>
      <c r="E242" s="6">
        <v>2400</v>
      </c>
      <c r="F242" s="18">
        <f>133842.54</f>
        <v>133842.54</v>
      </c>
      <c r="G242" s="18">
        <f>53329.81</f>
        <v>53329.81</v>
      </c>
      <c r="H242" s="18">
        <f>1106.12+857.4+8285.18</f>
        <v>10248.700000000001</v>
      </c>
      <c r="I242" s="18">
        <f>6769.09</f>
        <v>6769.09</v>
      </c>
      <c r="J242" s="18">
        <f>179.99</f>
        <v>179.99</v>
      </c>
      <c r="K242" s="18">
        <f>1241.32</f>
        <v>1241.32</v>
      </c>
      <c r="L242" s="13">
        <f t="shared" si="4"/>
        <v>205611.45</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97116.57</f>
        <v>97116.57</v>
      </c>
      <c r="G244" s="18">
        <f>42980.63</f>
        <v>42980.63</v>
      </c>
      <c r="H244" s="18">
        <f>49299.9+101480.34+11202.18</f>
        <v>161982.41999999998</v>
      </c>
      <c r="I244" s="18">
        <f>114172.85</f>
        <v>114172.85</v>
      </c>
      <c r="J244" s="18">
        <f>8158.21</f>
        <v>8158.21</v>
      </c>
      <c r="K244" s="18">
        <f>493.79</f>
        <v>493.79</v>
      </c>
      <c r="L244" s="13">
        <f t="shared" si="4"/>
        <v>424904.47</v>
      </c>
      <c r="M244" s="8"/>
      <c r="N244" s="164"/>
    </row>
    <row r="245" spans="1:14" s="3" customFormat="1" ht="12.2" customHeight="1" x14ac:dyDescent="0.15">
      <c r="A245" s="1" t="s">
        <v>448</v>
      </c>
      <c r="B245" s="2" t="s">
        <v>350</v>
      </c>
      <c r="C245" s="2" t="s">
        <v>300</v>
      </c>
      <c r="D245" s="2" t="s">
        <v>431</v>
      </c>
      <c r="E245" s="6">
        <v>2700</v>
      </c>
      <c r="F245" s="18">
        <f>19667.87</f>
        <v>19667.87</v>
      </c>
      <c r="G245" s="18">
        <f>1499.79+660.01</f>
        <v>2159.8000000000002</v>
      </c>
      <c r="H245" s="18">
        <f>1848+98051.3+906+784.25</f>
        <v>101589.55</v>
      </c>
      <c r="I245" s="18">
        <f>69.43+7591.23</f>
        <v>7660.66</v>
      </c>
      <c r="J245" s="18">
        <f>107.35</f>
        <v>107.35</v>
      </c>
      <c r="K245" s="18">
        <f>420.32+1089.72</f>
        <v>1510.04</v>
      </c>
      <c r="L245" s="13">
        <f t="shared" si="4"/>
        <v>132695.27000000002</v>
      </c>
      <c r="M245" s="8"/>
      <c r="N245" s="164"/>
    </row>
    <row r="246" spans="1:14" s="3" customFormat="1" ht="12.2" customHeight="1" x14ac:dyDescent="0.15">
      <c r="A246" s="1" t="s">
        <v>449</v>
      </c>
      <c r="B246" s="2" t="s">
        <v>350</v>
      </c>
      <c r="C246" s="2" t="s">
        <v>343</v>
      </c>
      <c r="D246" s="2" t="s">
        <v>431</v>
      </c>
      <c r="E246" s="6">
        <v>2800</v>
      </c>
      <c r="F246" s="18"/>
      <c r="G246" s="18"/>
      <c r="H246" s="18">
        <f>5088.25</f>
        <v>5088.25</v>
      </c>
      <c r="I246" s="18">
        <f>17972.64</f>
        <v>17972.64</v>
      </c>
      <c r="J246" s="18">
        <f>20513.56</f>
        <v>20513.560000000001</v>
      </c>
      <c r="K246" s="18"/>
      <c r="L246" s="13">
        <f>SUM(F246:K246)</f>
        <v>43574.45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1326696.9000000001</v>
      </c>
      <c r="G248" s="38">
        <f t="shared" si="5"/>
        <v>596198.19000000006</v>
      </c>
      <c r="H248" s="38">
        <f t="shared" si="5"/>
        <v>653637.30000000005</v>
      </c>
      <c r="I248" s="38">
        <f t="shared" si="5"/>
        <v>195184.33000000002</v>
      </c>
      <c r="J248" s="38">
        <f t="shared" si="5"/>
        <v>38438.68</v>
      </c>
      <c r="K248" s="38">
        <f t="shared" si="5"/>
        <v>34343.39</v>
      </c>
      <c r="L248" s="38">
        <f t="shared" si="5"/>
        <v>2844498.7900000005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3195388.9299999997</v>
      </c>
      <c r="G258" s="38">
        <f t="shared" si="8"/>
        <v>1411653.25</v>
      </c>
      <c r="H258" s="38">
        <f t="shared" si="8"/>
        <v>1448505</v>
      </c>
      <c r="I258" s="38">
        <f t="shared" si="8"/>
        <v>415422.04000000004</v>
      </c>
      <c r="J258" s="38">
        <f t="shared" si="8"/>
        <v>84230.57</v>
      </c>
      <c r="K258" s="38">
        <f t="shared" si="8"/>
        <v>138210.34999999998</v>
      </c>
      <c r="L258" s="38">
        <f t="shared" si="8"/>
        <v>6693410.1400000006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13256.26</v>
      </c>
      <c r="L269" s="13">
        <f t="shared" si="9"/>
        <v>13256.26</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13256.26</v>
      </c>
      <c r="L271" s="38">
        <f t="shared" si="9"/>
        <v>13256.26</v>
      </c>
      <c r="M271" s="8"/>
      <c r="N271" s="164"/>
    </row>
    <row r="272" spans="1:14" s="33" customFormat="1" ht="12.2" customHeight="1" thickTop="1" x14ac:dyDescent="0.2">
      <c r="A272" s="40" t="s">
        <v>464</v>
      </c>
      <c r="B272" s="37">
        <v>10</v>
      </c>
      <c r="C272" s="37">
        <v>18</v>
      </c>
      <c r="D272" s="36" t="s">
        <v>431</v>
      </c>
      <c r="E272" s="37"/>
      <c r="F272" s="39">
        <f t="shared" ref="F272:L272" si="11">F258+F271</f>
        <v>3195388.9299999997</v>
      </c>
      <c r="G272" s="39">
        <f t="shared" si="11"/>
        <v>1411653.25</v>
      </c>
      <c r="H272" s="39">
        <f t="shared" si="11"/>
        <v>1448505</v>
      </c>
      <c r="I272" s="39">
        <f t="shared" si="11"/>
        <v>415422.04000000004</v>
      </c>
      <c r="J272" s="39">
        <f t="shared" si="11"/>
        <v>84230.57</v>
      </c>
      <c r="K272" s="39">
        <f t="shared" si="11"/>
        <v>151466.60999999999</v>
      </c>
      <c r="L272" s="39">
        <f t="shared" si="11"/>
        <v>6706666.4000000004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156004.57</f>
        <v>156004.57</v>
      </c>
      <c r="G277" s="18">
        <f>71010.01</f>
        <v>71010.009999999995</v>
      </c>
      <c r="H277" s="18"/>
      <c r="I277" s="18">
        <f>5994+6214.8</f>
        <v>12208.8</v>
      </c>
      <c r="J277" s="18">
        <f>4095</f>
        <v>4095</v>
      </c>
      <c r="K277" s="18">
        <f>2630</f>
        <v>2630</v>
      </c>
      <c r="L277" s="13">
        <f>SUM(F277:K277)</f>
        <v>245948.38</v>
      </c>
      <c r="M277" s="8"/>
      <c r="N277" s="164"/>
    </row>
    <row r="278" spans="1:14" s="3" customFormat="1" ht="12.2" customHeight="1" x14ac:dyDescent="0.15">
      <c r="A278" s="1" t="s">
        <v>439</v>
      </c>
      <c r="B278" s="2" t="s">
        <v>357</v>
      </c>
      <c r="C278" s="2" t="s">
        <v>291</v>
      </c>
      <c r="D278" s="2" t="s">
        <v>431</v>
      </c>
      <c r="E278" s="6">
        <v>1200</v>
      </c>
      <c r="F278" s="18">
        <f>8329.1</f>
        <v>8329.1</v>
      </c>
      <c r="G278" s="18">
        <f>1494.06</f>
        <v>1494.06</v>
      </c>
      <c r="H278" s="18">
        <f>5451.92+154.58</f>
        <v>5606.5</v>
      </c>
      <c r="I278" s="18">
        <f>272.93</f>
        <v>272.93</v>
      </c>
      <c r="J278" s="18">
        <f>3027.51</f>
        <v>3027.51</v>
      </c>
      <c r="K278" s="18"/>
      <c r="L278" s="13">
        <f>SUM(F278:K278)</f>
        <v>18730.099999999999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3500</f>
        <v>3500</v>
      </c>
      <c r="G280" s="18">
        <f>955.15</f>
        <v>955.15</v>
      </c>
      <c r="H280" s="18"/>
      <c r="I280" s="18"/>
      <c r="J280" s="18">
        <f>2000</f>
        <v>2000</v>
      </c>
      <c r="K280" s="18"/>
      <c r="L280" s="13">
        <f>SUM(F280:K280)</f>
        <v>6455.15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360</f>
        <v>360</v>
      </c>
      <c r="G282" s="18">
        <f>28</f>
        <v>28</v>
      </c>
      <c r="H282" s="18">
        <f>26044.8+2004.26+14842.58</f>
        <v>42891.64</v>
      </c>
      <c r="I282" s="18">
        <f>359.62+1954.5</f>
        <v>2314.12</v>
      </c>
      <c r="J282" s="18">
        <f>269.23</f>
        <v>269.23</v>
      </c>
      <c r="K282" s="18"/>
      <c r="L282" s="13">
        <f t="shared" ref="L282:L288" si="12">SUM(F282:K282)</f>
        <v>45862.990000000005</v>
      </c>
      <c r="M282" s="8"/>
      <c r="N282" s="164"/>
    </row>
    <row r="283" spans="1:14" s="3" customFormat="1" ht="12.2" customHeight="1" x14ac:dyDescent="0.15">
      <c r="A283" s="1" t="s">
        <v>443</v>
      </c>
      <c r="B283" s="2" t="s">
        <v>357</v>
      </c>
      <c r="C283" s="2" t="s">
        <v>295</v>
      </c>
      <c r="D283" s="2" t="s">
        <v>431</v>
      </c>
      <c r="E283" s="6">
        <v>2200</v>
      </c>
      <c r="F283" s="18">
        <f>12358</f>
        <v>12358</v>
      </c>
      <c r="G283" s="18">
        <f>3165.57</f>
        <v>3165.57</v>
      </c>
      <c r="H283" s="18">
        <f>17676.6+1083.71</f>
        <v>18760.309999999998</v>
      </c>
      <c r="I283" s="18">
        <f>1230.97</f>
        <v>1230.97</v>
      </c>
      <c r="J283" s="18"/>
      <c r="K283" s="18">
        <f>2507.2</f>
        <v>2507.1999999999998</v>
      </c>
      <c r="L283" s="13">
        <f t="shared" si="12"/>
        <v>38022.049999999996</v>
      </c>
      <c r="M283" s="8"/>
      <c r="N283" s="164"/>
    </row>
    <row r="284" spans="1:14" s="3" customFormat="1" ht="12.2" customHeight="1" x14ac:dyDescent="0.15">
      <c r="A284" s="1" t="s">
        <v>444</v>
      </c>
      <c r="B284" s="2" t="s">
        <v>357</v>
      </c>
      <c r="C284" s="2" t="s">
        <v>296</v>
      </c>
      <c r="D284" s="2" t="s">
        <v>431</v>
      </c>
      <c r="E284" s="6">
        <v>2300</v>
      </c>
      <c r="F284" s="18">
        <f>511.87</f>
        <v>511.87</v>
      </c>
      <c r="G284" s="18">
        <f>139.69</f>
        <v>139.69</v>
      </c>
      <c r="H284" s="18"/>
      <c r="I284" s="18"/>
      <c r="J284" s="18"/>
      <c r="K284" s="18"/>
      <c r="L284" s="13">
        <f t="shared" si="12"/>
        <v>651.55999999999995</v>
      </c>
      <c r="M284" s="8"/>
      <c r="N284" s="164"/>
    </row>
    <row r="285" spans="1:14" s="3" customFormat="1" ht="12.2" customHeight="1" x14ac:dyDescent="0.15">
      <c r="A285" s="1" t="s">
        <v>445</v>
      </c>
      <c r="B285" s="2" t="s">
        <v>357</v>
      </c>
      <c r="C285" s="2" t="s">
        <v>297</v>
      </c>
      <c r="D285" s="2" t="s">
        <v>431</v>
      </c>
      <c r="E285" s="6">
        <v>2400</v>
      </c>
      <c r="F285" s="18"/>
      <c r="G285" s="18"/>
      <c r="H285" s="18">
        <f>2050</f>
        <v>2050</v>
      </c>
      <c r="I285" s="18">
        <f>1883.96</f>
        <v>1883.96</v>
      </c>
      <c r="J285" s="18"/>
      <c r="K285" s="18"/>
      <c r="L285" s="13">
        <f t="shared" si="12"/>
        <v>3933.96</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f>3303.04</f>
        <v>3303.04</v>
      </c>
      <c r="L286" s="13">
        <f t="shared" si="12"/>
        <v>3303.04</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f>772.5</f>
        <v>772.5</v>
      </c>
      <c r="G288" s="18">
        <f>59.09</f>
        <v>59.09</v>
      </c>
      <c r="H288" s="18"/>
      <c r="I288" s="18">
        <f>80.34</f>
        <v>80.34</v>
      </c>
      <c r="J288" s="18"/>
      <c r="K288" s="18"/>
      <c r="L288" s="13">
        <f t="shared" si="12"/>
        <v>911.93000000000006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181836.04</v>
      </c>
      <c r="G291" s="39">
        <f t="shared" si="13"/>
        <v>76851.569999999992</v>
      </c>
      <c r="H291" s="39">
        <f t="shared" si="13"/>
        <v>69308.45</v>
      </c>
      <c r="I291" s="39">
        <f t="shared" si="13"/>
        <v>17991.12</v>
      </c>
      <c r="J291" s="39">
        <f t="shared" si="13"/>
        <v>9391.74</v>
      </c>
      <c r="K291" s="39">
        <f t="shared" si="13"/>
        <v>8440.24</v>
      </c>
      <c r="L291" s="38">
        <f t="shared" si="13"/>
        <v>363819.16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f>728.94+4143.2</f>
        <v>4872.1399999999994</v>
      </c>
      <c r="J315" s="18">
        <f>2730</f>
        <v>2730</v>
      </c>
      <c r="K315" s="18">
        <f>2344</f>
        <v>2344</v>
      </c>
      <c r="L315" s="13">
        <f>SUM(F315:K315)</f>
        <v>9946.14</v>
      </c>
      <c r="M315" s="8"/>
      <c r="N315" s="164"/>
    </row>
    <row r="316" spans="1:14" s="3" customFormat="1" ht="12.2" customHeight="1" x14ac:dyDescent="0.15">
      <c r="A316" s="1" t="s">
        <v>439</v>
      </c>
      <c r="B316" s="2" t="s">
        <v>359</v>
      </c>
      <c r="C316" s="2" t="s">
        <v>291</v>
      </c>
      <c r="D316" s="2" t="s">
        <v>431</v>
      </c>
      <c r="E316" s="6">
        <v>1200</v>
      </c>
      <c r="F316" s="18">
        <f>30995.04</f>
        <v>30995.040000000001</v>
      </c>
      <c r="G316" s="18">
        <f>16447.34</f>
        <v>16447.34</v>
      </c>
      <c r="H316" s="18">
        <f>2686.84</f>
        <v>2686.84</v>
      </c>
      <c r="I316" s="18"/>
      <c r="J316" s="18">
        <f>1868.74</f>
        <v>1868.74</v>
      </c>
      <c r="K316" s="18"/>
      <c r="L316" s="13">
        <f>SUM(F316:K316)</f>
        <v>51997.96</v>
      </c>
      <c r="M316" s="8"/>
      <c r="N316" s="164"/>
    </row>
    <row r="317" spans="1:14" s="3" customFormat="1" ht="12.2" customHeight="1" x14ac:dyDescent="0.15">
      <c r="A317" s="1" t="s">
        <v>440</v>
      </c>
      <c r="B317" s="2" t="s">
        <v>359</v>
      </c>
      <c r="C317" s="2" t="s">
        <v>292</v>
      </c>
      <c r="D317" s="2" t="s">
        <v>431</v>
      </c>
      <c r="E317" s="6">
        <v>1300</v>
      </c>
      <c r="F317" s="18"/>
      <c r="G317" s="18"/>
      <c r="H317" s="18"/>
      <c r="I317" s="18">
        <f>14080.17</f>
        <v>14080.17</v>
      </c>
      <c r="J317" s="18">
        <f>462.09</f>
        <v>462.09</v>
      </c>
      <c r="K317" s="18">
        <f>6270</f>
        <v>6270</v>
      </c>
      <c r="L317" s="13">
        <f>SUM(F317:K317)</f>
        <v>20812.260000000002</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f>16688.2</f>
        <v>16688.2</v>
      </c>
      <c r="I320" s="18">
        <f>243.71+1063</f>
        <v>1306.71</v>
      </c>
      <c r="J320" s="18">
        <f>275.83</f>
        <v>275.83</v>
      </c>
      <c r="K320" s="18"/>
      <c r="L320" s="13">
        <f t="shared" ref="L320:L326" si="16">SUM(F320:K320)</f>
        <v>18270.740000000002</v>
      </c>
      <c r="M320" s="8"/>
      <c r="N320" s="164"/>
    </row>
    <row r="321" spans="1:14" s="3" customFormat="1" ht="12.2" customHeight="1" x14ac:dyDescent="0.15">
      <c r="A321" s="1" t="s">
        <v>443</v>
      </c>
      <c r="B321" s="2" t="s">
        <v>359</v>
      </c>
      <c r="C321" s="2" t="s">
        <v>295</v>
      </c>
      <c r="D321" s="2" t="s">
        <v>431</v>
      </c>
      <c r="E321" s="6">
        <v>2200</v>
      </c>
      <c r="F321" s="18">
        <f>3903.25</f>
        <v>3903.25</v>
      </c>
      <c r="G321" s="18">
        <f>4270.01</f>
        <v>4270.01</v>
      </c>
      <c r="H321" s="18">
        <f>11784.4+390.09</f>
        <v>12174.49</v>
      </c>
      <c r="I321" s="18">
        <f>65.96</f>
        <v>65.959999999999994</v>
      </c>
      <c r="J321" s="18"/>
      <c r="K321" s="18">
        <f>1198.8</f>
        <v>1198.8</v>
      </c>
      <c r="L321" s="13">
        <f t="shared" si="16"/>
        <v>21612.51</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f>2050</f>
        <v>2050</v>
      </c>
      <c r="I323" s="18">
        <f>1255.98</f>
        <v>1255.98</v>
      </c>
      <c r="J323" s="18"/>
      <c r="K323" s="18"/>
      <c r="L323" s="13">
        <f t="shared" si="16"/>
        <v>3305.98</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f>1795.7</f>
        <v>1795.7</v>
      </c>
      <c r="L324" s="13">
        <f t="shared" si="16"/>
        <v>1795.7</v>
      </c>
      <c r="M324" s="8"/>
      <c r="N324" s="164"/>
    </row>
    <row r="325" spans="1:14" s="3" customFormat="1" ht="12.2" customHeight="1" x14ac:dyDescent="0.15">
      <c r="A325" s="1" t="s">
        <v>447</v>
      </c>
      <c r="B325" s="2" t="s">
        <v>359</v>
      </c>
      <c r="C325" s="2" t="s">
        <v>299</v>
      </c>
      <c r="D325" s="2" t="s">
        <v>431</v>
      </c>
      <c r="E325" s="6">
        <v>2600</v>
      </c>
      <c r="F325" s="18"/>
      <c r="G325" s="18"/>
      <c r="H325" s="18"/>
      <c r="I325" s="18">
        <f>6999.5</f>
        <v>6999.5</v>
      </c>
      <c r="J325" s="18"/>
      <c r="K325" s="18"/>
      <c r="L325" s="13">
        <f t="shared" si="16"/>
        <v>6999.5</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34898.29</v>
      </c>
      <c r="G329" s="39">
        <f t="shared" si="17"/>
        <v>20717.349999999999</v>
      </c>
      <c r="H329" s="39">
        <f t="shared" si="17"/>
        <v>33599.53</v>
      </c>
      <c r="I329" s="39">
        <f t="shared" si="17"/>
        <v>28580.459999999995</v>
      </c>
      <c r="J329" s="39">
        <f t="shared" si="17"/>
        <v>5336.66</v>
      </c>
      <c r="K329" s="39">
        <f t="shared" si="17"/>
        <v>11608.5</v>
      </c>
      <c r="L329" s="38">
        <f t="shared" si="17"/>
        <v>134740.78999999998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f>81038.71+27012.92</f>
        <v>108051.63</v>
      </c>
      <c r="I337" s="18"/>
      <c r="J337" s="18"/>
      <c r="K337" s="18"/>
      <c r="L337" s="13">
        <f t="shared" si="18"/>
        <v>108051.63</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108051.63</v>
      </c>
      <c r="I338" s="38">
        <f t="shared" si="19"/>
        <v>0</v>
      </c>
      <c r="J338" s="38">
        <f t="shared" si="19"/>
        <v>0</v>
      </c>
      <c r="K338" s="38">
        <f t="shared" si="19"/>
        <v>0</v>
      </c>
      <c r="L338" s="38">
        <f t="shared" si="18"/>
        <v>108051.63</v>
      </c>
      <c r="M338" s="8"/>
      <c r="N338" s="164"/>
    </row>
    <row r="339" spans="1:43" s="3" customFormat="1" ht="12.2" customHeight="1" thickTop="1" x14ac:dyDescent="0.15">
      <c r="A339" s="35" t="s">
        <v>468</v>
      </c>
      <c r="B339" s="37">
        <v>14</v>
      </c>
      <c r="C339" s="37">
        <v>7</v>
      </c>
      <c r="D339" s="36" t="s">
        <v>431</v>
      </c>
      <c r="E339" s="37"/>
      <c r="F339" s="38">
        <f t="shared" ref="F339:L339" si="20">F291+F310+F329+F338</f>
        <v>216734.33000000002</v>
      </c>
      <c r="G339" s="38">
        <f t="shared" si="20"/>
        <v>97568.919999999984</v>
      </c>
      <c r="H339" s="38">
        <f t="shared" si="20"/>
        <v>210959.61</v>
      </c>
      <c r="I339" s="38">
        <f t="shared" si="20"/>
        <v>46571.579999999994</v>
      </c>
      <c r="J339" s="38">
        <f t="shared" si="20"/>
        <v>14728.4</v>
      </c>
      <c r="K339" s="38">
        <f t="shared" si="20"/>
        <v>20048.739999999998</v>
      </c>
      <c r="L339" s="38">
        <f t="shared" si="20"/>
        <v>606611.57999999996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216734.33000000002</v>
      </c>
      <c r="G353" s="38">
        <f>G339</f>
        <v>97568.919999999984</v>
      </c>
      <c r="H353" s="38">
        <f>H339</f>
        <v>210959.61</v>
      </c>
      <c r="I353" s="38">
        <f>I339</f>
        <v>46571.579999999994</v>
      </c>
      <c r="J353" s="38">
        <f>J339</f>
        <v>14728.4</v>
      </c>
      <c r="K353" s="38">
        <f>K339+K352</f>
        <v>20048.739999999998</v>
      </c>
      <c r="L353" s="38">
        <f>L339+L352</f>
        <v>606611.57999999996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1283.67+1826.32+89895.54</f>
        <v>93005.53</v>
      </c>
      <c r="I359" s="18">
        <f>179.11+1171.78+11239.85</f>
        <v>12590.74</v>
      </c>
      <c r="J359" s="18">
        <f>12088.99</f>
        <v>12088.99</v>
      </c>
      <c r="K359" s="18"/>
      <c r="L359" s="13">
        <f>SUM(F359:K359)</f>
        <v>117685.26000000001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f>855.8+1351.53+59930.33</f>
        <v>62137.66</v>
      </c>
      <c r="I361" s="18">
        <f>119.42+781.21+7493.24</f>
        <v>8393.869999999999</v>
      </c>
      <c r="J361" s="18">
        <f>10591</f>
        <v>10591</v>
      </c>
      <c r="K361" s="18"/>
      <c r="L361" s="13">
        <f>SUM(F361:K361)</f>
        <v>81122.53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155143.19</v>
      </c>
      <c r="I363" s="38">
        <f t="shared" si="22"/>
        <v>20984.61</v>
      </c>
      <c r="J363" s="38">
        <f t="shared" si="22"/>
        <v>22679.989999999998</v>
      </c>
      <c r="K363" s="38">
        <f t="shared" si="22"/>
        <v>0</v>
      </c>
      <c r="L363" s="38">
        <f t="shared" si="22"/>
        <v>198807.79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11239.85</f>
        <v>11239.85</v>
      </c>
      <c r="G368" s="18"/>
      <c r="H368" s="18">
        <f>7493.24</f>
        <v>7493.24</v>
      </c>
      <c r="I368" s="13">
        <f>SUM(F368:H368)</f>
        <v>18733.09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179.11+1171.78</f>
        <v>1350.8899999999999</v>
      </c>
      <c r="G369" s="53"/>
      <c r="H369" s="53">
        <f>119.42+781.21</f>
        <v>900.63</v>
      </c>
      <c r="I369" s="13">
        <f>SUM(F369:H369)</f>
        <v>2251.52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12590.74</v>
      </c>
      <c r="G370" s="38">
        <f>SUM(G368:G369)</f>
        <v>0</v>
      </c>
      <c r="H370" s="38">
        <f>SUM(H368:H369)</f>
        <v>8393.869999999999</v>
      </c>
      <c r="I370" s="38">
        <f>SUM(I368:I369)</f>
        <v>20984.61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t="s">
        <v>286</v>
      </c>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f>10062.76</f>
        <v>10062.76</v>
      </c>
      <c r="I390" s="18"/>
      <c r="J390" s="23" t="s">
        <v>288</v>
      </c>
      <c r="K390" s="23" t="s">
        <v>288</v>
      </c>
      <c r="L390" s="13">
        <f t="shared" si="25"/>
        <v>10062.76</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f>203.56</f>
        <v>203.56</v>
      </c>
      <c r="I393" s="18"/>
      <c r="J393" s="23" t="s">
        <v>288</v>
      </c>
      <c r="K393" s="23" t="s">
        <v>288</v>
      </c>
      <c r="L393" s="13">
        <f t="shared" si="25"/>
        <v>203.56</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10266.32</v>
      </c>
      <c r="I394" s="54">
        <f>SUM(I388:I393)</f>
        <v>0</v>
      </c>
      <c r="J394" s="42" t="s">
        <v>288</v>
      </c>
      <c r="K394" s="42" t="s">
        <v>288</v>
      </c>
      <c r="L394" s="38">
        <f>SUM(L388:L393)</f>
        <v>10266.32</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f>4688.88</f>
        <v>4688.88</v>
      </c>
      <c r="I397" s="18"/>
      <c r="J397" s="23" t="s">
        <v>288</v>
      </c>
      <c r="K397" s="23" t="s">
        <v>288</v>
      </c>
      <c r="L397" s="13">
        <f t="shared" si="26"/>
        <v>4688.88</v>
      </c>
      <c r="M397" s="8"/>
      <c r="N397" s="164"/>
    </row>
    <row r="398" spans="1:14" s="3" customFormat="1" ht="12.2" customHeight="1" x14ac:dyDescent="0.15">
      <c r="A398" s="62" t="s">
        <v>515</v>
      </c>
      <c r="B398" s="2" t="s">
        <v>381</v>
      </c>
      <c r="C398" s="6">
        <v>10</v>
      </c>
      <c r="D398" s="2" t="s">
        <v>432</v>
      </c>
      <c r="E398" s="6"/>
      <c r="F398" s="18"/>
      <c r="G398" s="18"/>
      <c r="H398" s="18">
        <f>3287.86</f>
        <v>3287.86</v>
      </c>
      <c r="I398" s="18"/>
      <c r="J398" s="23" t="s">
        <v>288</v>
      </c>
      <c r="K398" s="23" t="s">
        <v>288</v>
      </c>
      <c r="L398" s="13">
        <f t="shared" si="26"/>
        <v>3287.86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f>453.57</f>
        <v>453.57</v>
      </c>
      <c r="I400" s="18"/>
      <c r="J400" s="23" t="s">
        <v>288</v>
      </c>
      <c r="K400" s="23" t="s">
        <v>288</v>
      </c>
      <c r="L400" s="13">
        <f t="shared" si="26"/>
        <v>453.57</v>
      </c>
      <c r="M400" s="8"/>
      <c r="N400" s="164"/>
    </row>
    <row r="401" spans="1:21" s="3" customFormat="1" ht="12.2" customHeight="1" thickBot="1" x14ac:dyDescent="0.2">
      <c r="A401" s="62" t="s">
        <v>510</v>
      </c>
      <c r="B401" s="2" t="s">
        <v>381</v>
      </c>
      <c r="C401" s="6">
        <v>13</v>
      </c>
      <c r="D401" s="2" t="s">
        <v>432</v>
      </c>
      <c r="E401" s="6"/>
      <c r="F401" s="18"/>
      <c r="G401" s="18"/>
      <c r="H401" s="18">
        <f>4647.72+148.18+99.16+321.6+143.05+1428.22+981.08+33.54</f>
        <v>7802.5500000000011</v>
      </c>
      <c r="I401" s="18">
        <v>7448.1</v>
      </c>
      <c r="J401" s="23" t="s">
        <v>288</v>
      </c>
      <c r="K401" s="23" t="s">
        <v>288</v>
      </c>
      <c r="L401" s="13">
        <f t="shared" si="26"/>
        <v>15250.650000000001</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16232.86</v>
      </c>
      <c r="I402" s="38">
        <f>SUM(I396:I401)</f>
        <v>7448.1</v>
      </c>
      <c r="J402" s="42" t="s">
        <v>288</v>
      </c>
      <c r="K402" s="42" t="s">
        <v>288</v>
      </c>
      <c r="L402" s="38">
        <f>SUM(L396:L401)</f>
        <v>23680.959999999999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26499.18</v>
      </c>
      <c r="I409" s="38">
        <f>I394+I402+I408</f>
        <v>7448.1</v>
      </c>
      <c r="J409" s="23" t="s">
        <v>288</v>
      </c>
      <c r="K409" s="23" t="s">
        <v>288</v>
      </c>
      <c r="L409" s="38">
        <f>L394+L402+L408</f>
        <v>33947.279999999999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f>8340+5560+94069.2+62712.8+550.35</f>
        <v>171232.35</v>
      </c>
      <c r="I416" s="18">
        <f>2942.94+2891.3</f>
        <v>5834.24</v>
      </c>
      <c r="J416" s="18"/>
      <c r="K416" s="18"/>
      <c r="L416" s="13">
        <f t="shared" si="27"/>
        <v>177066.59</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171232.35</v>
      </c>
      <c r="I420" s="97">
        <f t="shared" si="28"/>
        <v>5834.24</v>
      </c>
      <c r="J420" s="97">
        <f t="shared" si="28"/>
        <v>0</v>
      </c>
      <c r="K420" s="97">
        <f t="shared" si="28"/>
        <v>0</v>
      </c>
      <c r="L420" s="38">
        <f t="shared" si="28"/>
        <v>177066.59</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f>32000.5</f>
        <v>32000.5</v>
      </c>
      <c r="I423" s="18"/>
      <c r="J423" s="18"/>
      <c r="K423" s="18"/>
      <c r="L423" s="13">
        <f t="shared" si="29"/>
        <v>32000.5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32000.5</v>
      </c>
      <c r="I428" s="38">
        <f t="shared" si="30"/>
        <v>0</v>
      </c>
      <c r="J428" s="38">
        <f t="shared" si="30"/>
        <v>0</v>
      </c>
      <c r="K428" s="38">
        <f t="shared" si="30"/>
        <v>0</v>
      </c>
      <c r="L428" s="38">
        <f t="shared" si="30"/>
        <v>32000.5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203232.85</v>
      </c>
      <c r="I435" s="38">
        <f t="shared" si="32"/>
        <v>5834.24</v>
      </c>
      <c r="J435" s="38">
        <f t="shared" si="32"/>
        <v>0</v>
      </c>
      <c r="K435" s="38">
        <f t="shared" si="32"/>
        <v>0</v>
      </c>
      <c r="L435" s="38">
        <f t="shared" si="32"/>
        <v>209067.09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461091.39+10322.57</f>
        <v>471413.96</v>
      </c>
      <c r="G440" s="18">
        <f>1275464.59-F440</f>
        <v>804050.63000000012</v>
      </c>
      <c r="H440" s="18"/>
      <c r="I440" s="13">
        <f t="shared" ref="I440:I446" si="33">SUM(F440:H440)</f>
        <v>1275464.5900000001</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471413.96</v>
      </c>
      <c r="G447" s="13">
        <f>SUM(G440:G446)</f>
        <v>804050.63000000012</v>
      </c>
      <c r="H447" s="13">
        <f>SUM(H440:H446)</f>
        <v>0</v>
      </c>
      <c r="I447" s="13">
        <f>SUM(I440:I446)</f>
        <v>1275464.5900000001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471413.96</v>
      </c>
      <c r="G460" s="18">
        <v>804050.63</v>
      </c>
      <c r="H460" s="18"/>
      <c r="I460" s="13">
        <f t="shared" si="34"/>
        <v>1275464.5900000001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471413.96</v>
      </c>
      <c r="G461" s="65">
        <f>SUM(G455:G460)</f>
        <v>804050.63</v>
      </c>
      <c r="H461" s="65">
        <f>SUM(H455:H460)</f>
        <v>0</v>
      </c>
      <c r="I461" s="65">
        <f>SUM(I455:I460)</f>
        <v>1275464.5900000001</v>
      </c>
      <c r="J461" s="23" t="s">
        <v>288</v>
      </c>
      <c r="K461" s="23" t="s">
        <v>288</v>
      </c>
      <c r="L461" s="23" t="s">
        <v>288</v>
      </c>
      <c r="N461" s="130"/>
    </row>
    <row r="462" spans="1:86" ht="12.2" customHeight="1" thickTop="1" x14ac:dyDescent="0.2">
      <c r="A462" s="40" t="s">
        <v>424</v>
      </c>
      <c r="B462" s="41">
        <v>18</v>
      </c>
      <c r="C462" s="64">
        <v>21</v>
      </c>
      <c r="D462" s="114" t="s">
        <v>432</v>
      </c>
      <c r="E462" s="64"/>
      <c r="F462" s="39">
        <f>F453+F461</f>
        <v>471413.96</v>
      </c>
      <c r="G462" s="39">
        <f>G453+G461</f>
        <v>804050.63</v>
      </c>
      <c r="H462" s="39">
        <f>H453+H461</f>
        <v>0</v>
      </c>
      <c r="I462" s="39">
        <f>I453+I461</f>
        <v>1275464.5900000001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936687.59</v>
      </c>
      <c r="G466" s="18">
        <v>76936.13</v>
      </c>
      <c r="H466" s="18">
        <v>0</v>
      </c>
      <c r="I466" s="18">
        <v>0</v>
      </c>
      <c r="J466" s="18">
        <v>1450584.4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6897080.9299999997</v>
      </c>
      <c r="G469" s="18">
        <v>164674.26</v>
      </c>
      <c r="H469" s="18">
        <v>606611.57999999996</v>
      </c>
      <c r="I469" s="18"/>
      <c r="J469" s="18">
        <f>7448.1+26499.18</f>
        <v>33947.279999999999</v>
      </c>
      <c r="K469" s="23" t="s">
        <v>288</v>
      </c>
      <c r="L469" s="23" t="s">
        <v>288</v>
      </c>
      <c r="N469" s="130"/>
    </row>
    <row r="470" spans="1:14" ht="12.2" customHeight="1" x14ac:dyDescent="0.2">
      <c r="A470" s="71" t="s">
        <v>611</v>
      </c>
      <c r="B470" s="22">
        <v>19</v>
      </c>
      <c r="C470" s="31">
        <v>3</v>
      </c>
      <c r="D470" s="2" t="s">
        <v>432</v>
      </c>
      <c r="E470" s="31"/>
      <c r="F470" s="18">
        <v>2124.98</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6899205.9100000001</v>
      </c>
      <c r="G471" s="19">
        <f>SUM(G469:G470)</f>
        <v>164674.26</v>
      </c>
      <c r="H471" s="19">
        <f>SUM(H469:H470)</f>
        <v>606611.57999999996</v>
      </c>
      <c r="I471" s="19">
        <f>SUM(I469:I470)</f>
        <v>0</v>
      </c>
      <c r="J471" s="19">
        <f>SUM(J469:J470)</f>
        <v>33947.279999999999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6706666.4000000004</v>
      </c>
      <c r="G473" s="18">
        <v>198807.79</v>
      </c>
      <c r="H473" s="18">
        <v>606611.57999999996</v>
      </c>
      <c r="I473" s="18"/>
      <c r="J473" s="18">
        <v>209067.09</v>
      </c>
      <c r="K473" s="23" t="s">
        <v>288</v>
      </c>
      <c r="L473" s="23" t="s">
        <v>288</v>
      </c>
      <c r="N473" s="130"/>
    </row>
    <row r="474" spans="1:14" ht="12.2" customHeight="1" x14ac:dyDescent="0.2">
      <c r="A474" s="71" t="s">
        <v>613</v>
      </c>
      <c r="B474" s="22">
        <v>19</v>
      </c>
      <c r="C474" s="31">
        <v>6</v>
      </c>
      <c r="D474" s="2" t="s">
        <v>432</v>
      </c>
      <c r="E474" s="31"/>
      <c r="F474" s="18" t="s">
        <v>286</v>
      </c>
      <c r="G474" s="18">
        <v>4178.54</v>
      </c>
      <c r="H474" s="18"/>
      <c r="I474" s="18"/>
      <c r="J474" s="18"/>
      <c r="K474" s="23" t="s">
        <v>288</v>
      </c>
      <c r="L474" s="23" t="s">
        <v>288</v>
      </c>
      <c r="N474" s="130"/>
    </row>
    <row r="475" spans="1:14" ht="12.2" customHeight="1" x14ac:dyDescent="0.2">
      <c r="A475" s="32" t="s">
        <v>426</v>
      </c>
      <c r="B475" s="22">
        <v>19</v>
      </c>
      <c r="C475" s="31">
        <v>7</v>
      </c>
      <c r="D475" s="2" t="s">
        <v>432</v>
      </c>
      <c r="E475" s="31"/>
      <c r="F475" s="19">
        <f>SUM(F473:F474)</f>
        <v>6706666.4000000004</v>
      </c>
      <c r="G475" s="19">
        <f>SUM(G473:G474)</f>
        <v>202986.33000000002</v>
      </c>
      <c r="H475" s="19">
        <f>SUM(H473:H474)</f>
        <v>606611.57999999996</v>
      </c>
      <c r="I475" s="19">
        <f>SUM(I473:I474)</f>
        <v>0</v>
      </c>
      <c r="J475" s="19">
        <f>SUM(J473:J474)</f>
        <v>209067.09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1129227.0999999996</v>
      </c>
      <c r="G477" s="19">
        <f>(G466+G471)- G475</f>
        <v>38624.06</v>
      </c>
      <c r="H477" s="19">
        <f>(H466+H471)- H475</f>
        <v>0</v>
      </c>
      <c r="I477" s="19">
        <f>(I466+I471)- I475</f>
        <v>0</v>
      </c>
      <c r="J477" s="19">
        <f>(J466+J471)- J475</f>
        <v>1275464.5899999999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328305.4+1016.7+4206.9</f>
        <v>333529.00000000006</v>
      </c>
      <c r="G522" s="18">
        <f>90976.9+239.81+616.43</f>
        <v>91833.139999999985</v>
      </c>
      <c r="H522" s="18">
        <f>28500+154.58+6290.81</f>
        <v>34945.39</v>
      </c>
      <c r="I522" s="18">
        <f>272.93</f>
        <v>272.93</v>
      </c>
      <c r="J522" s="18">
        <f>3027.51</f>
        <v>3027.51</v>
      </c>
      <c r="K522" s="18">
        <f>96.5+52212.06</f>
        <v>52308.56</v>
      </c>
      <c r="L522" s="69">
        <f>SUM(F522:K522)</f>
        <v>515916.53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84602.3</f>
        <v>84602.3</v>
      </c>
      <c r="G524" s="18">
        <f>21015.62</f>
        <v>21015.62</v>
      </c>
      <c r="H524" s="18">
        <f>10368+296.01+1774.33</f>
        <v>12438.34</v>
      </c>
      <c r="I524" s="18"/>
      <c r="J524" s="18">
        <f>1459.54+409.2</f>
        <v>1868.74</v>
      </c>
      <c r="K524" s="18"/>
      <c r="L524" s="69">
        <f>SUM(F524:K524)</f>
        <v>119925</v>
      </c>
      <c r="N524" s="130"/>
    </row>
    <row r="525" spans="1:14" ht="12.2" customHeight="1" thickTop="1" x14ac:dyDescent="0.2">
      <c r="A525" s="97" t="s">
        <v>63</v>
      </c>
      <c r="B525" s="41">
        <v>21</v>
      </c>
      <c r="C525" s="41">
        <v>4</v>
      </c>
      <c r="D525" s="115" t="s">
        <v>432</v>
      </c>
      <c r="E525" s="41"/>
      <c r="F525" s="81">
        <f>SUM(F522:F524)</f>
        <v>418131.30000000005</v>
      </c>
      <c r="G525" s="81">
        <f t="shared" ref="G525:L525" si="36">SUM(G522:G524)</f>
        <v>112848.75999999998</v>
      </c>
      <c r="H525" s="81">
        <f t="shared" si="36"/>
        <v>47383.729999999996</v>
      </c>
      <c r="I525" s="81">
        <f t="shared" si="36"/>
        <v>272.93</v>
      </c>
      <c r="J525" s="81">
        <f t="shared" si="36"/>
        <v>4896.25</v>
      </c>
      <c r="K525" s="81">
        <f t="shared" si="36"/>
        <v>52308.56</v>
      </c>
      <c r="L525" s="70">
        <f t="shared" si="36"/>
        <v>635841.53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81685.07+360</f>
        <v>82045.070000000007</v>
      </c>
      <c r="G527" s="18">
        <f>6365.78+28</f>
        <v>6393.78</v>
      </c>
      <c r="H527" s="18">
        <f>12711+8446.67</f>
        <v>21157.67</v>
      </c>
      <c r="I527" s="18">
        <f>404.33</f>
        <v>404.33</v>
      </c>
      <c r="J527" s="18">
        <f>269.23</f>
        <v>269.23</v>
      </c>
      <c r="K527" s="18">
        <f>761.9</f>
        <v>761.9</v>
      </c>
      <c r="L527" s="69">
        <f>SUM(F527:K527)</f>
        <v>111031.98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f>4742.03</f>
        <v>4742.03</v>
      </c>
      <c r="G529" s="18">
        <f>420.9</f>
        <v>420.9</v>
      </c>
      <c r="H529" s="18">
        <f>15659.67+3085</f>
        <v>18744.669999999998</v>
      </c>
      <c r="I529" s="18">
        <f>41.86</f>
        <v>41.86</v>
      </c>
      <c r="J529" s="18">
        <f>275.83</f>
        <v>275.83</v>
      </c>
      <c r="K529" s="18"/>
      <c r="L529" s="69">
        <f>SUM(F529:K529)</f>
        <v>24225.29</v>
      </c>
      <c r="M529" s="8"/>
      <c r="N529" s="164"/>
    </row>
    <row r="530" spans="1:14" s="3" customFormat="1" ht="12.2" customHeight="1" thickTop="1" x14ac:dyDescent="0.15">
      <c r="A530" s="97" t="s">
        <v>65</v>
      </c>
      <c r="B530" s="41">
        <v>21</v>
      </c>
      <c r="C530" s="41">
        <v>8</v>
      </c>
      <c r="D530" s="115" t="s">
        <v>432</v>
      </c>
      <c r="E530" s="41"/>
      <c r="F530" s="70">
        <f>SUM(F527:F529)</f>
        <v>86787.1</v>
      </c>
      <c r="G530" s="70">
        <f t="shared" ref="G530:L530" si="37">SUM(G527:G529)</f>
        <v>6814.6799999999994</v>
      </c>
      <c r="H530" s="70">
        <f t="shared" si="37"/>
        <v>39902.339999999997</v>
      </c>
      <c r="I530" s="70">
        <f t="shared" si="37"/>
        <v>446.19</v>
      </c>
      <c r="J530" s="70">
        <f t="shared" si="37"/>
        <v>545.05999999999995</v>
      </c>
      <c r="K530" s="70">
        <f t="shared" si="37"/>
        <v>761.9</v>
      </c>
      <c r="L530" s="70">
        <f t="shared" si="37"/>
        <v>135257.26999999999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f>31796.73</f>
        <v>31796.73</v>
      </c>
      <c r="I532" s="18"/>
      <c r="J532" s="18"/>
      <c r="K532" s="18"/>
      <c r="L532" s="69">
        <f>SUM(F532:K532)</f>
        <v>31796.73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v>21197.82</v>
      </c>
      <c r="I534" s="18"/>
      <c r="J534" s="18"/>
      <c r="K534" s="18"/>
      <c r="L534" s="69">
        <f>SUM(F534:K534)</f>
        <v>21197.82</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52994.55</v>
      </c>
      <c r="I535" s="70">
        <f t="shared" si="38"/>
        <v>0</v>
      </c>
      <c r="J535" s="70">
        <f t="shared" si="38"/>
        <v>0</v>
      </c>
      <c r="K535" s="70">
        <f t="shared" si="38"/>
        <v>0</v>
      </c>
      <c r="L535" s="70">
        <f t="shared" si="38"/>
        <v>52994.55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f>12038.13</f>
        <v>12038.13</v>
      </c>
      <c r="L542" s="69">
        <f>SUM(F542:K542)</f>
        <v>12038.13</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f>5.59</f>
        <v>5.59</v>
      </c>
      <c r="J544" s="18"/>
      <c r="K544" s="18">
        <f>42.68</f>
        <v>42.68</v>
      </c>
      <c r="L544" s="69">
        <f>SUM(F544:K544)</f>
        <v>48.269999999999996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5.59</v>
      </c>
      <c r="J545" s="140">
        <f t="shared" si="40"/>
        <v>0</v>
      </c>
      <c r="K545" s="140">
        <f t="shared" si="40"/>
        <v>12080.81</v>
      </c>
      <c r="L545" s="140">
        <f t="shared" si="40"/>
        <v>12086.4</v>
      </c>
      <c r="M545" s="8"/>
      <c r="N545" s="164"/>
    </row>
    <row r="546" spans="1:14" s="3" customFormat="1" ht="12.2" customHeight="1" thickTop="1" x14ac:dyDescent="0.15">
      <c r="A546" s="75" t="s">
        <v>72</v>
      </c>
      <c r="B546" s="41">
        <v>21</v>
      </c>
      <c r="C546" s="41">
        <v>21</v>
      </c>
      <c r="D546" s="115" t="s">
        <v>432</v>
      </c>
      <c r="E546" s="41"/>
      <c r="F546" s="70">
        <f>F525+F530+F535+F540+F545</f>
        <v>504918.4</v>
      </c>
      <c r="G546" s="70">
        <f t="shared" ref="G546:L546" si="41">G525+G530+G535+G540+G545</f>
        <v>119663.43999999997</v>
      </c>
      <c r="H546" s="70">
        <f t="shared" si="41"/>
        <v>140280.62</v>
      </c>
      <c r="I546" s="70">
        <f t="shared" si="41"/>
        <v>724.71</v>
      </c>
      <c r="J546" s="70">
        <f t="shared" si="41"/>
        <v>5441.3099999999995</v>
      </c>
      <c r="K546" s="70">
        <f t="shared" si="41"/>
        <v>65151.27</v>
      </c>
      <c r="L546" s="70">
        <f t="shared" si="41"/>
        <v>836179.75000000012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515916.53</v>
      </c>
      <c r="G550" s="69">
        <f>L527</f>
        <v>111031.98</v>
      </c>
      <c r="H550" s="69">
        <f>L532</f>
        <v>31796.73</v>
      </c>
      <c r="I550" s="69">
        <f>L537</f>
        <v>0</v>
      </c>
      <c r="J550" s="69">
        <f>L542</f>
        <v>12038.13</v>
      </c>
      <c r="K550" s="69">
        <f>SUM(F550:J550)</f>
        <v>670783.37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119925</v>
      </c>
      <c r="G552" s="69">
        <f>L529</f>
        <v>24225.29</v>
      </c>
      <c r="H552" s="69">
        <f>L534</f>
        <v>21197.82</v>
      </c>
      <c r="I552" s="69">
        <f>L539</f>
        <v>0</v>
      </c>
      <c r="J552" s="69">
        <f>L544</f>
        <v>48.269999999999996</v>
      </c>
      <c r="K552" s="69">
        <f>SUM(F552:J552)</f>
        <v>165396.38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635841.53</v>
      </c>
      <c r="G553" s="70">
        <f t="shared" si="42"/>
        <v>135257.26999999999</v>
      </c>
      <c r="H553" s="70">
        <f t="shared" si="42"/>
        <v>52994.55</v>
      </c>
      <c r="I553" s="70">
        <f t="shared" si="42"/>
        <v>0</v>
      </c>
      <c r="J553" s="70">
        <f t="shared" si="42"/>
        <v>12086.4</v>
      </c>
      <c r="K553" s="70">
        <f t="shared" si="42"/>
        <v>836179.75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57261.11</v>
      </c>
      <c r="I586" s="69">
        <f t="shared" si="47"/>
        <v>57261.11</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57261.11</v>
      </c>
      <c r="I589" s="79">
        <f t="shared" si="48"/>
        <v>57261.11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107501.5</f>
        <v>107501.5</v>
      </c>
      <c r="I592" s="18"/>
      <c r="J592" s="18">
        <f>93446.59</f>
        <v>93446.59</v>
      </c>
      <c r="K592" s="80">
        <f t="shared" ref="K592:K598" si="49">SUM(H592:J592)</f>
        <v>200948.09</v>
      </c>
      <c r="L592" s="23" t="s">
        <v>288</v>
      </c>
      <c r="M592" s="8"/>
      <c r="N592" s="164"/>
    </row>
    <row r="593" spans="1:14" s="3" customFormat="1" ht="12.2" customHeight="1" x14ac:dyDescent="0.15">
      <c r="A593" s="3" t="s">
        <v>638</v>
      </c>
      <c r="B593" s="22">
        <v>23</v>
      </c>
      <c r="C593" s="22">
        <v>2</v>
      </c>
      <c r="D593" s="2" t="s">
        <v>432</v>
      </c>
      <c r="E593" s="22"/>
      <c r="F593" s="78">
        <v>2722</v>
      </c>
      <c r="G593" s="79" t="s">
        <v>97</v>
      </c>
      <c r="H593" s="18">
        <f>12038.13</f>
        <v>12038.13</v>
      </c>
      <c r="I593" s="18"/>
      <c r="J593" s="18">
        <f>48.27</f>
        <v>48.27</v>
      </c>
      <c r="K593" s="80">
        <f t="shared" si="49"/>
        <v>12086.4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8478.27</f>
        <v>8478.27</v>
      </c>
      <c r="K594" s="80">
        <f t="shared" si="49"/>
        <v>8478.27</v>
      </c>
      <c r="L594" s="23" t="s">
        <v>288</v>
      </c>
      <c r="M594" s="8"/>
      <c r="N594" s="164"/>
    </row>
    <row r="595" spans="1:14" s="3" customFormat="1" ht="12.2" customHeight="1" x14ac:dyDescent="0.15">
      <c r="A595" s="21" t="s">
        <v>640</v>
      </c>
      <c r="B595" s="22">
        <v>23</v>
      </c>
      <c r="C595" s="22">
        <v>4</v>
      </c>
      <c r="D595" s="2" t="s">
        <v>432</v>
      </c>
      <c r="E595" s="22"/>
      <c r="F595" s="78">
        <v>2724</v>
      </c>
      <c r="G595" s="79" t="s">
        <v>97</v>
      </c>
      <c r="H595" s="18">
        <f>8688.75</f>
        <v>8688.75</v>
      </c>
      <c r="I595" s="18"/>
      <c r="J595" s="18">
        <f>21027.87</f>
        <v>21027.87</v>
      </c>
      <c r="K595" s="80">
        <f t="shared" si="49"/>
        <v>29716.62</v>
      </c>
      <c r="L595" s="23" t="s">
        <v>288</v>
      </c>
      <c r="M595" s="8"/>
      <c r="N595" s="164"/>
    </row>
    <row r="596" spans="1:14" s="3" customFormat="1" ht="12.2" customHeight="1" x14ac:dyDescent="0.15">
      <c r="A596" s="103" t="s">
        <v>652</v>
      </c>
      <c r="B596" s="22">
        <v>23</v>
      </c>
      <c r="C596" s="22">
        <v>5</v>
      </c>
      <c r="D596" s="2" t="s">
        <v>432</v>
      </c>
      <c r="E596" s="22"/>
      <c r="F596" s="78">
        <v>2725</v>
      </c>
      <c r="G596" s="79" t="s">
        <v>97</v>
      </c>
      <c r="H596" s="18">
        <f>3455.25</f>
        <v>3455.25</v>
      </c>
      <c r="I596" s="18"/>
      <c r="J596" s="18">
        <f>9694.27</f>
        <v>9694.27</v>
      </c>
      <c r="K596" s="80">
        <f t="shared" si="49"/>
        <v>13149.52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131683.63</v>
      </c>
      <c r="I599" s="81">
        <f>SUM(I592:I598)</f>
        <v>0</v>
      </c>
      <c r="J599" s="81">
        <f>SUM(J592:J598)</f>
        <v>132695.26999999999</v>
      </c>
      <c r="K599" s="81">
        <f>SUM(K592:K598)</f>
        <v>264378.89999999997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67272.62-12088.99</f>
        <v>55183.63</v>
      </c>
      <c r="I605" s="18"/>
      <c r="J605" s="18">
        <f>54366.34-10591</f>
        <v>43775.34</v>
      </c>
      <c r="K605" s="80">
        <f>SUM(H605:J605)</f>
        <v>98958.97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55183.63</v>
      </c>
      <c r="I606" s="81">
        <f>SUM(I603:I605)</f>
        <v>0</v>
      </c>
      <c r="J606" s="81">
        <f>SUM(J603:J605)</f>
        <v>43775.34</v>
      </c>
      <c r="K606" s="81">
        <f>SUM(K603:K605)</f>
        <v>98958.97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3500</f>
        <v>3500</v>
      </c>
      <c r="G612" s="18">
        <f>267.75+687.4</f>
        <v>955.15</v>
      </c>
      <c r="H612" s="18"/>
      <c r="I612" s="18"/>
      <c r="J612" s="18"/>
      <c r="K612" s="18"/>
      <c r="L612" s="69">
        <f>SUM(F612:K612)</f>
        <v>4455.1499999999996</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3500</v>
      </c>
      <c r="G615" s="81">
        <f t="shared" si="50"/>
        <v>955.15</v>
      </c>
      <c r="H615" s="81">
        <f t="shared" si="50"/>
        <v>0</v>
      </c>
      <c r="I615" s="81">
        <f t="shared" si="50"/>
        <v>0</v>
      </c>
      <c r="J615" s="81">
        <f t="shared" si="50"/>
        <v>0</v>
      </c>
      <c r="K615" s="81">
        <f t="shared" si="50"/>
        <v>0</v>
      </c>
      <c r="L615" s="70">
        <f t="shared" si="50"/>
        <v>4455.1499999999996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1476614.7000000002</v>
      </c>
      <c r="H618" s="80">
        <f>SUM(F52)</f>
        <v>1476614.7000000002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422002.02999999997</v>
      </c>
      <c r="H619" s="80">
        <f>SUM(G52)</f>
        <v>422002.03</v>
      </c>
      <c r="I619" s="87" t="s">
        <v>872</v>
      </c>
      <c r="J619" s="80">
        <f>G619-H619</f>
        <v>0</v>
      </c>
      <c r="K619" s="80"/>
      <c r="L619" s="80"/>
      <c r="M619" s="8"/>
    </row>
    <row r="620" spans="1:14" s="3" customFormat="1" ht="12.2" customHeight="1" x14ac:dyDescent="0.15">
      <c r="A620" s="74"/>
      <c r="B620" s="22"/>
      <c r="C620" s="22"/>
      <c r="D620" s="22"/>
      <c r="E620" s="22"/>
      <c r="F620" s="87" t="s">
        <v>685</v>
      </c>
      <c r="G620" s="80">
        <f>SUM(H19)</f>
        <v>119618.76999999999</v>
      </c>
      <c r="H620" s="80">
        <f>SUM(H52)</f>
        <v>119618.77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1275464.5900000001</v>
      </c>
      <c r="H622" s="80">
        <f>SUM(J52)</f>
        <v>1275464.5900000001</v>
      </c>
      <c r="I622" s="87" t="s">
        <v>875</v>
      </c>
      <c r="J622" s="80">
        <f>G622-H622</f>
        <v>0</v>
      </c>
      <c r="K622" s="80"/>
      <c r="L622" s="80"/>
      <c r="M622" s="8"/>
    </row>
    <row r="623" spans="1:14" s="3" customFormat="1" ht="12.2" customHeight="1" x14ac:dyDescent="0.15">
      <c r="A623" s="74"/>
      <c r="B623" s="22"/>
      <c r="C623" s="22"/>
      <c r="D623" s="22"/>
      <c r="E623" s="22"/>
      <c r="F623" s="87" t="s">
        <v>861</v>
      </c>
      <c r="G623" s="80">
        <f>F51</f>
        <v>1129227.1000000001</v>
      </c>
      <c r="H623" s="80">
        <f>F477</f>
        <v>1129227.0999999996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38624.06</v>
      </c>
      <c r="H624" s="80">
        <f>G477</f>
        <v>38624.06</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1275464.5900000001</v>
      </c>
      <c r="H627" s="80">
        <f>J477</f>
        <v>1275464.5899999999</v>
      </c>
      <c r="I627" s="87" t="s">
        <v>105</v>
      </c>
      <c r="J627" s="80">
        <f t="shared" si="51"/>
        <v>0</v>
      </c>
      <c r="K627" s="67"/>
      <c r="L627" s="69"/>
      <c r="M627" s="8"/>
    </row>
    <row r="628" spans="1:13" s="3" customFormat="1" ht="12.2" customHeight="1" x14ac:dyDescent="0.15">
      <c r="A628" s="21"/>
      <c r="B628" s="22"/>
      <c r="C628" s="22"/>
      <c r="D628" s="22"/>
      <c r="E628" s="22"/>
      <c r="F628" s="86" t="s">
        <v>658</v>
      </c>
      <c r="G628" s="80">
        <f>F194</f>
        <v>6897080.9300000006</v>
      </c>
      <c r="H628" s="80">
        <f>SUM(F469)</f>
        <v>6897080.9299999997</v>
      </c>
      <c r="I628" s="87" t="s">
        <v>106</v>
      </c>
      <c r="J628" s="80">
        <f>G628-H628</f>
        <v>0</v>
      </c>
      <c r="K628" s="67"/>
      <c r="L628" s="69"/>
      <c r="M628" s="8"/>
    </row>
    <row r="629" spans="1:13" s="3" customFormat="1" ht="12.2" customHeight="1" x14ac:dyDescent="0.15">
      <c r="A629" s="21"/>
      <c r="B629" s="22"/>
      <c r="C629" s="22"/>
      <c r="D629" s="22"/>
      <c r="E629" s="22"/>
      <c r="F629" s="86" t="s">
        <v>659</v>
      </c>
      <c r="G629" s="80">
        <f>G194</f>
        <v>164674.26</v>
      </c>
      <c r="H629" s="80">
        <f>SUM(G469)</f>
        <v>164674.26</v>
      </c>
      <c r="I629" s="87" t="s">
        <v>107</v>
      </c>
      <c r="J629" s="80">
        <f>G629-H629</f>
        <v>0</v>
      </c>
      <c r="K629" s="67"/>
      <c r="L629" s="69"/>
      <c r="M629" s="8"/>
    </row>
    <row r="630" spans="1:13" s="3" customFormat="1" ht="12.2" customHeight="1" x14ac:dyDescent="0.15">
      <c r="A630" s="21"/>
      <c r="B630" s="22"/>
      <c r="C630" s="22"/>
      <c r="D630" s="22"/>
      <c r="E630" s="22"/>
      <c r="F630" s="86" t="s">
        <v>660</v>
      </c>
      <c r="G630" s="80">
        <f>H194</f>
        <v>606611.58000000007</v>
      </c>
      <c r="H630" s="80">
        <f>SUM(H469)</f>
        <v>606611.57999999996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33947.279999999999</v>
      </c>
      <c r="H632" s="80">
        <f>SUM(J469)</f>
        <v>33947.279999999999</v>
      </c>
      <c r="I632" s="87" t="s">
        <v>110</v>
      </c>
      <c r="J632" s="80">
        <f>G632-H632</f>
        <v>0</v>
      </c>
      <c r="K632" s="67"/>
      <c r="L632" s="69"/>
      <c r="M632" s="8"/>
    </row>
    <row r="633" spans="1:13" s="3" customFormat="1" ht="12.2" customHeight="1" x14ac:dyDescent="0.15">
      <c r="A633" s="21"/>
      <c r="B633" s="22"/>
      <c r="C633" s="22"/>
      <c r="D633" s="22"/>
      <c r="E633" s="22"/>
      <c r="F633" s="86" t="s">
        <v>394</v>
      </c>
      <c r="G633" s="80">
        <f>SUM(L272)</f>
        <v>6706666.4000000004</v>
      </c>
      <c r="H633" s="80">
        <f>SUM(F473)</f>
        <v>6706666.4000000004</v>
      </c>
      <c r="I633" s="87" t="s">
        <v>111</v>
      </c>
      <c r="J633" s="80">
        <f t="shared" si="51"/>
        <v>0</v>
      </c>
      <c r="K633" s="67"/>
      <c r="L633" s="69"/>
      <c r="M633" s="8"/>
    </row>
    <row r="634" spans="1:13" s="3" customFormat="1" ht="12.2" customHeight="1" x14ac:dyDescent="0.15">
      <c r="A634" s="21"/>
      <c r="B634" s="22"/>
      <c r="C634" s="22"/>
      <c r="D634" s="22"/>
      <c r="E634" s="22"/>
      <c r="F634" s="86" t="s">
        <v>395</v>
      </c>
      <c r="G634" s="80">
        <f>SUM(L353)</f>
        <v>606611.57999999996</v>
      </c>
      <c r="H634" s="80">
        <f>SUM(H473)</f>
        <v>606611.57999999996</v>
      </c>
      <c r="I634" s="87" t="s">
        <v>112</v>
      </c>
      <c r="J634" s="80">
        <f>G634-H634</f>
        <v>0</v>
      </c>
      <c r="K634" s="67"/>
      <c r="L634" s="69"/>
      <c r="M634" s="8"/>
    </row>
    <row r="635" spans="1:13" s="124" customFormat="1" ht="12.2" customHeight="1" x14ac:dyDescent="0.15">
      <c r="A635" s="21"/>
      <c r="B635" s="22"/>
      <c r="C635" s="22"/>
      <c r="D635" s="22"/>
      <c r="E635" s="22"/>
      <c r="F635" s="99" t="s">
        <v>247</v>
      </c>
      <c r="G635" s="80">
        <f>I363</f>
        <v>20984.61</v>
      </c>
      <c r="H635" s="80">
        <f>I370</f>
        <v>20984.61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198807.79</v>
      </c>
      <c r="H636" s="80">
        <f>SUM(G473)</f>
        <v>198807.79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33947.279999999999</v>
      </c>
      <c r="H638" s="108">
        <f>SUM(J469)</f>
        <v>33947.279999999999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209067.09</v>
      </c>
      <c r="H639" s="108">
        <f>SUM(J473)</f>
        <v>209067.09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471413.96</v>
      </c>
      <c r="H640" s="80">
        <f>SUM(F462)</f>
        <v>471413.96</v>
      </c>
      <c r="I640" s="87" t="s">
        <v>837</v>
      </c>
      <c r="J640" s="80">
        <f t="shared" si="51"/>
        <v>0</v>
      </c>
      <c r="K640" s="67"/>
      <c r="L640" s="69"/>
      <c r="M640" s="8"/>
    </row>
    <row r="641" spans="1:13" s="3" customFormat="1" ht="12.2" customHeight="1" x14ac:dyDescent="0.15">
      <c r="A641" s="21"/>
      <c r="B641" s="22"/>
      <c r="C641" s="22"/>
      <c r="D641" s="22"/>
      <c r="E641" s="22"/>
      <c r="F641" s="86" t="s">
        <v>119</v>
      </c>
      <c r="G641" s="80">
        <f>SUM(G447)</f>
        <v>804050.63000000012</v>
      </c>
      <c r="H641" s="80">
        <f>SUM(G462)</f>
        <v>804050.63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1275464.5900000001</v>
      </c>
      <c r="H643" s="80">
        <f>SUM(I462)</f>
        <v>1275464.5900000001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26499.18</v>
      </c>
      <c r="H645" s="80">
        <f>H409</f>
        <v>26499.18</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33947.279999999999</v>
      </c>
      <c r="H647" s="80">
        <f>L409</f>
        <v>33947.279999999999</v>
      </c>
      <c r="I647" s="87" t="s">
        <v>477</v>
      </c>
      <c r="J647" s="80">
        <f t="shared" si="51"/>
        <v>0</v>
      </c>
      <c r="K647" s="67"/>
      <c r="L647" s="69"/>
      <c r="M647" s="8"/>
    </row>
    <row r="648" spans="1:13" s="3" customFormat="1" ht="12.2" customHeight="1" x14ac:dyDescent="0.15">
      <c r="A648" s="21"/>
      <c r="B648" s="22"/>
      <c r="C648" s="22"/>
      <c r="D648" s="22"/>
      <c r="E648" s="22"/>
      <c r="F648" s="86" t="s">
        <v>51</v>
      </c>
      <c r="G648" s="80">
        <f>K599</f>
        <v>264378.89999999997</v>
      </c>
      <c r="H648" s="80">
        <f>L209+L227+L245</f>
        <v>264378.90000000002</v>
      </c>
      <c r="I648" s="87" t="s">
        <v>396</v>
      </c>
      <c r="J648" s="80">
        <f t="shared" si="51"/>
        <v>0</v>
      </c>
      <c r="K648" s="67"/>
      <c r="L648" s="69"/>
      <c r="M648" s="8"/>
    </row>
    <row r="649" spans="1:13" s="3" customFormat="1" ht="12.2" customHeight="1" x14ac:dyDescent="0.15">
      <c r="A649" s="21"/>
      <c r="B649" s="22"/>
      <c r="C649" s="22"/>
      <c r="D649" s="22"/>
      <c r="E649" s="22"/>
      <c r="F649" s="86" t="s">
        <v>52</v>
      </c>
      <c r="G649" s="80">
        <f>K606</f>
        <v>98958.97</v>
      </c>
      <c r="H649" s="80">
        <f>(J258+J339)-(J256+J337)</f>
        <v>98958.97</v>
      </c>
      <c r="I649" s="87" t="s">
        <v>699</v>
      </c>
      <c r="J649" s="80">
        <f t="shared" si="51"/>
        <v>0</v>
      </c>
      <c r="K649" s="67"/>
      <c r="L649" s="69"/>
      <c r="M649" s="8"/>
    </row>
    <row r="650" spans="1:13" s="3" customFormat="1" ht="12.2" customHeight="1" x14ac:dyDescent="0.15">
      <c r="A650" s="21"/>
      <c r="B650" s="22"/>
      <c r="C650" s="22"/>
      <c r="D650" s="22"/>
      <c r="E650" s="22"/>
      <c r="F650" s="86" t="s">
        <v>387</v>
      </c>
      <c r="G650" s="80">
        <f>L209</f>
        <v>131683.63</v>
      </c>
      <c r="H650" s="80">
        <f>H599</f>
        <v>131683.63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132695.27000000002</v>
      </c>
      <c r="H652" s="80">
        <f>J599</f>
        <v>132695.26999999999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4330415.7699999996</v>
      </c>
      <c r="G661" s="13">
        <f>(L230+L310+L360)</f>
        <v>0</v>
      </c>
      <c r="H661" s="13">
        <f>(L248+L329+L361)</f>
        <v>3060362.1100000003</v>
      </c>
      <c r="I661" s="13">
        <f>SUM(F661:H661)</f>
        <v>7390777.8799999999</v>
      </c>
      <c r="J661" s="13"/>
      <c r="K661" s="13"/>
      <c r="L661" s="13"/>
      <c r="M661" s="9"/>
    </row>
    <row r="662" spans="1:13" s="3" customFormat="1" ht="12.2" customHeight="1" x14ac:dyDescent="0.2">
      <c r="A662" s="1" t="s">
        <v>127</v>
      </c>
      <c r="F662" s="13">
        <f>(L359/IF(SUM(L359:L361)=0,1,SUM(L359:L361))*(SUM(G97:G110)))</f>
        <v>33257.060395633387</v>
      </c>
      <c r="G662" s="13">
        <f>(L360/IF(SUM(L359:L361)=0,1,SUM(L359:L361))*(SUM(G97:G110)))</f>
        <v>0</v>
      </c>
      <c r="H662" s="13">
        <f>(L361/IF(SUM(L359:L361)=0,1,SUM(L359:L361))*(SUM(G97:G110)))</f>
        <v>22924.679604366607</v>
      </c>
      <c r="I662" s="13">
        <f>SUM(F662:H662)</f>
        <v>56181.739999999991</v>
      </c>
      <c r="J662"/>
      <c r="K662" s="13"/>
      <c r="L662" s="13"/>
      <c r="M662" s="8"/>
    </row>
    <row r="663" spans="1:13" s="3" customFormat="1" ht="12.2" customHeight="1" x14ac:dyDescent="0.2">
      <c r="A663" s="1" t="s">
        <v>128</v>
      </c>
      <c r="F663" s="13">
        <f>(L209+L288)-(J209+J288)</f>
        <v>132573.57</v>
      </c>
      <c r="G663" s="13">
        <f>(L227+L307)-(J227+J307)</f>
        <v>0</v>
      </c>
      <c r="H663" s="13">
        <f>(L245+L326)-(J245+J326)</f>
        <v>132587.92000000001</v>
      </c>
      <c r="I663" s="13">
        <f>SUM(F663:H663)</f>
        <v>265161.49</v>
      </c>
      <c r="J663"/>
      <c r="K663" s="13"/>
      <c r="L663" s="13"/>
      <c r="M663" s="9"/>
    </row>
    <row r="664" spans="1:13" s="3" customFormat="1" ht="12.2" customHeight="1" x14ac:dyDescent="0.15">
      <c r="A664" s="141" t="s">
        <v>129</v>
      </c>
      <c r="B664" s="124"/>
      <c r="C664" s="124"/>
      <c r="D664" s="124"/>
      <c r="E664" s="124"/>
      <c r="F664" s="142">
        <f>SUM(F576:F588)+SUM(H603:H605)+SUM(L612)</f>
        <v>59638.78</v>
      </c>
      <c r="G664" s="142">
        <f>SUM(G576:G588)+SUM(I603:I605)+L613</f>
        <v>0</v>
      </c>
      <c r="H664" s="142">
        <f>SUM(H576:H588)+SUM(J603:J605)+L614</f>
        <v>101036.45</v>
      </c>
      <c r="I664" s="13">
        <f>SUM(F664:H664)</f>
        <v>160675.22999999998</v>
      </c>
      <c r="J664" s="13"/>
      <c r="K664" s="13"/>
      <c r="L664" s="13"/>
      <c r="M664" s="9"/>
    </row>
    <row r="665" spans="1:13" s="3" customFormat="1" ht="12.2" customHeight="1" x14ac:dyDescent="0.15">
      <c r="A665" s="1" t="s">
        <v>130</v>
      </c>
      <c r="F665" s="13">
        <f>F661-SUM(F662:F664)</f>
        <v>4104946.3596043661</v>
      </c>
      <c r="G665" s="13">
        <f>G661-SUM(G662:G664)</f>
        <v>0</v>
      </c>
      <c r="H665" s="13">
        <f>H661-SUM(H662:H664)</f>
        <v>2803813.0603956338</v>
      </c>
      <c r="I665" s="13">
        <f>I661-SUM(I662:I664)</f>
        <v>6908759.4199999999</v>
      </c>
      <c r="J665" s="13"/>
      <c r="K665" s="13"/>
      <c r="L665" s="13"/>
      <c r="M665" s="8"/>
    </row>
    <row r="666" spans="1:13" s="3" customFormat="1" ht="12.2" customHeight="1" x14ac:dyDescent="0.2">
      <c r="A666" s="1" t="s">
        <v>131</v>
      </c>
      <c r="F666" s="182">
        <v>192.68</v>
      </c>
      <c r="G666" s="183"/>
      <c r="H666" s="183">
        <v>109.17</v>
      </c>
      <c r="I666" s="13">
        <f>SUM(F666:H666)</f>
        <v>301.85000000000002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21304.48</v>
      </c>
      <c r="G668" s="13" t="e">
        <f>ROUND(G665/G666,2)</f>
        <v>#DIV/0!</v>
      </c>
      <c r="H668" s="13">
        <f>ROUND(H665/H666,2)</f>
        <v>25683</v>
      </c>
      <c r="I668" s="13">
        <f>ROUND(I665/I666,2)</f>
        <v>22888.06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-1.56</v>
      </c>
      <c r="I671" s="13">
        <f>SUM(F671:H671)</f>
        <v>-1.56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21304.48</v>
      </c>
      <c r="G673" s="13" t="e">
        <f>ROUND((G665+G670)/(G666+G671),2)</f>
        <v>#DIV/0!</v>
      </c>
      <c r="H673" s="13">
        <f>ROUND((H665+H670)/(H666+H671),2)</f>
        <v>26055.32</v>
      </c>
      <c r="I673" s="13">
        <f>ROUND((I665+I670)/(I666+I671),2)</f>
        <v>23006.959999999999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79121.58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5520.52+27750.99+21654.03</f>
        <v>54925.54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956.04+16520</f>
        <v>17476.04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6720</f>
        <v>6720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4073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Colebrook</v>
      </c>
      <c r="C5" s="321"/>
      <c r="D5" s="321"/>
      <c r="E5" s="321"/>
      <c r="F5" s="321"/>
    </row>
    <row r="8" spans="1:9" ht="18" x14ac:dyDescent="0.25">
      <c r="A8" s="239" t="s">
        <v>1548</v>
      </c>
      <c r="F8" s="246" t="s">
        <v>1566</v>
      </c>
    </row>
    <row r="9" spans="1:9" ht="15" x14ac:dyDescent="0.2">
      <c r="A9" s="237" t="s">
        <v>1549</v>
      </c>
      <c r="B9" s="240">
        <f>'DOE25'!G97</f>
        <v>56181.74</v>
      </c>
      <c r="F9" s="237" t="s">
        <v>1562</v>
      </c>
    </row>
    <row r="10" spans="1:9" ht="15" x14ac:dyDescent="0.2">
      <c r="A10" s="237" t="s">
        <v>1550</v>
      </c>
      <c r="B10" s="240">
        <f>'DOE25'!G112-'DOE25'!G97</f>
        <v>0</v>
      </c>
      <c r="F10" s="237" t="s">
        <v>1563</v>
      </c>
    </row>
    <row r="11" spans="1:9" ht="15" x14ac:dyDescent="0.2">
      <c r="A11" s="237" t="s">
        <v>1551</v>
      </c>
      <c r="B11" s="240">
        <f>'DOE25'!G140</f>
        <v>676.83</v>
      </c>
      <c r="F11" s="237" t="s">
        <v>1564</v>
      </c>
    </row>
    <row r="12" spans="1:9" ht="15" x14ac:dyDescent="0.2">
      <c r="A12" s="237" t="s">
        <v>1552</v>
      </c>
      <c r="B12" s="240">
        <f>'DOE25'!G170</f>
        <v>107815.69</v>
      </c>
      <c r="F12" s="237" t="s">
        <v>1565</v>
      </c>
    </row>
    <row r="13" spans="1:9" ht="15" x14ac:dyDescent="0.2">
      <c r="A13" s="237" t="s">
        <v>1553</v>
      </c>
      <c r="B13" s="240">
        <f>'DOE25'!G193-'DOE25'!G180</f>
        <v>0</v>
      </c>
      <c r="F13" s="237" t="s">
        <v>1575</v>
      </c>
    </row>
    <row r="14" spans="1:9" ht="18" x14ac:dyDescent="0.25">
      <c r="A14" s="239" t="s">
        <v>732</v>
      </c>
      <c r="B14" s="241">
        <f>SUM(B9:B13)</f>
        <v>164674.26</v>
      </c>
    </row>
    <row r="16" spans="1:9" ht="18" x14ac:dyDescent="0.25">
      <c r="A16" s="239" t="s">
        <v>783</v>
      </c>
      <c r="F16" s="246" t="s">
        <v>1567</v>
      </c>
    </row>
    <row r="17" spans="1:6" ht="15" x14ac:dyDescent="0.2">
      <c r="A17" s="237" t="s">
        <v>1554</v>
      </c>
      <c r="B17" s="240">
        <f>'DOE25'!L363-'DOE25'!L362</f>
        <v>198807.79</v>
      </c>
      <c r="F17" s="237" t="s">
        <v>1568</v>
      </c>
    </row>
    <row r="18" spans="1:6" ht="15" x14ac:dyDescent="0.2">
      <c r="A18" s="237" t="s">
        <v>1555</v>
      </c>
      <c r="B18" s="250">
        <v>0</v>
      </c>
      <c r="F18" s="246" t="s">
        <v>1592</v>
      </c>
    </row>
    <row r="19" spans="1:6" ht="18" x14ac:dyDescent="0.25">
      <c r="A19" s="239" t="s">
        <v>725</v>
      </c>
      <c r="B19" s="241">
        <f>SUM(B17:B18)</f>
        <v>198807.79</v>
      </c>
    </row>
    <row r="21" spans="1:6" ht="18.75" thickBot="1" x14ac:dyDescent="0.3">
      <c r="A21" s="239" t="s">
        <v>1556</v>
      </c>
    </row>
    <row r="22" spans="1:6" ht="18.75" thickTop="1" x14ac:dyDescent="0.25">
      <c r="A22" s="239" t="s">
        <v>1557</v>
      </c>
      <c r="B22" s="245">
        <f>B14-B19</f>
        <v>-34133.53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76936.13</v>
      </c>
      <c r="F31" s="237" t="s">
        <v>1572</v>
      </c>
    </row>
    <row r="33" spans="1:6" ht="15" x14ac:dyDescent="0.2">
      <c r="A33" s="237" t="s">
        <v>1790</v>
      </c>
      <c r="B33" s="240">
        <f>'DOE25'!G477</f>
        <v>38624.06</v>
      </c>
      <c r="F33" s="237" t="s">
        <v>1573</v>
      </c>
    </row>
    <row r="36" spans="1:6" ht="15" x14ac:dyDescent="0.2">
      <c r="A36" s="237" t="s">
        <v>1559</v>
      </c>
      <c r="B36" s="251">
        <v>12170.48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Colebrook</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1502424.47</v>
      </c>
      <c r="C9" s="166">
        <f>'DOE25'!G198+'DOE25'!G216+'DOE25'!G234+'DOE25'!G277+'DOE25'!G296+'DOE25'!G315</f>
        <v>855255.28</v>
      </c>
    </row>
    <row r="10" spans="1:3" x14ac:dyDescent="0.2">
      <c r="A10" t="s">
        <v>772</v>
      </c>
      <c r="B10" s="176">
        <v>1433712.76</v>
      </c>
      <c r="C10" s="176">
        <f>C9-C11</f>
        <v>849586.56</v>
      </c>
    </row>
    <row r="11" spans="1:3" x14ac:dyDescent="0.2">
      <c r="A11" t="s">
        <v>773</v>
      </c>
      <c r="B11" s="176">
        <f>143.33+10000+58568.38</f>
        <v>68711.709999999992</v>
      </c>
      <c r="C11" s="176">
        <f>5668.72</f>
        <v>5668.72</v>
      </c>
    </row>
    <row r="12" spans="1:3" x14ac:dyDescent="0.2">
      <c r="A12" t="s">
        <v>774</v>
      </c>
      <c r="B12" s="176"/>
      <c r="C12" s="176"/>
    </row>
    <row r="13" spans="1:3" x14ac:dyDescent="0.2">
      <c r="A13" t="str">
        <f>IF(B9=B13,IF(C9=C13,"Check Total OK","Check Total Error"),"Check Total Error")</f>
        <v>Check Total OK</v>
      </c>
      <c r="B13" s="168">
        <f>SUM(B10:B12)</f>
        <v>1502424.47</v>
      </c>
      <c r="C13" s="168">
        <f>SUM(C10:C12)</f>
        <v>855255.28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571362.55000000005</v>
      </c>
      <c r="C18" s="166">
        <f>'DOE25'!G199+'DOE25'!G217+'DOE25'!G235+'DOE25'!G278+'DOE25'!G297+'DOE25'!G316</f>
        <v>139967.05000000002</v>
      </c>
    </row>
    <row r="19" spans="1:3" x14ac:dyDescent="0.2">
      <c r="A19" t="s">
        <v>772</v>
      </c>
      <c r="B19" s="176">
        <f>214888.3+3482.5</f>
        <v>218370.8</v>
      </c>
      <c r="C19" s="176">
        <f>C18-C20</f>
        <v>112801.16000000002</v>
      </c>
    </row>
    <row r="20" spans="1:3" x14ac:dyDescent="0.2">
      <c r="A20" t="s">
        <v>773</v>
      </c>
      <c r="B20" s="176">
        <f>315638.54+37353.21</f>
        <v>352991.75</v>
      </c>
      <c r="C20" s="176">
        <f>27165.89</f>
        <v>27165.89</v>
      </c>
    </row>
    <row r="21" spans="1:3" x14ac:dyDescent="0.2">
      <c r="A21" t="s">
        <v>774</v>
      </c>
      <c r="B21" s="176"/>
      <c r="C21" s="176"/>
    </row>
    <row r="22" spans="1:3" x14ac:dyDescent="0.2">
      <c r="A22" t="str">
        <f>IF(B18=B22,IF(C18=C22,"Check Total OK","Check Total Error"),"Check Total Error")</f>
        <v>Check Total OK</v>
      </c>
      <c r="B22" s="168">
        <f>SUM(B19:B21)</f>
        <v>571362.55000000005</v>
      </c>
      <c r="C22" s="168">
        <f>SUM(C19:C21)</f>
        <v>139967.05000000002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93238.12</v>
      </c>
      <c r="C27" s="171">
        <f>'DOE25'!G200+'DOE25'!G218+'DOE25'!G236+'DOE25'!G279+'DOE25'!G298+'DOE25'!G317</f>
        <v>56087.05</v>
      </c>
    </row>
    <row r="28" spans="1:3" x14ac:dyDescent="0.2">
      <c r="A28" t="s">
        <v>772</v>
      </c>
      <c r="B28" s="176">
        <f>89796.43</f>
        <v>89796.43</v>
      </c>
      <c r="C28" s="176">
        <f>C27-C29</f>
        <v>55803.11</v>
      </c>
    </row>
    <row r="29" spans="1:3" x14ac:dyDescent="0.2">
      <c r="A29" t="s">
        <v>773</v>
      </c>
      <c r="B29" s="176">
        <f>3441.69</f>
        <v>3441.69</v>
      </c>
      <c r="C29" s="176">
        <f>283.94</f>
        <v>283.94</v>
      </c>
    </row>
    <row r="30" spans="1:3" x14ac:dyDescent="0.2">
      <c r="A30" t="s">
        <v>774</v>
      </c>
      <c r="B30" s="176"/>
      <c r="C30" s="176"/>
    </row>
    <row r="31" spans="1:3" x14ac:dyDescent="0.2">
      <c r="A31" t="str">
        <f>IF(B27=B31,IF(C27=C31,"Check Total OK","Check Total Error"),"Check Total Error")</f>
        <v>Check Total OK</v>
      </c>
      <c r="B31" s="168">
        <f>SUM(B28:B30)</f>
        <v>93238.12</v>
      </c>
      <c r="C31" s="168">
        <f>SUM(C28:C30)</f>
        <v>56087.05</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128193.5</v>
      </c>
      <c r="C36" s="172">
        <f>'DOE25'!G201+'DOE25'!G219+'DOE25'!G237+'DOE25'!G280+'DOE25'!G299+'DOE25'!G318</f>
        <v>26734.11</v>
      </c>
    </row>
    <row r="37" spans="1:3" x14ac:dyDescent="0.2">
      <c r="A37" t="s">
        <v>772</v>
      </c>
      <c r="B37" s="176"/>
      <c r="C37" s="176"/>
    </row>
    <row r="38" spans="1:3" x14ac:dyDescent="0.2">
      <c r="A38" t="s">
        <v>773</v>
      </c>
      <c r="B38" s="176">
        <f>37361+82680+3500+4652.5</f>
        <v>128193.5</v>
      </c>
      <c r="C38" s="176">
        <f>C36</f>
        <v>26734.11</v>
      </c>
    </row>
    <row r="39" spans="1:3" x14ac:dyDescent="0.2">
      <c r="A39" t="s">
        <v>774</v>
      </c>
      <c r="B39" s="176"/>
      <c r="C39" s="176"/>
    </row>
    <row r="40" spans="1:3" x14ac:dyDescent="0.2">
      <c r="A40" t="str">
        <f>IF(B36=B40,IF(C36=C40,"Check Total OK","Check Total Error"),"Check Total Error")</f>
        <v>Check Total OK</v>
      </c>
      <c r="B40" s="168">
        <f>SUM(B37:B39)</f>
        <v>128193.5</v>
      </c>
      <c r="C40" s="168">
        <f>SUM(C37:C39)</f>
        <v>26734.11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19" activePane="bottomLeft" state="frozen"/>
      <selection activeCell="F46" sqref="F46"/>
      <selection pane="bottomLeft" activeCell="L16" sqref="L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Colebrook</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3376038.49</v>
      </c>
      <c r="D5" s="19">
        <f>SUM('DOE25'!L198:L201)+SUM('DOE25'!L216:L219)+SUM('DOE25'!L234:L237)-F5-G5-H5</f>
        <v>3277397.16</v>
      </c>
      <c r="E5" s="179"/>
      <c r="F5" s="180">
        <f>3500</f>
        <v>3500</v>
      </c>
      <c r="G5" s="19">
        <f>SUM('DOE25'!J198:J201)+SUM('DOE25'!J216:J219)+SUM('DOE25'!J234:J237)</f>
        <v>15639.56</v>
      </c>
      <c r="H5" s="19">
        <f>SUM('DOE25'!K198:K201)+SUM('DOE25'!K216:K219)+SUM('DOE25'!K234:K237)</f>
        <v>79501.77</v>
      </c>
      <c r="I5" s="191"/>
    </row>
    <row r="6" spans="1:9" x14ac:dyDescent="0.2">
      <c r="A6" s="31">
        <v>2100</v>
      </c>
      <c r="B6" t="s">
        <v>793</v>
      </c>
      <c r="C6" s="205">
        <f t="shared" si="0"/>
        <v>623014.32999999996</v>
      </c>
      <c r="D6" s="19">
        <f>'DOE25'!L203+'DOE25'!L221+'DOE25'!L239-F6-G6-H6</f>
        <v>611372.61</v>
      </c>
      <c r="E6" s="179"/>
      <c r="F6" s="180"/>
      <c r="G6" s="19">
        <f>'DOE25'!J203+'DOE25'!J221+'DOE25'!J239</f>
        <v>0</v>
      </c>
      <c r="H6" s="19">
        <f>'DOE25'!K203+'DOE25'!K221+'DOE25'!K239</f>
        <v>11641.720000000001</v>
      </c>
      <c r="I6" s="191"/>
    </row>
    <row r="7" spans="1:9" x14ac:dyDescent="0.2">
      <c r="A7" s="31">
        <v>2200</v>
      </c>
      <c r="B7" t="s">
        <v>817</v>
      </c>
      <c r="C7" s="205">
        <f t="shared" si="0"/>
        <v>235276.84999999998</v>
      </c>
      <c r="D7" s="19">
        <f>'DOE25'!L204+'DOE25'!L222+'DOE25'!L240-F7-G7-H7</f>
        <v>217045.49</v>
      </c>
      <c r="E7" s="179"/>
      <c r="F7" s="180"/>
      <c r="G7" s="19">
        <f>'DOE25'!J204+'DOE25'!J222+'DOE25'!J240</f>
        <v>0</v>
      </c>
      <c r="H7" s="19">
        <f>'DOE25'!K204+'DOE25'!K222+'DOE25'!K240</f>
        <v>18231.36</v>
      </c>
      <c r="I7" s="191"/>
    </row>
    <row r="8" spans="1:9" x14ac:dyDescent="0.2">
      <c r="A8" s="31">
        <v>2300</v>
      </c>
      <c r="B8" t="s">
        <v>794</v>
      </c>
      <c r="C8" s="205">
        <f t="shared" si="0"/>
        <v>648428.94000000006</v>
      </c>
      <c r="D8" s="179"/>
      <c r="E8" s="19">
        <f>'DOE25'!L205+'DOE25'!L223+'DOE25'!L241-F8-G8-H8-D9-D11</f>
        <v>639185.1100000001</v>
      </c>
      <c r="F8" s="180"/>
      <c r="G8" s="19">
        <f>'DOE25'!J205+'DOE25'!J223+'DOE25'!J241</f>
        <v>0</v>
      </c>
      <c r="H8" s="19">
        <f>'DOE25'!K205+'DOE25'!K223+'DOE25'!K241</f>
        <v>9243.8300000000017</v>
      </c>
      <c r="I8" s="191"/>
    </row>
    <row r="9" spans="1:9" ht="14.25" x14ac:dyDescent="0.2">
      <c r="A9" s="31">
        <v>2310</v>
      </c>
      <c r="B9" s="71" t="s">
        <v>884</v>
      </c>
      <c r="C9" s="205">
        <f t="shared" si="0"/>
        <v>90310.64</v>
      </c>
      <c r="D9" s="180">
        <v>90310.64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413039.37</v>
      </c>
      <c r="D12" s="19">
        <f>'DOE25'!L206+'DOE25'!L224+'DOE25'!L242-F12-G12-H12</f>
        <v>409992.13</v>
      </c>
      <c r="E12" s="179"/>
      <c r="F12" s="180"/>
      <c r="G12" s="19">
        <f>'DOE25'!J206+'DOE25'!J224+'DOE25'!J242</f>
        <v>179.99</v>
      </c>
      <c r="H12" s="19">
        <f>'DOE25'!K206+'DOE25'!K224+'DOE25'!K242</f>
        <v>2867.25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930385.29999999993</v>
      </c>
      <c r="D14" s="19">
        <f>'DOE25'!L208+'DOE25'!L226+'DOE25'!L244-F14-G14-H14</f>
        <v>841037.39999999991</v>
      </c>
      <c r="E14" s="179"/>
      <c r="F14" s="180">
        <f>74103.3</f>
        <v>74103.3</v>
      </c>
      <c r="G14" s="19">
        <f>'DOE25'!J208+'DOE25'!J226+'DOE25'!J244</f>
        <v>14243.4</v>
      </c>
      <c r="H14" s="19">
        <f>'DOE25'!K208+'DOE25'!K226+'DOE25'!K244</f>
        <v>1001.2</v>
      </c>
      <c r="I14" s="191"/>
    </row>
    <row r="15" spans="1:9" x14ac:dyDescent="0.2">
      <c r="A15" s="31">
        <v>2700</v>
      </c>
      <c r="B15" t="s">
        <v>796</v>
      </c>
      <c r="C15" s="205">
        <f t="shared" si="0"/>
        <v>264378.90000000002</v>
      </c>
      <c r="D15" s="19">
        <f>'DOE25'!L209+'DOE25'!L227+'DOE25'!L245-F15-G15-H15</f>
        <v>103975.40000000002</v>
      </c>
      <c r="E15" s="179"/>
      <c r="F15" s="180">
        <f>144550.94</f>
        <v>144550.94</v>
      </c>
      <c r="G15" s="19">
        <f>'DOE25'!J209+'DOE25'!J227+'DOE25'!J245</f>
        <v>129.34</v>
      </c>
      <c r="H15" s="19">
        <f>'DOE25'!K209+'DOE25'!K227+'DOE25'!K245</f>
        <v>15723.219999999998</v>
      </c>
      <c r="I15" s="191"/>
    </row>
    <row r="16" spans="1:9" x14ac:dyDescent="0.2">
      <c r="A16" s="31">
        <v>2800</v>
      </c>
      <c r="B16" t="s">
        <v>797</v>
      </c>
      <c r="C16" s="205">
        <f t="shared" si="0"/>
        <v>112537.31999999999</v>
      </c>
      <c r="D16" s="179"/>
      <c r="E16" s="19">
        <f>'DOE25'!L210+'DOE25'!L228+'DOE25'!L246-F16-G16-H16</f>
        <v>50000.789999999994</v>
      </c>
      <c r="F16" s="180">
        <f>8498.25</f>
        <v>8498.25</v>
      </c>
      <c r="G16" s="19">
        <f>'DOE25'!J210+'DOE25'!J228+'DOE25'!J246</f>
        <v>54038.28</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108051.63</v>
      </c>
      <c r="D22" s="179"/>
      <c r="E22" s="179"/>
      <c r="F22" s="179"/>
      <c r="G22" s="19">
        <f>'DOE25'!L256+'DOE25'!L337</f>
        <v>108051.63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126824.73000000001</v>
      </c>
      <c r="D29" s="211">
        <f>'DOE25'!L359+'DOE25'!L360+'DOE25'!L361-'DOE25'!I368-F29-G29-H29-F39</f>
        <v>104144.74000000002</v>
      </c>
      <c r="E29" s="179"/>
      <c r="F29" s="179"/>
      <c r="G29" s="19">
        <f>'DOE25'!J359+'DOE25'!J360+'DOE25'!J361</f>
        <v>22679.989999999998</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498559.94999999995</v>
      </c>
      <c r="D31" s="19">
        <f>'DOE25'!L291+'DOE25'!L310+'DOE25'!L329+'DOE25'!L334+'DOE25'!L335+'DOE25'!L336-F31-G31-H31</f>
        <v>365122.17999999993</v>
      </c>
      <c r="E31" s="179"/>
      <c r="F31" s="180">
        <v>98660.63</v>
      </c>
      <c r="G31" s="19">
        <f>'DOE25'!J291+'DOE25'!J310+'DOE25'!J329+'DOE25'!J334+'DOE25'!J335+'DOE25'!J336</f>
        <v>14728.4</v>
      </c>
      <c r="H31" s="19">
        <f>'DOE25'!K291+'DOE25'!K310+'DOE25'!K329+'DOE25'!K334+'DOE25'!K335+'DOE25'!K336</f>
        <v>20048.739999999998</v>
      </c>
      <c r="I31" s="191"/>
    </row>
    <row r="32" spans="1:9" ht="12" thickBot="1" x14ac:dyDescent="0.25">
      <c r="C32" s="206"/>
      <c r="G32" s="187"/>
      <c r="H32" s="187"/>
      <c r="I32" s="193"/>
    </row>
    <row r="33" spans="1:9" ht="12" thickTop="1" x14ac:dyDescent="0.2">
      <c r="B33" t="s">
        <v>806</v>
      </c>
      <c r="D33" s="181">
        <f t="shared" ref="D33:I33" si="1">SUM(D5:D31)</f>
        <v>6020397.75</v>
      </c>
      <c r="E33" s="181">
        <f t="shared" si="1"/>
        <v>689185.90000000014</v>
      </c>
      <c r="F33" s="181">
        <f t="shared" si="1"/>
        <v>329313.12</v>
      </c>
      <c r="G33" s="181">
        <f t="shared" si="1"/>
        <v>229690.59</v>
      </c>
      <c r="H33" s="181">
        <f t="shared" si="1"/>
        <v>158259.09</v>
      </c>
      <c r="I33" s="181">
        <f t="shared" si="1"/>
        <v>0</v>
      </c>
    </row>
    <row r="34" spans="1:9" ht="12" thickBot="1" x14ac:dyDescent="0.25"/>
    <row r="35" spans="1:9" ht="12" thickBot="1" x14ac:dyDescent="0.25">
      <c r="B35" s="187" t="s">
        <v>827</v>
      </c>
      <c r="D35" s="188">
        <f>E33</f>
        <v>689185.90000000014</v>
      </c>
      <c r="E35" s="184"/>
      <c r="F35" s="294" t="s">
        <v>1596</v>
      </c>
      <c r="G35" s="295"/>
      <c r="H35" s="295"/>
      <c r="I35" s="296"/>
    </row>
    <row r="36" spans="1:9" ht="12" thickTop="1" x14ac:dyDescent="0.2">
      <c r="B36" t="s">
        <v>807</v>
      </c>
      <c r="D36" s="19">
        <f>D33</f>
        <v>6020397.75</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53249.97</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topLeftCell="A9" zoomScale="73" zoomScaleNormal="73" workbookViewId="0">
      <selection activeCell="Q41" sqref="Q4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Colebrook</v>
      </c>
      <c r="B2">
        <f>'DOE25'!B2</f>
        <v>105</v>
      </c>
      <c r="J2" s="223" t="s">
        <v>1799</v>
      </c>
      <c r="K2" s="308">
        <f>SUM('DOE25'!L198:L201)+SUM('DOE25'!L277:L280)</f>
        <v>2235287.6</v>
      </c>
      <c r="L2" s="308">
        <f>'DOE25'!L203+'DOE25'!L282</f>
        <v>490051.43999999994</v>
      </c>
      <c r="M2" s="308">
        <f>'DOE25'!L204+'DOE25'!L283</f>
        <v>154899.91</v>
      </c>
      <c r="N2" s="308">
        <f>'DOE25'!L206+'DOE25'!L285</f>
        <v>211361.87999999998</v>
      </c>
      <c r="O2" s="316">
        <f>'Salaries-Benefits'!B10+'Salaries-Benefits'!B12+'Salaries-Benefits'!B19+'Salaries-Benefits'!B21+'Salaries-Benefits'!B28+'Salaries-Benefits'!B30+'Salaries-Benefits'!B37+'Salaries-Benefits'!B39</f>
        <v>1741879.99</v>
      </c>
      <c r="P2" s="316">
        <f>'Salaries-Benefits'!B11+'Salaries-Benefits'!B20+'Salaries-Benefits'!B29+'Salaries-Benefits'!B38</f>
        <v>553338.64999999991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4212730.51</v>
      </c>
      <c r="G4" s="228">
        <f>'DOE25'!L212+'DOE25'!L291</f>
        <v>4212730.51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52115.56+12038.13</f>
        <v>64153.689999999995</v>
      </c>
      <c r="E5" s="219">
        <f>2050</f>
        <v>2050</v>
      </c>
      <c r="F5" s="231">
        <f>D5+E5</f>
        <v>66203.69</v>
      </c>
      <c r="G5" s="222"/>
      <c r="H5" s="222"/>
      <c r="J5" s="71" t="s">
        <v>1840</v>
      </c>
      <c r="K5" s="20">
        <f>52115.56</f>
        <v>52115.56</v>
      </c>
      <c r="L5" s="20"/>
      <c r="M5" s="20"/>
      <c r="N5" s="20"/>
      <c r="O5" s="20"/>
      <c r="P5" s="20"/>
      <c r="Q5" s="20"/>
    </row>
    <row r="6" spans="1:22" x14ac:dyDescent="0.2">
      <c r="A6" t="str" cm="1">
        <f t="array" ref="A6">IFERROR(INDEX('School Tables'!$A$4:$G$365,'School Tables'!$J4,3),"")</f>
        <v>Colebrook Academy and Elementary School (E)</v>
      </c>
      <c r="B6" s="229">
        <f>IFERROR(VLOOKUP(A6,'School Tables'!$C$3:$D$365,2,FALSE),"")</f>
        <v>20195</v>
      </c>
      <c r="C6" s="222" t="str">
        <f>IFERROR(INDEX('School Tables'!$B$3:$B$365,MATCH('School Level Expenditures'!B6,'School Tables'!$D$3:$D$365,0)),"")</f>
        <v>Colebrook</v>
      </c>
      <c r="D6" s="219">
        <v>3583983.69</v>
      </c>
      <c r="E6" s="219">
        <f>323830.94+238712.19</f>
        <v>562543.13</v>
      </c>
      <c r="F6" s="231">
        <f t="shared" ref="F6:F20" si="2">D6+E6</f>
        <v>4146526.82</v>
      </c>
      <c r="G6" s="222"/>
      <c r="H6" s="222"/>
      <c r="J6" t="str">
        <f t="shared" ref="J6:J20" si="3">A6</f>
        <v>Colebrook Academy and Elementary School (E)</v>
      </c>
      <c r="K6" s="20">
        <v>2183172.04</v>
      </c>
      <c r="L6" s="20">
        <v>490051.44</v>
      </c>
      <c r="M6" s="307">
        <v>154899.91</v>
      </c>
      <c r="N6" s="20">
        <v>211361.88</v>
      </c>
      <c r="O6" s="20">
        <f>1054264.51</f>
        <v>1054264.51</v>
      </c>
      <c r="P6" s="20">
        <f>282208.57</f>
        <v>282208.57</v>
      </c>
      <c r="Q6" s="20">
        <f>160.65+7140.24+1133.16+2166.97</f>
        <v>10601.019999999999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3648137.38</v>
      </c>
      <c r="E21" s="261">
        <f>SUM(E5:E20)</f>
        <v>564593.13</v>
      </c>
      <c r="F21" s="216"/>
      <c r="G21" s="216"/>
      <c r="H21" s="216"/>
      <c r="K21" s="262">
        <f t="shared" ref="K21:Q21" si="4">SUM(K5:K20)</f>
        <v>2235287.6</v>
      </c>
      <c r="L21" s="262">
        <f t="shared" si="4"/>
        <v>490051.44</v>
      </c>
      <c r="M21" s="262">
        <f t="shared" si="4"/>
        <v>154899.91</v>
      </c>
      <c r="N21" s="262">
        <f t="shared" si="4"/>
        <v>211361.88</v>
      </c>
      <c r="O21" s="262">
        <f t="shared" si="4"/>
        <v>1054264.51</v>
      </c>
      <c r="P21" s="262">
        <f t="shared" si="4"/>
        <v>282208.57</v>
      </c>
      <c r="Q21" s="262">
        <f t="shared" si="4"/>
        <v>10601.019999999999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1494640.8800000001</v>
      </c>
      <c r="L36" s="19">
        <f>'DOE25'!L239+'DOE25'!L320</f>
        <v>197096.61999999997</v>
      </c>
      <c r="M36" s="19">
        <f>'DOE25'!L240+'DOE25'!L321</f>
        <v>140011.5</v>
      </c>
      <c r="N36" s="19">
        <f>'DOE25'!L242+'DOE25'!L323</f>
        <v>208917.43000000002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2979239.58</v>
      </c>
      <c r="G38" s="228">
        <f>'DOE25'!L248+'DOE25'!L329</f>
        <v>2979239.5800000005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57261.11+13256.26</f>
        <v>70517.37</v>
      </c>
      <c r="E39" s="219">
        <f>2050</f>
        <v>2050</v>
      </c>
      <c r="F39" s="231">
        <f t="shared" ref="F39:F44" si="10">D39+E39</f>
        <v>72567.37</v>
      </c>
      <c r="G39" s="222"/>
      <c r="H39" s="222"/>
      <c r="J39" s="71" t="s">
        <v>1840</v>
      </c>
      <c r="K39" s="315">
        <f>57261.11+13256.26</f>
        <v>70517.37</v>
      </c>
      <c r="L39" s="315"/>
      <c r="M39" s="315"/>
      <c r="N39" s="315"/>
      <c r="O39" s="315"/>
      <c r="P39" s="315"/>
      <c r="Q39" s="315"/>
    </row>
    <row r="40" spans="1:17" x14ac:dyDescent="0.2">
      <c r="A40" t="str" cm="1">
        <f t="array" ref="A40">IFERROR(INDEX('School Tables'!$W$4:$AC$120,'School Tables'!$AF4,3),"")</f>
        <v>Colebrook Academy and Elementary School (H)</v>
      </c>
      <c r="B40" s="229">
        <f>IFERROR(VLOOKUP(A40,'School Tables'!$Y$4:$Z$120,2,FALSE),"")</f>
        <v>20185</v>
      </c>
      <c r="C40" s="222" t="str">
        <f>IFERROR(INDEX('School Tables'!$X$4:$X$120,MATCH('School Level Expenditures'!A40,'School Tables'!$Y$4:$Y$120,0)),"")</f>
        <v>Colebrook</v>
      </c>
      <c r="D40" s="219">
        <v>2746968.5</v>
      </c>
      <c r="E40" s="219">
        <f>70978.99-E39+90774.72</f>
        <v>159703.71000000002</v>
      </c>
      <c r="F40" s="231">
        <f t="shared" si="10"/>
        <v>2906672.21</v>
      </c>
      <c r="G40" s="222"/>
      <c r="H40" s="222"/>
      <c r="J40" t="str">
        <f>A40</f>
        <v>Colebrook Academy and Elementary School (H)</v>
      </c>
      <c r="K40" s="20">
        <v>1424123.51</v>
      </c>
      <c r="L40" s="20">
        <v>197096.62</v>
      </c>
      <c r="M40" s="307">
        <v>140011.5</v>
      </c>
      <c r="N40" s="20">
        <v>208917.43</v>
      </c>
      <c r="O40" s="20">
        <f>687615.48</f>
        <v>687615.48</v>
      </c>
      <c r="P40" s="20">
        <f>271130.08</f>
        <v>271130.08</v>
      </c>
      <c r="Q40" s="20">
        <f>2947.21+2753.86+79.21+1065.91</f>
        <v>6846.19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2817485.87</v>
      </c>
      <c r="E45" s="262">
        <f>SUM(E39:E44)</f>
        <v>161753.71000000002</v>
      </c>
      <c r="K45" s="262">
        <f t="shared" ref="K45:Q45" si="11">SUM(K39:K44)</f>
        <v>1494640.88</v>
      </c>
      <c r="L45" s="262">
        <f t="shared" si="11"/>
        <v>197096.62</v>
      </c>
      <c r="M45" s="262">
        <f t="shared" si="11"/>
        <v>140011.5</v>
      </c>
      <c r="N45" s="262">
        <f t="shared" si="11"/>
        <v>208917.43</v>
      </c>
      <c r="O45" s="262">
        <f t="shared" si="11"/>
        <v>687615.48</v>
      </c>
      <c r="P45" s="262">
        <f t="shared" si="11"/>
        <v>271130.08</v>
      </c>
      <c r="Q45" s="262">
        <f t="shared" si="11"/>
        <v>6846.19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38" fitToHeight="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Colebrook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586225.02</v>
      </c>
      <c r="D8" s="73">
        <f>'DOE25'!G9</f>
        <v>398564.74</v>
      </c>
      <c r="E8" s="73">
        <f>'DOE25'!H9</f>
        <v>0</v>
      </c>
      <c r="F8" s="73">
        <f>'DOE25'!I9</f>
        <v>0</v>
      </c>
      <c r="G8" s="73">
        <f>'DOE25'!J9</f>
        <v>1275464.5900000001</v>
      </c>
      <c r="H8" s="13">
        <f>SUM(C8:G8)</f>
        <v>2260254.35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435554.59</v>
      </c>
      <c r="D11" s="73">
        <f>'DOE25'!G12</f>
        <v>0</v>
      </c>
      <c r="E11" s="73">
        <f>'DOE25'!H12</f>
        <v>9925.59</v>
      </c>
      <c r="F11" s="73">
        <f>'DOE25'!I12</f>
        <v>0</v>
      </c>
      <c r="G11" s="73">
        <f>'DOE25'!J12</f>
        <v>0</v>
      </c>
      <c r="H11" s="13">
        <f t="shared" si="0"/>
        <v>445480.18000000005</v>
      </c>
      <c r="I11" s="90"/>
    </row>
    <row r="12" spans="1:9" x14ac:dyDescent="0.2">
      <c r="A12" s="1" t="s">
        <v>143</v>
      </c>
      <c r="B12" s="6">
        <v>140</v>
      </c>
      <c r="C12" s="73">
        <f>'DOE25'!F13</f>
        <v>454835.09</v>
      </c>
      <c r="D12" s="73">
        <f>'DOE25'!G13</f>
        <v>19433.88</v>
      </c>
      <c r="E12" s="73">
        <f>'DOE25'!H13</f>
        <v>109693.18</v>
      </c>
      <c r="F12" s="73">
        <f>'DOE25'!I13</f>
        <v>0</v>
      </c>
      <c r="G12" s="73">
        <f>'DOE25'!J13</f>
        <v>0</v>
      </c>
      <c r="H12" s="13">
        <f t="shared" si="0"/>
        <v>583962.15</v>
      </c>
      <c r="I12" s="90"/>
    </row>
    <row r="13" spans="1:9" x14ac:dyDescent="0.2">
      <c r="A13" s="1" t="s">
        <v>144</v>
      </c>
      <c r="B13" s="6">
        <v>150</v>
      </c>
      <c r="C13" s="73">
        <f>'DOE25'!F14</f>
        <v>0</v>
      </c>
      <c r="D13" s="73">
        <f>'DOE25'!G14</f>
        <v>2.85</v>
      </c>
      <c r="E13" s="73">
        <f>'DOE25'!H14</f>
        <v>0</v>
      </c>
      <c r="F13" s="73">
        <f>'DOE25'!I14</f>
        <v>0</v>
      </c>
      <c r="G13" s="73">
        <f>'DOE25'!J14</f>
        <v>0</v>
      </c>
      <c r="H13" s="13">
        <f t="shared" si="0"/>
        <v>2.85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4000.56</v>
      </c>
      <c r="E15" s="73">
        <f>'DOE25'!H16</f>
        <v>0</v>
      </c>
      <c r="F15" s="73">
        <f>'DOE25'!I16</f>
        <v>0</v>
      </c>
      <c r="G15" s="23" t="s">
        <v>288</v>
      </c>
      <c r="H15" s="13">
        <f t="shared" si="0"/>
        <v>4000.56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1476614.7000000002</v>
      </c>
      <c r="D18" s="38">
        <f>SUM(D8:D17)</f>
        <v>422002.02999999997</v>
      </c>
      <c r="E18" s="38">
        <f>SUM(E8:E17)</f>
        <v>119618.76999999999</v>
      </c>
      <c r="F18" s="38">
        <f>SUM(F8:F17)</f>
        <v>0</v>
      </c>
      <c r="G18" s="38">
        <f>SUM(G8:G17)</f>
        <v>1275464.5900000001</v>
      </c>
      <c r="H18" s="38">
        <f t="shared" si="0"/>
        <v>3293700.0900000003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360816.48</v>
      </c>
      <c r="E21" s="73">
        <f>'DOE25'!H22</f>
        <v>84227.23000000001</v>
      </c>
      <c r="F21" s="73">
        <f>'DOE25'!I22</f>
        <v>0</v>
      </c>
      <c r="G21" s="73">
        <f>'DOE25'!J22</f>
        <v>0</v>
      </c>
      <c r="H21" s="13">
        <f t="shared" ref="H21:H31" si="1">SUM(C21:G21)</f>
        <v>445043.70999999996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156085.82</v>
      </c>
      <c r="D23" s="73">
        <f>'DOE25'!G24</f>
        <v>11422.78</v>
      </c>
      <c r="E23" s="73">
        <f>'DOE25'!H24</f>
        <v>7380</v>
      </c>
      <c r="F23" s="73">
        <f>'DOE25'!I24</f>
        <v>0</v>
      </c>
      <c r="G23" s="73">
        <f>'DOE25'!J24</f>
        <v>0</v>
      </c>
      <c r="H23" s="13">
        <f t="shared" si="1"/>
        <v>174888.6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190760.12</v>
      </c>
      <c r="D27" s="73">
        <f>'DOE25'!G28</f>
        <v>0</v>
      </c>
      <c r="E27" s="73">
        <f>'DOE25'!H28</f>
        <v>8563.1200000000008</v>
      </c>
      <c r="F27" s="73">
        <f>'DOE25'!I28</f>
        <v>0</v>
      </c>
      <c r="G27" s="23" t="s">
        <v>288</v>
      </c>
      <c r="H27" s="13">
        <f t="shared" si="1"/>
        <v>199323.24</v>
      </c>
      <c r="I27" s="90"/>
    </row>
    <row r="28" spans="1:9" x14ac:dyDescent="0.2">
      <c r="A28" s="1" t="s">
        <v>157</v>
      </c>
      <c r="B28" s="6">
        <v>470</v>
      </c>
      <c r="C28" s="73">
        <f>'DOE25'!F29</f>
        <v>541.66</v>
      </c>
      <c r="D28" s="73">
        <f>'DOE25'!G29</f>
        <v>0</v>
      </c>
      <c r="E28" s="73">
        <f>'DOE25'!H29</f>
        <v>0</v>
      </c>
      <c r="F28" s="73">
        <f>'DOE25'!I29</f>
        <v>0</v>
      </c>
      <c r="G28" s="23" t="s">
        <v>288</v>
      </c>
      <c r="H28" s="13">
        <f t="shared" si="1"/>
        <v>541.66</v>
      </c>
      <c r="I28" s="90"/>
    </row>
    <row r="29" spans="1:9" x14ac:dyDescent="0.2">
      <c r="A29" s="1" t="s">
        <v>158</v>
      </c>
      <c r="B29" s="6">
        <v>480</v>
      </c>
      <c r="C29" s="73">
        <f>'DOE25'!F30</f>
        <v>0</v>
      </c>
      <c r="D29" s="73">
        <f>'DOE25'!G30</f>
        <v>11138.71</v>
      </c>
      <c r="E29" s="73">
        <f>'DOE25'!H30</f>
        <v>19448.420000000002</v>
      </c>
      <c r="F29" s="73">
        <f>'DOE25'!I30</f>
        <v>0</v>
      </c>
      <c r="G29" s="23" t="s">
        <v>288</v>
      </c>
      <c r="H29" s="13">
        <f t="shared" si="1"/>
        <v>30587.13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347387.6</v>
      </c>
      <c r="D31" s="38">
        <f>SUM(D21:D30)</f>
        <v>383377.97000000003</v>
      </c>
      <c r="E31" s="38">
        <f>SUM(E21:E30)</f>
        <v>119618.77</v>
      </c>
      <c r="F31" s="38">
        <f>SUM(F21:F30)</f>
        <v>0</v>
      </c>
      <c r="G31" s="38">
        <f>SUM(G21:G30)</f>
        <v>0</v>
      </c>
      <c r="H31" s="38">
        <f t="shared" si="1"/>
        <v>850384.34000000008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4000.56</v>
      </c>
      <c r="E34" s="73">
        <f>'DOE25'!H35</f>
        <v>0</v>
      </c>
      <c r="F34" s="73">
        <f>'DOE25'!I35</f>
        <v>0</v>
      </c>
      <c r="G34" s="23" t="s">
        <v>288</v>
      </c>
      <c r="H34" s="13">
        <f t="shared" ref="H34:H51" si="2">SUM(C34:G34)</f>
        <v>4000.56</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141073.54999999999</v>
      </c>
      <c r="D45" s="23" t="s">
        <v>288</v>
      </c>
      <c r="E45" s="23" t="s">
        <v>288</v>
      </c>
      <c r="F45" s="23" t="s">
        <v>288</v>
      </c>
      <c r="G45" s="23" t="s">
        <v>288</v>
      </c>
      <c r="H45" s="13">
        <f t="shared" si="2"/>
        <v>141073.54999999999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t="str">
        <f>'DOE25'!F48</f>
        <v xml:space="preserve"> </v>
      </c>
      <c r="D47" s="73">
        <f>'DOE25'!G48</f>
        <v>34623.5</v>
      </c>
      <c r="E47" s="73" t="str">
        <f>'DOE25'!H48</f>
        <v xml:space="preserve"> </v>
      </c>
      <c r="F47" s="73">
        <f>'DOE25'!I48</f>
        <v>0</v>
      </c>
      <c r="G47" s="73">
        <f>'DOE25'!J48</f>
        <v>1275464.5900000001</v>
      </c>
      <c r="H47" s="13">
        <f t="shared" si="2"/>
        <v>1310088.0900000001</v>
      </c>
      <c r="I47" s="90"/>
    </row>
    <row r="48" spans="1:9" x14ac:dyDescent="0.2">
      <c r="A48" s="1" t="s">
        <v>878</v>
      </c>
      <c r="B48" s="6">
        <v>753</v>
      </c>
      <c r="C48" s="73">
        <f>'DOE25'!F49</f>
        <v>65684.31</v>
      </c>
      <c r="D48" s="73">
        <f>'DOE25'!G49</f>
        <v>0</v>
      </c>
      <c r="E48" s="73">
        <f>'DOE25'!H49</f>
        <v>0</v>
      </c>
      <c r="F48" s="73">
        <f>'DOE25'!I49</f>
        <v>0</v>
      </c>
      <c r="G48" s="73">
        <f>'DOE25'!J49</f>
        <v>0</v>
      </c>
      <c r="H48" s="13">
        <f t="shared" si="2"/>
        <v>65684.31</v>
      </c>
      <c r="I48" s="90"/>
    </row>
    <row r="49" spans="1:9" ht="12" thickBot="1" x14ac:dyDescent="0.25">
      <c r="A49" s="28" t="s">
        <v>879</v>
      </c>
      <c r="B49" s="56">
        <v>770</v>
      </c>
      <c r="C49" s="73">
        <f>'DOE25'!F50</f>
        <v>922469.24</v>
      </c>
      <c r="D49" s="23" t="s">
        <v>288</v>
      </c>
      <c r="E49" s="23" t="s">
        <v>288</v>
      </c>
      <c r="F49" s="23" t="s">
        <v>288</v>
      </c>
      <c r="G49" s="23" t="s">
        <v>288</v>
      </c>
      <c r="H49" s="13">
        <f t="shared" si="2"/>
        <v>922469.24</v>
      </c>
      <c r="I49" s="90"/>
    </row>
    <row r="50" spans="1:9" ht="12.75" thickTop="1" thickBot="1" x14ac:dyDescent="0.25">
      <c r="A50" s="35" t="s">
        <v>880</v>
      </c>
      <c r="B50" s="44"/>
      <c r="C50" s="38">
        <f>SUM(C34:C49)</f>
        <v>1129227.1000000001</v>
      </c>
      <c r="D50" s="38">
        <f>SUM(D34:D49)</f>
        <v>38624.06</v>
      </c>
      <c r="E50" s="38">
        <f>SUM(E34:E49)</f>
        <v>0</v>
      </c>
      <c r="F50" s="38">
        <f>SUM(F34:F49)</f>
        <v>0</v>
      </c>
      <c r="G50" s="38">
        <f>SUM(G34:G49)</f>
        <v>1275464.5900000001</v>
      </c>
      <c r="H50" s="38">
        <f t="shared" si="2"/>
        <v>2443315.75</v>
      </c>
      <c r="I50" s="90"/>
    </row>
    <row r="51" spans="1:9" ht="12" thickTop="1" x14ac:dyDescent="0.2">
      <c r="A51" s="35" t="s">
        <v>881</v>
      </c>
      <c r="B51" s="2"/>
      <c r="C51" s="38">
        <f>C50+C31</f>
        <v>1476614.7000000002</v>
      </c>
      <c r="D51" s="38">
        <f>D50+D31</f>
        <v>422002.03</v>
      </c>
      <c r="E51" s="38">
        <f>E50+E31</f>
        <v>119618.77</v>
      </c>
      <c r="F51" s="38">
        <f>F50+F31</f>
        <v>0</v>
      </c>
      <c r="G51" s="38">
        <f>G50+G31</f>
        <v>1275464.5900000001</v>
      </c>
      <c r="H51" s="38">
        <f t="shared" si="2"/>
        <v>3293700.0900000003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2530734</v>
      </c>
      <c r="D56" s="73">
        <f>'DOE25'!G60</f>
        <v>0</v>
      </c>
      <c r="E56" s="73">
        <f>'DOE25'!H60</f>
        <v>0</v>
      </c>
      <c r="F56" s="73">
        <f>'DOE25'!I60</f>
        <v>0</v>
      </c>
      <c r="G56" s="73">
        <f>'DOE25'!J60</f>
        <v>0</v>
      </c>
      <c r="H56" s="13">
        <f t="shared" ref="H56:H63" si="3">SUM(C56:G56)</f>
        <v>2530734</v>
      </c>
      <c r="I56"/>
    </row>
    <row r="57" spans="1:9" x14ac:dyDescent="0.2">
      <c r="A57" s="1" t="s">
        <v>164</v>
      </c>
      <c r="B57" s="6" t="s">
        <v>165</v>
      </c>
      <c r="C57" s="73">
        <f>'DOE25'!F79</f>
        <v>1636511.1199999999</v>
      </c>
      <c r="D57" s="23" t="s">
        <v>288</v>
      </c>
      <c r="E57" s="73">
        <f>'DOE25'!H79</f>
        <v>0</v>
      </c>
      <c r="F57" s="23" t="s">
        <v>288</v>
      </c>
      <c r="G57" s="23" t="s">
        <v>288</v>
      </c>
      <c r="H57" s="13">
        <f t="shared" si="3"/>
        <v>1636511.1199999999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104.98</v>
      </c>
      <c r="D59" s="73">
        <f>'DOE25'!G96</f>
        <v>0</v>
      </c>
      <c r="E59" s="73">
        <f>'DOE25'!H96</f>
        <v>0</v>
      </c>
      <c r="F59" s="73">
        <f>'DOE25'!I96</f>
        <v>0</v>
      </c>
      <c r="G59" s="73">
        <f>'DOE25'!J96</f>
        <v>26499.18</v>
      </c>
      <c r="H59" s="13">
        <f t="shared" si="3"/>
        <v>26604.16</v>
      </c>
      <c r="I59"/>
    </row>
    <row r="60" spans="1:9" x14ac:dyDescent="0.2">
      <c r="A60" s="1" t="s">
        <v>170</v>
      </c>
      <c r="B60" s="22" t="s">
        <v>171</v>
      </c>
      <c r="C60" s="23" t="s">
        <v>288</v>
      </c>
      <c r="D60" s="73">
        <f>'DOE25'!G97</f>
        <v>56181.74</v>
      </c>
      <c r="E60" s="23" t="s">
        <v>288</v>
      </c>
      <c r="F60" s="23" t="s">
        <v>288</v>
      </c>
      <c r="G60" s="23" t="s">
        <v>288</v>
      </c>
      <c r="H60" s="13">
        <f t="shared" si="3"/>
        <v>56181.74</v>
      </c>
      <c r="I60"/>
    </row>
    <row r="61" spans="1:9" ht="12" thickBot="1" x14ac:dyDescent="0.25">
      <c r="A61" s="1" t="s">
        <v>172</v>
      </c>
      <c r="B61" s="22" t="s">
        <v>173</v>
      </c>
      <c r="C61" s="73">
        <f>SUM('DOE25'!F98:F110)</f>
        <v>118530.85</v>
      </c>
      <c r="D61" s="73">
        <f>SUM('DOE25'!G98:G110)</f>
        <v>0</v>
      </c>
      <c r="E61" s="73">
        <f>SUM('DOE25'!H98:H110)</f>
        <v>9622.27</v>
      </c>
      <c r="F61" s="73">
        <f>SUM('DOE25'!I98:I110)</f>
        <v>0</v>
      </c>
      <c r="G61" s="73">
        <f>SUM('DOE25'!J98:J110)</f>
        <v>7448.1</v>
      </c>
      <c r="H61" s="13">
        <f t="shared" si="3"/>
        <v>135601.22</v>
      </c>
      <c r="I61"/>
    </row>
    <row r="62" spans="1:9" ht="12.75" thickTop="1" thickBot="1" x14ac:dyDescent="0.25">
      <c r="A62" s="28" t="s">
        <v>174</v>
      </c>
      <c r="B62" s="6"/>
      <c r="C62" s="93">
        <f>SUM(C57:C61)</f>
        <v>1755146.95</v>
      </c>
      <c r="D62" s="93">
        <f>SUM(D57:D61)</f>
        <v>56181.74</v>
      </c>
      <c r="E62" s="93">
        <f>SUM(E57:E61)</f>
        <v>9622.27</v>
      </c>
      <c r="F62" s="93">
        <f>SUM(F57:F61)</f>
        <v>0</v>
      </c>
      <c r="G62" s="93">
        <f>SUM(G57:G61)</f>
        <v>33947.279999999999</v>
      </c>
      <c r="H62" s="13">
        <f t="shared" si="3"/>
        <v>1854898.24</v>
      </c>
      <c r="I62"/>
    </row>
    <row r="63" spans="1:9" ht="12" thickTop="1" x14ac:dyDescent="0.2">
      <c r="A63" s="28" t="s">
        <v>175</v>
      </c>
      <c r="B63" s="6"/>
      <c r="C63" s="21">
        <f>C56+C62</f>
        <v>4285880.95</v>
      </c>
      <c r="D63" s="21">
        <f>D56+D62</f>
        <v>56181.74</v>
      </c>
      <c r="E63" s="21">
        <f>E56+E62</f>
        <v>9622.27</v>
      </c>
      <c r="F63" s="21">
        <f>F56+F62</f>
        <v>0</v>
      </c>
      <c r="G63" s="21">
        <f>G56+G62</f>
        <v>33947.279999999999</v>
      </c>
      <c r="H63" s="13">
        <f t="shared" si="3"/>
        <v>4385632.24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2066171.42</v>
      </c>
      <c r="D66" s="23" t="s">
        <v>288</v>
      </c>
      <c r="E66" s="23" t="s">
        <v>288</v>
      </c>
      <c r="F66" s="23" t="s">
        <v>288</v>
      </c>
      <c r="G66" s="23" t="s">
        <v>288</v>
      </c>
      <c r="H66" s="13">
        <f t="shared" ref="H66:H81" si="4">SUM(C66:G66)</f>
        <v>2066171.42</v>
      </c>
      <c r="I66"/>
    </row>
    <row r="67" spans="1:9" x14ac:dyDescent="0.2">
      <c r="A67" s="1" t="s">
        <v>767</v>
      </c>
      <c r="B67" s="6">
        <v>3112</v>
      </c>
      <c r="C67" s="73">
        <f>'DOE25'!F118</f>
        <v>290737</v>
      </c>
      <c r="D67" s="23"/>
      <c r="E67" s="23"/>
      <c r="F67" s="23"/>
      <c r="G67" s="23"/>
      <c r="H67" s="13">
        <f t="shared" si="4"/>
        <v>290737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798.04</v>
      </c>
      <c r="D69" s="73">
        <f>'DOE25'!G120</f>
        <v>0</v>
      </c>
      <c r="E69" s="73">
        <f>'DOE25'!H120</f>
        <v>0</v>
      </c>
      <c r="F69" s="73">
        <f>'DOE25'!I120</f>
        <v>0</v>
      </c>
      <c r="G69" s="73">
        <f>'DOE25'!J120</f>
        <v>0</v>
      </c>
      <c r="H69" s="13">
        <f t="shared" si="4"/>
        <v>798.04</v>
      </c>
      <c r="I69"/>
    </row>
    <row r="70" spans="1:9" ht="12" thickTop="1" x14ac:dyDescent="0.2">
      <c r="A70" s="28" t="s">
        <v>252</v>
      </c>
      <c r="B70" s="2"/>
      <c r="C70" s="97">
        <f>SUM(C66:C69)</f>
        <v>2357706.46</v>
      </c>
      <c r="D70" s="97">
        <f>D69</f>
        <v>0</v>
      </c>
      <c r="E70" s="97">
        <f>E69</f>
        <v>0</v>
      </c>
      <c r="F70" s="97">
        <f>F69</f>
        <v>0</v>
      </c>
      <c r="G70" s="97">
        <f>G69</f>
        <v>0</v>
      </c>
      <c r="H70" s="13">
        <f t="shared" si="4"/>
        <v>2357706.46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28487.72</v>
      </c>
      <c r="D76" s="23" t="s">
        <v>288</v>
      </c>
      <c r="E76" s="73">
        <f>SUM('DOE25'!H127:H130)</f>
        <v>0</v>
      </c>
      <c r="F76" s="73">
        <f>SUM('DOE25'!I127:I130)</f>
        <v>0</v>
      </c>
      <c r="G76" s="23" t="s">
        <v>288</v>
      </c>
      <c r="H76" s="13">
        <f t="shared" si="4"/>
        <v>28487.72</v>
      </c>
      <c r="I76"/>
    </row>
    <row r="77" spans="1:9" ht="12" thickBot="1" x14ac:dyDescent="0.25">
      <c r="A77" s="1" t="s">
        <v>258</v>
      </c>
      <c r="B77" s="6" t="s">
        <v>180</v>
      </c>
      <c r="C77" s="73">
        <f>SUM('DOE25'!F131:F135)</f>
        <v>0</v>
      </c>
      <c r="D77" s="73">
        <f>SUM('DOE25'!G131:G135)</f>
        <v>676.83</v>
      </c>
      <c r="E77" s="73">
        <f>SUM('DOE25'!H131:H135)</f>
        <v>0</v>
      </c>
      <c r="F77" s="73">
        <f>SUM('DOE25'!I131:I135)</f>
        <v>0</v>
      </c>
      <c r="G77" s="73">
        <f>SUM('DOE25'!J131:J135)</f>
        <v>0</v>
      </c>
      <c r="H77" s="13">
        <f t="shared" si="4"/>
        <v>676.83</v>
      </c>
      <c r="I77"/>
    </row>
    <row r="78" spans="1:9" ht="12.75" thickTop="1" thickBot="1" x14ac:dyDescent="0.25">
      <c r="A78" s="28" t="s">
        <v>259</v>
      </c>
      <c r="B78" s="6"/>
      <c r="C78" s="93">
        <f>SUM(C72:C77)</f>
        <v>28487.72</v>
      </c>
      <c r="D78" s="93">
        <f>SUM(D72:D77)</f>
        <v>676.83</v>
      </c>
      <c r="E78" s="93">
        <f>SUM(E72:E77)</f>
        <v>0</v>
      </c>
      <c r="F78" s="93">
        <f>SUM(F72:F77)</f>
        <v>0</v>
      </c>
      <c r="G78" s="93">
        <f>SUM(G72:G77)</f>
        <v>0</v>
      </c>
      <c r="H78" s="13">
        <f t="shared" si="4"/>
        <v>29164.550000000003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2386194.1800000002</v>
      </c>
      <c r="D81" s="93">
        <f>SUM(D79:D80)+D78+D70</f>
        <v>676.83</v>
      </c>
      <c r="E81" s="93">
        <f>SUM(E79:E80)+E78+E70</f>
        <v>0</v>
      </c>
      <c r="F81" s="93">
        <f>SUM(F79:F80)+F78+F70</f>
        <v>0</v>
      </c>
      <c r="G81" s="93">
        <f>SUM(G79:G80)+G78+G70</f>
        <v>0</v>
      </c>
      <c r="H81" s="93">
        <f t="shared" si="4"/>
        <v>2386871.0100000002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4073</v>
      </c>
      <c r="F85" s="73">
        <f>'DOE25'!I147</f>
        <v>0</v>
      </c>
      <c r="G85" s="23" t="s">
        <v>288</v>
      </c>
      <c r="H85" s="13">
        <f t="shared" ref="H85:H104" si="5">SUM(C85:G85)</f>
        <v>4073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107815.69</v>
      </c>
      <c r="E88" s="252">
        <f>SUM('DOE25'!H153:H162)</f>
        <v>592916.31000000006</v>
      </c>
      <c r="F88" s="252">
        <f>SUM('DOE25'!I153:I162)</f>
        <v>0</v>
      </c>
      <c r="G88" s="23" t="s">
        <v>288</v>
      </c>
      <c r="H88" s="13">
        <f t="shared" si="5"/>
        <v>700732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15938.71</v>
      </c>
      <c r="D90" s="23" t="s">
        <v>288</v>
      </c>
      <c r="E90" s="23" t="s">
        <v>288</v>
      </c>
      <c r="F90" s="23" t="s">
        <v>288</v>
      </c>
      <c r="G90" s="23" t="s">
        <v>288</v>
      </c>
      <c r="H90" s="13">
        <f t="shared" si="5"/>
        <v>15938.71</v>
      </c>
    </row>
    <row r="91" spans="1:9" ht="12.75" thickTop="1" thickBot="1" x14ac:dyDescent="0.25">
      <c r="A91" s="32" t="s">
        <v>747</v>
      </c>
      <c r="C91" s="94">
        <f>SUM(C85:C90)</f>
        <v>15938.71</v>
      </c>
      <c r="D91" s="94">
        <f>SUM(D85:D90)</f>
        <v>107815.69</v>
      </c>
      <c r="E91" s="94">
        <f>SUM(E85:E90)</f>
        <v>596989.31000000006</v>
      </c>
      <c r="F91" s="94">
        <f>SUM(F85:F90)</f>
        <v>0</v>
      </c>
      <c r="G91" s="23" t="s">
        <v>288</v>
      </c>
      <c r="H91" s="13">
        <f t="shared" si="5"/>
        <v>720743.71000000008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177066.59</v>
      </c>
      <c r="D99" s="73">
        <f>'DOE25'!G186</f>
        <v>0</v>
      </c>
      <c r="E99" s="73">
        <f>'DOE25'!H186</f>
        <v>0</v>
      </c>
      <c r="F99" s="73">
        <f>'DOE25'!I186</f>
        <v>0</v>
      </c>
      <c r="G99" s="23" t="s">
        <v>288</v>
      </c>
      <c r="H99" s="13">
        <f t="shared" si="5"/>
        <v>177066.59</v>
      </c>
    </row>
    <row r="100" spans="1:8" x14ac:dyDescent="0.2">
      <c r="A100" t="s">
        <v>754</v>
      </c>
      <c r="B100" s="31" t="s">
        <v>190</v>
      </c>
      <c r="C100" s="73">
        <f>SUM('DOE25'!F187:F188)</f>
        <v>32000.5</v>
      </c>
      <c r="D100" s="73">
        <f>SUM('DOE25'!G187:G188)</f>
        <v>0</v>
      </c>
      <c r="E100" s="73">
        <f>SUM('DOE25'!H187:H188)</f>
        <v>0</v>
      </c>
      <c r="F100" s="73">
        <f>SUM('DOE25'!I187:I188)</f>
        <v>0</v>
      </c>
      <c r="G100" s="23" t="s">
        <v>288</v>
      </c>
      <c r="H100" s="13">
        <f t="shared" si="5"/>
        <v>32000.5</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209067.09</v>
      </c>
      <c r="D103" s="68">
        <f>SUM(D93:D102)</f>
        <v>0</v>
      </c>
      <c r="E103" s="68">
        <f>SUM(E93:E102)</f>
        <v>0</v>
      </c>
      <c r="F103" s="68">
        <f>SUM(F93:F102)</f>
        <v>0</v>
      </c>
      <c r="G103" s="68">
        <f>SUM(G93:G102)</f>
        <v>0</v>
      </c>
      <c r="H103" s="68">
        <f t="shared" si="5"/>
        <v>209067.09</v>
      </c>
    </row>
    <row r="104" spans="1:8" ht="12.75" thickTop="1" thickBot="1" x14ac:dyDescent="0.25">
      <c r="A104" s="32" t="s">
        <v>758</v>
      </c>
      <c r="C104" s="68">
        <f>C63+C81+C91+C103</f>
        <v>6897080.9300000006</v>
      </c>
      <c r="D104" s="68">
        <f>D63+D81+D91+D103</f>
        <v>164674.26</v>
      </c>
      <c r="E104" s="68">
        <f>E63+E81+E91+E103</f>
        <v>606611.58000000007</v>
      </c>
      <c r="F104" s="68">
        <f>F63+F81+F91+F103</f>
        <v>0</v>
      </c>
      <c r="G104" s="68">
        <f>G63+G81+G103</f>
        <v>33947.279999999999</v>
      </c>
      <c r="H104" s="68">
        <f t="shared" si="5"/>
        <v>7702314.0500000007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2193996.41</v>
      </c>
      <c r="D109" s="23" t="s">
        <v>288</v>
      </c>
      <c r="E109" s="73">
        <f>('DOE25'!L277)+('DOE25'!L296)+('DOE25'!L315)</f>
        <v>255894.52000000002</v>
      </c>
      <c r="F109" s="23" t="s">
        <v>288</v>
      </c>
      <c r="G109" s="23" t="s">
        <v>288</v>
      </c>
      <c r="H109" s="13">
        <f t="shared" ref="H109:H115" si="6">SUM(C109:G109)</f>
        <v>2449890.9300000002</v>
      </c>
    </row>
    <row r="110" spans="1:8" x14ac:dyDescent="0.2">
      <c r="A110" t="s">
        <v>198</v>
      </c>
      <c r="B110" s="31" t="s">
        <v>199</v>
      </c>
      <c r="C110" s="73">
        <f>('DOE25'!L199)+('DOE25'!L217)+('DOE25'!L235)</f>
        <v>746467.37000000011</v>
      </c>
      <c r="D110" s="23" t="s">
        <v>288</v>
      </c>
      <c r="E110" s="73">
        <f>('DOE25'!L278)+('DOE25'!L297)+('DOE25'!L316)</f>
        <v>70728.06</v>
      </c>
      <c r="F110" s="23" t="s">
        <v>288</v>
      </c>
      <c r="G110" s="23" t="s">
        <v>288</v>
      </c>
      <c r="H110" s="13">
        <f t="shared" si="6"/>
        <v>817195.43000000017</v>
      </c>
    </row>
    <row r="111" spans="1:8" x14ac:dyDescent="0.2">
      <c r="A111" t="s">
        <v>200</v>
      </c>
      <c r="B111" s="31" t="s">
        <v>165</v>
      </c>
      <c r="C111" s="73">
        <f>('DOE25'!L200)+('DOE25'!L218)+('DOE25'!L236)</f>
        <v>221447.12</v>
      </c>
      <c r="D111" s="23" t="s">
        <v>288</v>
      </c>
      <c r="E111" s="73">
        <f>('DOE25'!L279)+('DOE25'!L298)+('DOE25'!L317)</f>
        <v>20812.260000000002</v>
      </c>
      <c r="F111" s="23" t="s">
        <v>288</v>
      </c>
      <c r="G111" s="23" t="s">
        <v>288</v>
      </c>
      <c r="H111" s="13">
        <f t="shared" si="6"/>
        <v>242259.38</v>
      </c>
    </row>
    <row r="112" spans="1:8" x14ac:dyDescent="0.2">
      <c r="A112" t="s">
        <v>201</v>
      </c>
      <c r="B112" s="31" t="s">
        <v>167</v>
      </c>
      <c r="C112" s="73">
        <f>('DOE25'!L201)+('DOE25'!L219)+('DOE25'!L237)</f>
        <v>214127.59</v>
      </c>
      <c r="D112" s="23" t="s">
        <v>288</v>
      </c>
      <c r="E112" s="73">
        <f>+('DOE25'!L280)+('DOE25'!L299)+('DOE25'!L318)</f>
        <v>6455.15</v>
      </c>
      <c r="F112" s="23" t="s">
        <v>288</v>
      </c>
      <c r="G112" s="23" t="s">
        <v>288</v>
      </c>
      <c r="H112" s="13">
        <f t="shared" si="6"/>
        <v>220582.74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3376038.49</v>
      </c>
      <c r="D115" s="68">
        <f>SUM(D109:D114)</f>
        <v>0</v>
      </c>
      <c r="E115" s="68">
        <f>SUM(E109:E114)</f>
        <v>353889.99000000005</v>
      </c>
      <c r="F115" s="68">
        <f>SUM(F109:F114)</f>
        <v>0</v>
      </c>
      <c r="G115" s="68">
        <f>SUM(G109:G114)</f>
        <v>0</v>
      </c>
      <c r="H115" s="68">
        <f t="shared" si="6"/>
        <v>3729928.4800000004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623014.32999999996</v>
      </c>
      <c r="D118" s="23" t="s">
        <v>288</v>
      </c>
      <c r="E118" s="73">
        <f>+('DOE25'!L282)+('DOE25'!L301)+('DOE25'!L320)</f>
        <v>64133.73000000001</v>
      </c>
      <c r="F118" s="23" t="s">
        <v>288</v>
      </c>
      <c r="G118" s="23" t="s">
        <v>288</v>
      </c>
      <c r="H118" s="13">
        <f t="shared" ref="H118:H145" si="7">SUM(C118:G118)</f>
        <v>687148.05999999994</v>
      </c>
    </row>
    <row r="119" spans="1:8" x14ac:dyDescent="0.2">
      <c r="A119" t="s">
        <v>208</v>
      </c>
      <c r="B119" s="31" t="s">
        <v>209</v>
      </c>
      <c r="C119" s="73">
        <f>('DOE25'!L204)+('DOE25'!L222)+('DOE25'!L240)</f>
        <v>235276.85</v>
      </c>
      <c r="D119" s="23" t="s">
        <v>288</v>
      </c>
      <c r="E119" s="73">
        <f>+('DOE25'!L283)+('DOE25'!L302)+('DOE25'!L321)</f>
        <v>59634.559999999998</v>
      </c>
      <c r="F119" s="23" t="s">
        <v>288</v>
      </c>
      <c r="G119" s="23" t="s">
        <v>288</v>
      </c>
      <c r="H119" s="13">
        <f t="shared" si="7"/>
        <v>294911.41000000003</v>
      </c>
    </row>
    <row r="120" spans="1:8" x14ac:dyDescent="0.2">
      <c r="A120" t="s">
        <v>210</v>
      </c>
      <c r="B120" s="31" t="s">
        <v>211</v>
      </c>
      <c r="C120" s="73">
        <f>('DOE25'!L205)+('DOE25'!L223)+('DOE25'!L241)</f>
        <v>738739.58000000007</v>
      </c>
      <c r="D120" s="23" t="s">
        <v>288</v>
      </c>
      <c r="E120" s="73">
        <f>+('DOE25'!L284)+('DOE25'!L303)+('DOE25'!L322)</f>
        <v>651.55999999999995</v>
      </c>
      <c r="F120" s="23" t="s">
        <v>288</v>
      </c>
      <c r="G120" s="23" t="s">
        <v>288</v>
      </c>
      <c r="H120" s="13">
        <f t="shared" si="7"/>
        <v>739391.14000000013</v>
      </c>
    </row>
    <row r="121" spans="1:8" x14ac:dyDescent="0.2">
      <c r="A121" t="s">
        <v>212</v>
      </c>
      <c r="B121" s="31" t="s">
        <v>213</v>
      </c>
      <c r="C121" s="73">
        <f>('DOE25'!L206)+('DOE25'!L224)+('DOE25'!L242)</f>
        <v>413039.37</v>
      </c>
      <c r="D121" s="23" t="s">
        <v>288</v>
      </c>
      <c r="E121" s="73">
        <f>+('DOE25'!L285)+('DOE25'!L304)+('DOE25'!L323)</f>
        <v>7239.9400000000005</v>
      </c>
      <c r="F121" s="23" t="s">
        <v>288</v>
      </c>
      <c r="G121" s="23" t="s">
        <v>288</v>
      </c>
      <c r="H121" s="13">
        <f t="shared" si="7"/>
        <v>420279.31</v>
      </c>
    </row>
    <row r="122" spans="1:8" x14ac:dyDescent="0.2">
      <c r="A122" t="s">
        <v>214</v>
      </c>
      <c r="B122" s="31" t="s">
        <v>215</v>
      </c>
      <c r="C122" s="73">
        <f>('DOE25'!L207)+('DOE25'!L225)+('DOE25'!L243)</f>
        <v>0</v>
      </c>
      <c r="D122" s="23" t="s">
        <v>288</v>
      </c>
      <c r="E122" s="73">
        <f>+('DOE25'!L286)+('DOE25'!L305)+('DOE25'!L324)</f>
        <v>5098.74</v>
      </c>
      <c r="F122" s="23" t="s">
        <v>288</v>
      </c>
      <c r="G122" s="23" t="s">
        <v>288</v>
      </c>
      <c r="H122" s="13">
        <f t="shared" si="7"/>
        <v>5098.74</v>
      </c>
    </row>
    <row r="123" spans="1:8" x14ac:dyDescent="0.2">
      <c r="A123" t="s">
        <v>216</v>
      </c>
      <c r="B123" s="31" t="s">
        <v>217</v>
      </c>
      <c r="C123" s="73">
        <f>('DOE25'!L208)+('DOE25'!L226)+('DOE25'!L244)</f>
        <v>930385.29999999993</v>
      </c>
      <c r="D123" s="23" t="s">
        <v>288</v>
      </c>
      <c r="E123" s="73">
        <f>+('DOE25'!L287)+('DOE25'!L306)+('DOE25'!L325)</f>
        <v>6999.5</v>
      </c>
      <c r="F123" s="23" t="s">
        <v>288</v>
      </c>
      <c r="G123" s="23" t="s">
        <v>288</v>
      </c>
      <c r="H123" s="13">
        <f t="shared" si="7"/>
        <v>937384.79999999993</v>
      </c>
    </row>
    <row r="124" spans="1:8" x14ac:dyDescent="0.2">
      <c r="A124" t="s">
        <v>218</v>
      </c>
      <c r="B124" s="31" t="s">
        <v>219</v>
      </c>
      <c r="C124" s="73">
        <f>('DOE25'!L209)+('DOE25'!L227)+('DOE25'!L245+'DOE25'!L255)</f>
        <v>264378.90000000002</v>
      </c>
      <c r="D124" s="23" t="s">
        <v>288</v>
      </c>
      <c r="E124" s="73">
        <f>+('DOE25'!L288)+('DOE25'!L307)+('DOE25'!L326)</f>
        <v>911.93000000000006</v>
      </c>
      <c r="F124" s="23" t="s">
        <v>288</v>
      </c>
      <c r="G124" s="23" t="s">
        <v>288</v>
      </c>
      <c r="H124" s="13">
        <f t="shared" si="7"/>
        <v>265290.83</v>
      </c>
    </row>
    <row r="125" spans="1:8" x14ac:dyDescent="0.2">
      <c r="A125" t="s">
        <v>220</v>
      </c>
      <c r="B125" s="31" t="s">
        <v>221</v>
      </c>
      <c r="C125" s="73">
        <f>('DOE25'!L210)+('DOE25'!L228)+('DOE25'!L246)</f>
        <v>112537.31999999999</v>
      </c>
      <c r="D125" s="23" t="s">
        <v>288</v>
      </c>
      <c r="E125" s="73">
        <f>+('DOE25'!L289)+('DOE25'!L308)+('DOE25'!L327)</f>
        <v>0</v>
      </c>
      <c r="F125" s="23" t="s">
        <v>288</v>
      </c>
      <c r="G125" s="23" t="s">
        <v>288</v>
      </c>
      <c r="H125" s="13">
        <f t="shared" si="7"/>
        <v>112537.31999999999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198807.79</v>
      </c>
      <c r="E127" s="23" t="s">
        <v>288</v>
      </c>
      <c r="F127" s="23" t="s">
        <v>288</v>
      </c>
      <c r="G127" s="23" t="s">
        <v>288</v>
      </c>
      <c r="H127" s="13">
        <f t="shared" si="7"/>
        <v>198807.79</v>
      </c>
    </row>
    <row r="128" spans="1:8" ht="12.75" thickTop="1" thickBot="1" x14ac:dyDescent="0.25">
      <c r="A128" s="32" t="s">
        <v>226</v>
      </c>
      <c r="C128" s="68">
        <f>SUM(C118:C127)</f>
        <v>3317371.6499999994</v>
      </c>
      <c r="D128" s="68">
        <f>SUM(D118:D127)</f>
        <v>198807.79</v>
      </c>
      <c r="E128" s="68">
        <f>SUM(E118:E127)</f>
        <v>144669.96</v>
      </c>
      <c r="F128" s="68">
        <f>SUM(F118:F127)</f>
        <v>0</v>
      </c>
      <c r="G128" s="68">
        <f>SUM(G118:G127)</f>
        <v>0</v>
      </c>
      <c r="H128" s="68">
        <f t="shared" si="7"/>
        <v>3660849.3999999994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108051.63</v>
      </c>
      <c r="F130" s="92">
        <f>SUM('DOE25'!L375:'DOE25'!L381)</f>
        <v>0</v>
      </c>
      <c r="G130" s="23" t="s">
        <v>288</v>
      </c>
      <c r="H130" s="13">
        <f t="shared" si="7"/>
        <v>108051.63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10266.32</v>
      </c>
      <c r="D138" s="23" t="s">
        <v>288</v>
      </c>
      <c r="E138" s="23" t="s">
        <v>288</v>
      </c>
      <c r="F138" s="23" t="s">
        <v>288</v>
      </c>
      <c r="G138" s="23" t="s">
        <v>288</v>
      </c>
      <c r="H138" s="13">
        <f t="shared" si="7"/>
        <v>10266.32</v>
      </c>
    </row>
    <row r="139" spans="1:8" x14ac:dyDescent="0.2">
      <c r="A139" t="s">
        <v>239</v>
      </c>
      <c r="B139" s="31">
        <v>5252</v>
      </c>
      <c r="C139" s="73">
        <f>'DOE25'!L402</f>
        <v>23680.959999999999</v>
      </c>
      <c r="D139" s="23" t="s">
        <v>288</v>
      </c>
      <c r="E139" s="23" t="s">
        <v>288</v>
      </c>
      <c r="F139" s="23" t="s">
        <v>288</v>
      </c>
      <c r="G139" s="23" t="s">
        <v>288</v>
      </c>
      <c r="H139" s="13">
        <f t="shared" si="7"/>
        <v>23680.959999999999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-33947.279999999999</v>
      </c>
      <c r="D141" s="23" t="s">
        <v>288</v>
      </c>
      <c r="E141" s="23" t="s">
        <v>288</v>
      </c>
      <c r="F141" s="23" t="s">
        <v>288</v>
      </c>
      <c r="G141" s="23" t="s">
        <v>288</v>
      </c>
      <c r="H141" s="13">
        <f t="shared" si="7"/>
        <v>-33947.279999999999</v>
      </c>
    </row>
    <row r="142" spans="1:8" x14ac:dyDescent="0.2">
      <c r="A142" t="s">
        <v>241</v>
      </c>
      <c r="B142" s="31">
        <v>5310</v>
      </c>
      <c r="C142" s="92">
        <f>'DOE25'!L269</f>
        <v>13256.26</v>
      </c>
      <c r="D142" s="23" t="s">
        <v>288</v>
      </c>
      <c r="E142" s="92">
        <f>'DOE25'!L350</f>
        <v>0</v>
      </c>
      <c r="F142" s="23" t="s">
        <v>288</v>
      </c>
      <c r="G142" s="23" t="s">
        <v>288</v>
      </c>
      <c r="H142" s="13">
        <f t="shared" si="7"/>
        <v>13256.26</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13256.26</v>
      </c>
      <c r="D144" s="98">
        <f>SUM(D130:D143)</f>
        <v>0</v>
      </c>
      <c r="E144" s="98">
        <f>SUM(E130:E143)</f>
        <v>108051.63</v>
      </c>
      <c r="F144" s="98">
        <f>SUM(F130:F143)</f>
        <v>0</v>
      </c>
      <c r="G144" s="98">
        <f>SUM(G130:G143)</f>
        <v>0</v>
      </c>
      <c r="H144" s="98">
        <f t="shared" si="7"/>
        <v>121307.89</v>
      </c>
    </row>
    <row r="145" spans="1:9" ht="12.75" thickTop="1" thickBot="1" x14ac:dyDescent="0.25">
      <c r="A145" s="32" t="s">
        <v>244</v>
      </c>
      <c r="C145" s="68">
        <f>(C115+C128+C144)</f>
        <v>6706666.3999999994</v>
      </c>
      <c r="D145" s="68">
        <f>(D115+D128+D144)</f>
        <v>198807.79</v>
      </c>
      <c r="E145" s="68">
        <f>(E115+E128+E144)</f>
        <v>606611.58000000007</v>
      </c>
      <c r="F145" s="68">
        <f>(F115+F128+F144)</f>
        <v>0</v>
      </c>
      <c r="G145" s="68">
        <f>(G115+G128+G144)</f>
        <v>0</v>
      </c>
      <c r="H145" s="68">
        <f t="shared" si="7"/>
        <v>7512085.7699999996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Colebrook</v>
      </c>
    </row>
    <row r="3" spans="1:4" x14ac:dyDescent="0.2">
      <c r="B3" s="136" t="s">
        <v>1792</v>
      </c>
    </row>
    <row r="4" spans="1:4" x14ac:dyDescent="0.2">
      <c r="B4" t="s">
        <v>61</v>
      </c>
      <c r="C4" s="128">
        <f>IF('DOE25'!F666+'DOE25'!F671=0,0,ROUND('DOE25'!F673,0))</f>
        <v>21304</v>
      </c>
    </row>
    <row r="5" spans="1:4" x14ac:dyDescent="0.2">
      <c r="B5" t="s">
        <v>700</v>
      </c>
      <c r="C5" s="128">
        <f>IF('DOE25'!G666+'DOE25'!G671=0,0,ROUND('DOE25'!G673,0))</f>
        <v>0</v>
      </c>
    </row>
    <row r="6" spans="1:4" x14ac:dyDescent="0.2">
      <c r="B6" t="s">
        <v>62</v>
      </c>
      <c r="C6" s="128">
        <f>IF('DOE25'!H666+'DOE25'!H671=0,0,ROUND('DOE25'!H673,0))</f>
        <v>26055</v>
      </c>
    </row>
    <row r="7" spans="1:4" x14ac:dyDescent="0.2">
      <c r="B7" t="s">
        <v>701</v>
      </c>
      <c r="C7" s="128">
        <f>IF('DOE25'!I666+'DOE25'!I671=0,0,ROUND('DOE25'!I673,0))</f>
        <v>23007</v>
      </c>
    </row>
    <row r="9" spans="1:4" x14ac:dyDescent="0.2">
      <c r="A9" s="135" t="s">
        <v>94</v>
      </c>
      <c r="B9" s="136" t="s">
        <v>1793</v>
      </c>
      <c r="C9" s="130" t="s">
        <v>720</v>
      </c>
      <c r="D9" s="130" t="s">
        <v>721</v>
      </c>
    </row>
    <row r="10" spans="1:4" x14ac:dyDescent="0.2">
      <c r="A10">
        <v>1100</v>
      </c>
      <c r="B10" t="s">
        <v>702</v>
      </c>
      <c r="C10" s="128">
        <f>ROUND('DOE25'!L198+'DOE25'!L216+'DOE25'!L234+'DOE25'!L277+'DOE25'!L296+'DOE25'!L315,0)</f>
        <v>2449891</v>
      </c>
      <c r="D10" s="131">
        <f>ROUND((C10/$C$28)*100,1)</f>
        <v>33.299999999999997</v>
      </c>
    </row>
    <row r="11" spans="1:4" x14ac:dyDescent="0.2">
      <c r="A11">
        <v>1200</v>
      </c>
      <c r="B11" t="s">
        <v>703</v>
      </c>
      <c r="C11" s="128">
        <f>ROUND('DOE25'!L199+'DOE25'!L217+'DOE25'!L235+'DOE25'!L278+'DOE25'!L297+'DOE25'!L316,0)</f>
        <v>817195</v>
      </c>
      <c r="D11" s="131">
        <f>ROUND((C11/$C$28)*100,1)</f>
        <v>11.1</v>
      </c>
    </row>
    <row r="12" spans="1:4" x14ac:dyDescent="0.2">
      <c r="A12">
        <v>1300</v>
      </c>
      <c r="B12" t="s">
        <v>704</v>
      </c>
      <c r="C12" s="128">
        <f>ROUND('DOE25'!L200+'DOE25'!L218+'DOE25'!L236+'DOE25'!L279+'DOE25'!L298+'DOE25'!L317,0)</f>
        <v>242259</v>
      </c>
      <c r="D12" s="131">
        <f>ROUND((C12/$C$28)*100,1)</f>
        <v>3.3</v>
      </c>
    </row>
    <row r="13" spans="1:4" x14ac:dyDescent="0.2">
      <c r="A13">
        <v>1400</v>
      </c>
      <c r="B13" t="s">
        <v>705</v>
      </c>
      <c r="C13" s="128">
        <f>ROUND('DOE25'!L201+'DOE25'!L219+'DOE25'!L237+'DOE25'!L280+'DOE25'!L299+'DOE25'!L318,0)</f>
        <v>220583</v>
      </c>
      <c r="D13" s="131">
        <f>ROUND((C13/$C$28)*100,1)</f>
        <v>3</v>
      </c>
    </row>
    <row r="14" spans="1:4" x14ac:dyDescent="0.2">
      <c r="D14" s="131"/>
    </row>
    <row r="15" spans="1:4" x14ac:dyDescent="0.2">
      <c r="A15">
        <v>2100</v>
      </c>
      <c r="B15" t="s">
        <v>706</v>
      </c>
      <c r="C15" s="128">
        <f>ROUND('DOE25'!L203+'DOE25'!L221+'DOE25'!L239+'DOE25'!L282+'DOE25'!L301+'DOE25'!L320,0)</f>
        <v>687148</v>
      </c>
      <c r="D15" s="131">
        <f t="shared" ref="D15:D27" si="0">ROUND((C15/$C$28)*100,1)</f>
        <v>9.4</v>
      </c>
    </row>
    <row r="16" spans="1:4" x14ac:dyDescent="0.2">
      <c r="A16">
        <v>2200</v>
      </c>
      <c r="B16" t="s">
        <v>707</v>
      </c>
      <c r="C16" s="128">
        <f>ROUND('DOE25'!L204+'DOE25'!L222+'DOE25'!L240+'DOE25'!L283+'DOE25'!L302+'DOE25'!L321,0)</f>
        <v>294911</v>
      </c>
      <c r="D16" s="131">
        <f t="shared" si="0"/>
        <v>4</v>
      </c>
    </row>
    <row r="17" spans="1:4" x14ac:dyDescent="0.2">
      <c r="A17" s="132" t="s">
        <v>723</v>
      </c>
      <c r="B17" t="s">
        <v>738</v>
      </c>
      <c r="C17" s="128">
        <f>ROUND('DOE25'!L205+'DOE25'!L210+'DOE25'!L223+'DOE25'!L228+'DOE25'!L241+'DOE25'!L246+'DOE25'!L284+'DOE25'!L289+'DOE25'!L303+'DOE25'!L308+'DOE25'!L322+'DOE25'!L327,0)</f>
        <v>851928</v>
      </c>
      <c r="D17" s="131">
        <f t="shared" si="0"/>
        <v>11.6</v>
      </c>
    </row>
    <row r="18" spans="1:4" x14ac:dyDescent="0.2">
      <c r="A18">
        <v>2400</v>
      </c>
      <c r="B18" t="s">
        <v>711</v>
      </c>
      <c r="C18" s="128">
        <f>ROUND('DOE25'!L206+'DOE25'!L224+'DOE25'!L242+'DOE25'!L285+'DOE25'!L304+'DOE25'!L323,0)</f>
        <v>420279</v>
      </c>
      <c r="D18" s="131">
        <f t="shared" si="0"/>
        <v>5.7</v>
      </c>
    </row>
    <row r="19" spans="1:4" x14ac:dyDescent="0.2">
      <c r="A19">
        <v>2500</v>
      </c>
      <c r="B19" t="s">
        <v>708</v>
      </c>
      <c r="C19" s="128">
        <f>ROUND('DOE25'!L207+'DOE25'!L225+'DOE25'!L243+'DOE25'!L286+'DOE25'!L305+'DOE25'!L324,0)</f>
        <v>5099</v>
      </c>
      <c r="D19" s="131">
        <f t="shared" si="0"/>
        <v>0.1</v>
      </c>
    </row>
    <row r="20" spans="1:4" x14ac:dyDescent="0.2">
      <c r="A20">
        <v>2600</v>
      </c>
      <c r="B20" t="s">
        <v>709</v>
      </c>
      <c r="C20" s="128">
        <f>ROUND('DOE25'!L208+'DOE25'!L226+'DOE25'!L244+'DOE25'!L287+'DOE25'!L306+'DOE25'!L325,0)</f>
        <v>937385</v>
      </c>
      <c r="D20" s="131">
        <f t="shared" si="0"/>
        <v>12.8</v>
      </c>
    </row>
    <row r="21" spans="1:4" x14ac:dyDescent="0.2">
      <c r="A21">
        <v>2700</v>
      </c>
      <c r="B21" t="s">
        <v>710</v>
      </c>
      <c r="C21" s="128">
        <f>ROUND('DOE25'!L209+'DOE25'!L227+'DOE25'!L245+'DOE25'!L288+'DOE25'!L307+'DOE25'!L326,0)</f>
        <v>265291</v>
      </c>
      <c r="D21" s="131">
        <f t="shared" si="0"/>
        <v>3.6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13256.26</v>
      </c>
      <c r="D26" s="131">
        <f t="shared" si="0"/>
        <v>0.2</v>
      </c>
    </row>
    <row r="27" spans="1:4" x14ac:dyDescent="0.2">
      <c r="A27">
        <v>3100</v>
      </c>
      <c r="B27" t="s">
        <v>11</v>
      </c>
      <c r="C27" s="128">
        <f>ROUND('DOE25'!L363-'DOE25'!L362,0)-SUM('DOE25'!G97:G110)</f>
        <v>142626.26</v>
      </c>
      <c r="D27" s="131">
        <f t="shared" si="0"/>
        <v>1.9</v>
      </c>
    </row>
    <row r="28" spans="1:4" x14ac:dyDescent="0.2">
      <c r="B28" s="135" t="s">
        <v>719</v>
      </c>
      <c r="C28" s="129">
        <f>SUM(C10:C27)</f>
        <v>7347851.5199999996</v>
      </c>
      <c r="D28" s="133">
        <f>ROUND(SUM(D10:D27),0)</f>
        <v>100</v>
      </c>
    </row>
    <row r="29" spans="1:4" x14ac:dyDescent="0.2">
      <c r="A29">
        <v>4000</v>
      </c>
      <c r="B29" t="s">
        <v>724</v>
      </c>
      <c r="C29" s="128">
        <f>ROUND('DOE25'!L256+'DOE25'!L337+'DOE25'!L375+'DOE25'!L376+'DOE25'!L377+'DOE25'!L378+'DOE25'!L379+'DOE25'!L380+'DOE25'!L381,0)</f>
        <v>108052</v>
      </c>
    </row>
    <row r="30" spans="1:4" x14ac:dyDescent="0.2">
      <c r="B30" s="135" t="s">
        <v>725</v>
      </c>
      <c r="C30" s="129">
        <f>SUM(C28:C29)</f>
        <v>7455903.5199999996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2530734</v>
      </c>
      <c r="D35" s="131">
        <f t="shared" ref="D35:D40" si="1">ROUND((C35/$C$41)*100,1)</f>
        <v>34</v>
      </c>
    </row>
    <row r="36" spans="1:4" x14ac:dyDescent="0.2">
      <c r="B36" s="71" t="s">
        <v>739</v>
      </c>
      <c r="C36" s="128">
        <f>SUM('DOE25'!F112:J112)-SUM('DOE25'!G97:G110)+('DOE25'!F175+'DOE25'!F176+'DOE25'!I175+'DOE25'!I176)-C35</f>
        <v>1798716.5</v>
      </c>
      <c r="D36" s="131">
        <f t="shared" si="1"/>
        <v>24.2</v>
      </c>
    </row>
    <row r="37" spans="1:4" x14ac:dyDescent="0.2">
      <c r="A37" s="132" t="s">
        <v>831</v>
      </c>
      <c r="B37" s="71" t="s">
        <v>728</v>
      </c>
      <c r="C37" s="128">
        <f>ROUND('DOE25'!F117+'DOE25'!F118,0)</f>
        <v>2356908</v>
      </c>
      <c r="D37" s="131">
        <f t="shared" si="1"/>
        <v>31.7</v>
      </c>
    </row>
    <row r="38" spans="1:4" x14ac:dyDescent="0.2">
      <c r="A38" s="132" t="s">
        <v>734</v>
      </c>
      <c r="B38" s="71" t="s">
        <v>729</v>
      </c>
      <c r="C38" s="128">
        <f>ROUND(SUM('DOE25'!F140:J140)-SUM('DOE25'!F117:F119),0)</f>
        <v>29963</v>
      </c>
      <c r="D38" s="131">
        <f t="shared" si="1"/>
        <v>0.4</v>
      </c>
    </row>
    <row r="39" spans="1:4" x14ac:dyDescent="0.2">
      <c r="A39">
        <v>4000</v>
      </c>
      <c r="B39" s="71" t="s">
        <v>730</v>
      </c>
      <c r="C39" s="128">
        <f>ROUND('DOE25'!F170+'DOE25'!G170+'DOE25'!H170+'DOE25'!I170,0)</f>
        <v>720744</v>
      </c>
      <c r="D39" s="131">
        <f t="shared" si="1"/>
        <v>9.6999999999999993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7437065.5</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Colebrook</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52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13</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f>IF('School Level Expenditures'!$B$2='School Tables'!W16,'School Tables'!AD16,"")</f>
        <v>13</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f>IF('School Level Expenditures'!$B$2=A55,'School Tables'!H55,"")</f>
        <v>52</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2024-09-16T14:28:08Z</cp:lastPrinted>
  <dcterms:created xsi:type="dcterms:W3CDTF">1997-12-04T19:04:30Z</dcterms:created>
  <dcterms:modified xsi:type="dcterms:W3CDTF">2024-12-20T18:38:59Z</dcterms:modified>
</cp:coreProperties>
</file>