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BDC07C94-E208-4195-B67C-C6237EA28071}"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70" i="1" l="1"/>
  <c r="F126" i="1"/>
  <c r="K28" i="14"/>
  <c r="K27" i="14"/>
  <c r="K13" i="14"/>
  <c r="K11" i="14"/>
  <c r="K10" i="14"/>
  <c r="K9" i="14"/>
  <c r="K8" i="14"/>
  <c r="K7" i="14"/>
  <c r="K12" i="14"/>
  <c r="K6" i="14"/>
  <c r="K40" i="14" l="1"/>
  <c r="O11" i="14"/>
  <c r="B12" i="12"/>
  <c r="B21" i="12"/>
  <c r="B30" i="12"/>
  <c r="L13" i="14"/>
  <c r="L11" i="14"/>
  <c r="L10" i="14"/>
  <c r="L9" i="14"/>
  <c r="L8" i="14"/>
  <c r="L7" i="14"/>
  <c r="L12" i="14"/>
  <c r="L6" i="14"/>
  <c r="L28" i="14"/>
  <c r="L27" i="14"/>
  <c r="D12" i="14"/>
  <c r="D11" i="14"/>
  <c r="D10" i="14"/>
  <c r="D9" i="14"/>
  <c r="D8" i="14"/>
  <c r="D7" i="14"/>
  <c r="D6" i="14"/>
  <c r="D28" i="14"/>
  <c r="D27" i="14"/>
  <c r="D40" i="14"/>
  <c r="H208" i="1" l="1"/>
  <c r="I241" i="1"/>
  <c r="I240" i="1"/>
  <c r="G242" i="1"/>
  <c r="F218" i="1"/>
  <c r="F217" i="1"/>
  <c r="F216" i="1"/>
  <c r="G237" i="1"/>
  <c r="G221" i="1"/>
  <c r="H221" i="1"/>
  <c r="H239" i="1"/>
  <c r="H203" i="1"/>
  <c r="G203" i="1"/>
  <c r="F203" i="1"/>
  <c r="P8" i="14" l="1"/>
  <c r="H162" i="1" l="1"/>
  <c r="H469" i="1"/>
  <c r="H155" i="1"/>
  <c r="H156" i="1"/>
  <c r="J466" i="1"/>
  <c r="P11" i="14"/>
  <c r="P6" i="14"/>
  <c r="P7" i="14"/>
  <c r="J524" i="1" l="1"/>
  <c r="J522" i="1"/>
  <c r="I524" i="1"/>
  <c r="I523" i="1"/>
  <c r="I522" i="1"/>
  <c r="G524" i="1"/>
  <c r="G523" i="1"/>
  <c r="G522" i="1"/>
  <c r="F524" i="1"/>
  <c r="F523" i="1"/>
  <c r="F522" i="1"/>
  <c r="J605" i="1" l="1"/>
  <c r="J592" i="1"/>
  <c r="J96" i="1"/>
  <c r="H390" i="1"/>
  <c r="H524" i="1" l="1"/>
  <c r="H523" i="1"/>
  <c r="H522" i="1"/>
  <c r="H130" i="1" l="1"/>
  <c r="H473" i="1"/>
  <c r="I595" i="1"/>
  <c r="D13" i="14"/>
  <c r="P13" i="14"/>
  <c r="P10" i="14"/>
  <c r="P9" i="14"/>
  <c r="P12" i="14"/>
  <c r="P28" i="14" l="1"/>
  <c r="P27" i="14"/>
  <c r="P40" i="14"/>
  <c r="O10" i="14"/>
  <c r="O9" i="14"/>
  <c r="O8" i="14"/>
  <c r="O13" i="14"/>
  <c r="O7" i="14"/>
  <c r="O6" i="14"/>
  <c r="O28" i="14"/>
  <c r="O27" i="14"/>
  <c r="O40" i="14"/>
  <c r="B10" i="12" l="1"/>
  <c r="F296" i="1" l="1"/>
  <c r="N11" i="14" l="1"/>
  <c r="N8" i="14"/>
  <c r="N13" i="14"/>
  <c r="N10" i="14"/>
  <c r="N9" i="14"/>
  <c r="N7" i="14"/>
  <c r="N12" i="14"/>
  <c r="N6" i="14"/>
  <c r="M11" i="14"/>
  <c r="M10" i="14"/>
  <c r="M9" i="14"/>
  <c r="M13" i="14"/>
  <c r="M8" i="14"/>
  <c r="M12" i="14"/>
  <c r="M7" i="14"/>
  <c r="M6" i="14"/>
  <c r="M28" i="14"/>
  <c r="N28" i="14"/>
  <c r="N27" i="14"/>
  <c r="M27" i="14"/>
  <c r="F283" i="1" l="1"/>
  <c r="E9" i="17" l="1"/>
  <c r="E13" i="17"/>
  <c r="B19" i="12"/>
  <c r="F315" i="1" l="1"/>
  <c r="F277" i="1"/>
  <c r="H321" i="1"/>
  <c r="H302" i="1"/>
  <c r="H283" i="1"/>
  <c r="H285" i="1"/>
  <c r="H304" i="1"/>
  <c r="H323" i="1"/>
  <c r="I605" i="1" l="1"/>
  <c r="H605" i="1"/>
  <c r="H288" i="1"/>
  <c r="G283" i="1"/>
  <c r="H299" i="1"/>
  <c r="I317" i="1"/>
  <c r="I277" i="1"/>
  <c r="H277" i="1"/>
  <c r="G277" i="1"/>
  <c r="J218" i="1" l="1"/>
  <c r="I218" i="1"/>
  <c r="H218" i="1"/>
  <c r="G218" i="1"/>
  <c r="H240" i="1" l="1"/>
  <c r="H222" i="1"/>
  <c r="H204" i="1"/>
  <c r="H245" i="1"/>
  <c r="G235" i="1"/>
  <c r="J235" i="1"/>
  <c r="I235" i="1"/>
  <c r="J217" i="1"/>
  <c r="F199" i="1"/>
  <c r="F235" i="1"/>
  <c r="I198" i="1" l="1"/>
  <c r="H198" i="1"/>
  <c r="G198" i="1"/>
  <c r="H216" i="1"/>
  <c r="H217" i="1"/>
  <c r="G216" i="1"/>
  <c r="I236" i="1"/>
  <c r="G240" i="1"/>
  <c r="G234" i="1"/>
  <c r="G222" i="1"/>
  <c r="G199" i="1"/>
  <c r="H227" i="1" l="1"/>
  <c r="H209" i="1"/>
  <c r="I226" i="1"/>
  <c r="I244" i="1"/>
  <c r="I208" i="1"/>
  <c r="H244" i="1"/>
  <c r="H226" i="1"/>
  <c r="G244" i="1"/>
  <c r="G226" i="1"/>
  <c r="F244" i="1"/>
  <c r="F226" i="1"/>
  <c r="I222" i="1"/>
  <c r="I204" i="1"/>
  <c r="G204" i="1"/>
  <c r="F240" i="1"/>
  <c r="F222" i="1"/>
  <c r="F204" i="1"/>
  <c r="J239" i="1"/>
  <c r="G239" i="1"/>
  <c r="F239" i="1"/>
  <c r="F221" i="1"/>
  <c r="I199" i="1"/>
  <c r="G217" i="1"/>
  <c r="J234" i="1"/>
  <c r="J216" i="1"/>
  <c r="J198" i="1"/>
  <c r="I234" i="1"/>
  <c r="I216" i="1"/>
  <c r="H234" i="1"/>
  <c r="F234" i="1"/>
  <c r="F198" i="1"/>
  <c r="G158" i="1" l="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H102" i="2" s="1"/>
  <c r="D102" i="2"/>
  <c r="E102" i="2"/>
  <c r="F102" i="2"/>
  <c r="D115" i="2"/>
  <c r="F115" i="2"/>
  <c r="G115" i="2"/>
  <c r="C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H653" i="1"/>
  <c r="G654" i="1"/>
  <c r="H654" i="1"/>
  <c r="H655" i="1"/>
  <c r="H656" i="1"/>
  <c r="I170" i="1"/>
  <c r="H98" i="2" l="1"/>
  <c r="G409" i="1"/>
  <c r="H646" i="1" s="1"/>
  <c r="H97" i="2"/>
  <c r="H93" i="2"/>
  <c r="H87" i="2"/>
  <c r="H61" i="2"/>
  <c r="H26" i="2"/>
  <c r="G62" i="2"/>
  <c r="E13" i="13"/>
  <c r="C13" i="13" s="1"/>
  <c r="H38" i="2"/>
  <c r="H43" i="2"/>
  <c r="H47" i="2"/>
  <c r="D144" i="2"/>
  <c r="H69" i="2"/>
  <c r="H30" i="2"/>
  <c r="H28" i="2"/>
  <c r="H25" i="2"/>
  <c r="H17" i="2"/>
  <c r="H143" i="2"/>
  <c r="H100" i="2"/>
  <c r="H135" i="2"/>
  <c r="H80" i="2"/>
  <c r="D18" i="13"/>
  <c r="C18" i="13" s="1"/>
  <c r="H89" i="2"/>
  <c r="H59" i="2"/>
  <c r="H34" i="2"/>
  <c r="H132" i="2"/>
  <c r="H36" i="2"/>
  <c r="H94" i="2"/>
  <c r="H27" i="2"/>
  <c r="H22" i="2"/>
  <c r="H8" i="2"/>
  <c r="D29" i="13"/>
  <c r="C29" i="13" s="1"/>
  <c r="G662" i="1"/>
  <c r="H44" i="2"/>
  <c r="H11" i="2"/>
  <c r="H48" i="2"/>
  <c r="E125" i="2"/>
  <c r="H125" i="2" s="1"/>
  <c r="E124" i="2"/>
  <c r="E120" i="2"/>
  <c r="E112" i="2"/>
  <c r="E111" i="2"/>
  <c r="G646" i="1"/>
  <c r="J646" i="1" s="1"/>
  <c r="H96" i="2"/>
  <c r="J652" i="1"/>
  <c r="C32" i="10"/>
  <c r="G651" i="1"/>
  <c r="K36" i="14"/>
  <c r="K37" i="14" s="1"/>
  <c r="C119" i="2"/>
  <c r="C13" i="10"/>
  <c r="K2" i="14"/>
  <c r="K3" i="14" s="1"/>
  <c r="H76" i="2"/>
  <c r="H29" i="2"/>
  <c r="H23" i="2"/>
  <c r="D78" i="2"/>
  <c r="H77" i="2"/>
  <c r="H24" i="2"/>
  <c r="H12" i="2"/>
  <c r="G477" i="1"/>
  <c r="B33" i="16" s="1"/>
  <c r="H477" i="1"/>
  <c r="H625" i="1" s="1"/>
  <c r="J625" i="1" s="1"/>
  <c r="C112" i="2"/>
  <c r="D15" i="13"/>
  <c r="C15" i="13" s="1"/>
  <c r="C120" i="2"/>
  <c r="C12" i="10"/>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42" i="2"/>
  <c r="H134" i="2"/>
  <c r="H16" i="2"/>
  <c r="H78" i="2"/>
  <c r="H120" i="2"/>
  <c r="H57" i="2"/>
  <c r="H21" i="2"/>
  <c r="H112" i="2"/>
  <c r="D128" i="2"/>
  <c r="D145" i="2" s="1"/>
  <c r="H127" i="2"/>
  <c r="H18" i="2"/>
  <c r="H50" i="2"/>
  <c r="D51" i="2"/>
  <c r="H624" i="1"/>
  <c r="J624" i="1" s="1"/>
  <c r="H103" i="2"/>
  <c r="H119" i="2"/>
  <c r="E91" i="2"/>
  <c r="H91" i="2" s="1"/>
  <c r="H85" i="2"/>
  <c r="E51" i="2"/>
  <c r="H31" i="2"/>
  <c r="H62" i="2"/>
  <c r="I662" i="1"/>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E104" i="2" l="1"/>
  <c r="H51" i="2"/>
  <c r="C144" i="2"/>
  <c r="C145" i="2" s="1"/>
  <c r="H141" i="2"/>
  <c r="C104" i="2"/>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0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rgb="FF000000"/>
            <rFont val="Tahoma"/>
            <family val="2"/>
          </rPr>
          <t xml:space="preserve">The total reported here must agree with the total transportation expenditures reported on Pages 7, 8, and 9.
</t>
        </r>
      </text>
    </comment>
    <comment ref="K606" authorId="0" shapeId="0" xr:uid="{00000000-0006-0000-0000-00000B000000}">
      <text>
        <r>
          <rPr>
            <sz val="8"/>
            <color rgb="FF000000"/>
            <rFont val="Tahoma"/>
            <family val="2"/>
          </rPr>
          <t xml:space="preserve">The total reported here must agree with the total reported on Pages 10 and 14  minus Function 4000 (Facilities Acquisition) for 
</t>
        </r>
        <r>
          <rPr>
            <sz val="8"/>
            <color rgb="FF000000"/>
            <rFont val="Tahoma"/>
            <family val="2"/>
          </rPr>
          <t xml:space="preserve"> property.
</t>
        </r>
        <r>
          <rPr>
            <sz val="8"/>
            <color rgb="FF000000"/>
            <rFont val="Tahoma"/>
            <family val="2"/>
          </rPr>
          <t xml:space="preserve">
</t>
        </r>
      </text>
    </comment>
    <comment ref="J618" authorId="1" shapeId="0" xr:uid="{00000000-0006-0000-0000-00000C000000}">
      <text>
        <r>
          <rPr>
            <b/>
            <sz val="9"/>
            <color rgb="FF000000"/>
            <rFont val="Tahoma"/>
            <family val="2"/>
          </rPr>
          <t>Total Current Assets equal Total Liabilities &amp; Equity for General Fund 10</t>
        </r>
      </text>
    </comment>
    <comment ref="J619" authorId="1" shapeId="0" xr:uid="{00000000-0006-0000-0000-00000D000000}">
      <text>
        <r>
          <rPr>
            <b/>
            <sz val="9"/>
            <color rgb="FF000000"/>
            <rFont val="Tahoma"/>
            <family val="2"/>
          </rPr>
          <t>Total Current Assets equal Total Liabilities &amp; Equity for Food Service Fund 21</t>
        </r>
        <r>
          <rPr>
            <sz val="9"/>
            <color rgb="FF000000"/>
            <rFont val="Tahoma"/>
            <family val="2"/>
          </rPr>
          <t xml:space="preserve">
</t>
        </r>
      </text>
    </comment>
    <comment ref="J620" authorId="1" shapeId="0" xr:uid="{00000000-0006-0000-0000-00000E000000}">
      <text>
        <r>
          <rPr>
            <b/>
            <sz val="9"/>
            <color rgb="FF000000"/>
            <rFont val="Tahoma"/>
            <family val="2"/>
          </rPr>
          <t>Total Current Assets equal Total Liabilities &amp; Equity for All Other Special Revenue Fund 22</t>
        </r>
        <r>
          <rPr>
            <sz val="9"/>
            <color rgb="FF000000"/>
            <rFont val="Tahoma"/>
            <family val="2"/>
          </rPr>
          <t xml:space="preserve">
</t>
        </r>
      </text>
    </comment>
    <comment ref="J621" authorId="1" shapeId="0" xr:uid="{00000000-0006-0000-0000-00000F000000}">
      <text>
        <r>
          <rPr>
            <b/>
            <sz val="9"/>
            <color rgb="FF000000"/>
            <rFont val="Tahoma"/>
            <family val="2"/>
          </rPr>
          <t>Total Current Assets equal Total Liabilities &amp; Equity for Capital Projects Fund 30</t>
        </r>
        <r>
          <rPr>
            <sz val="9"/>
            <color rgb="FF000000"/>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rgb="FF000000"/>
            <rFont val="Tahoma"/>
            <family val="2"/>
          </rPr>
          <t>Total Fund Equity on Balance Sheet equals ending fund balance on page 19 for Food Service Fund 21</t>
        </r>
        <r>
          <rPr>
            <sz val="9"/>
            <color rgb="FF000000"/>
            <rFont val="Tahoma"/>
            <family val="2"/>
          </rPr>
          <t xml:space="preserve">
</t>
        </r>
      </text>
    </comment>
    <comment ref="J625" authorId="1" shapeId="0" xr:uid="{00000000-0006-0000-0000-000013000000}">
      <text>
        <r>
          <rPr>
            <b/>
            <sz val="9"/>
            <color rgb="FF000000"/>
            <rFont val="Tahoma"/>
            <family val="2"/>
          </rPr>
          <t>Total Fund Equity on Balance Sheet equals ending fund balance on page 19 for All Other Special Revenue Fund 22</t>
        </r>
        <r>
          <rPr>
            <sz val="9"/>
            <color rgb="FF000000"/>
            <rFont val="Tahoma"/>
            <family val="2"/>
          </rPr>
          <t xml:space="preserve">
</t>
        </r>
      </text>
    </comment>
    <comment ref="J626" authorId="1" shapeId="0" xr:uid="{00000000-0006-0000-0000-000014000000}">
      <text>
        <r>
          <rPr>
            <b/>
            <sz val="9"/>
            <color rgb="FF000000"/>
            <rFont val="Tahoma"/>
            <family val="2"/>
          </rPr>
          <t>Total Fund Equity on Balance Sheet equals ending fund balance on page 19 for Capital Projects Fund 30</t>
        </r>
      </text>
    </comment>
    <comment ref="J627" authorId="1" shapeId="0" xr:uid="{00000000-0006-0000-0000-000015000000}">
      <text>
        <r>
          <rPr>
            <b/>
            <sz val="9"/>
            <color rgb="FF000000"/>
            <rFont val="Tahoma"/>
            <family val="2"/>
          </rPr>
          <t>Total Fund Equity on Balance Sheet equals ending fund balance on page 19 for Trust Agency Fund 70</t>
        </r>
        <r>
          <rPr>
            <sz val="9"/>
            <color rgb="FF000000"/>
            <rFont val="Tahoma"/>
            <family val="2"/>
          </rPr>
          <t xml:space="preserve">
</t>
        </r>
      </text>
    </comment>
    <comment ref="J628" authorId="1" shapeId="0" xr:uid="{00000000-0006-0000-0000-000016000000}">
      <text>
        <r>
          <rPr>
            <b/>
            <sz val="9"/>
            <color rgb="FF000000"/>
            <rFont val="Tahoma"/>
            <family val="2"/>
          </rPr>
          <t>Total Revenue &amp; Other Financing Sources on Page 6 equals Revenue reported on Page 19 for General Fund 10</t>
        </r>
        <r>
          <rPr>
            <sz val="9"/>
            <color rgb="FF000000"/>
            <rFont val="Tahoma"/>
            <family val="2"/>
          </rPr>
          <t xml:space="preserve">
</t>
        </r>
      </text>
    </comment>
    <comment ref="J629" authorId="1" shapeId="0" xr:uid="{00000000-0006-0000-0000-000017000000}">
      <text>
        <r>
          <rPr>
            <b/>
            <sz val="9"/>
            <color rgb="FF000000"/>
            <rFont val="Tahoma"/>
            <family val="2"/>
          </rPr>
          <t>Total Revenue &amp; Other Financing Sources on Page 6 equals Revenue reported on Page 19 for Food Service Fund 21</t>
        </r>
        <r>
          <rPr>
            <sz val="9"/>
            <color rgb="FF000000"/>
            <rFont val="Tahoma"/>
            <family val="2"/>
          </rPr>
          <t xml:space="preserve">
</t>
        </r>
      </text>
    </comment>
    <comment ref="J630" authorId="1" shapeId="0" xr:uid="{00000000-0006-0000-0000-000018000000}">
      <text>
        <r>
          <rPr>
            <b/>
            <sz val="9"/>
            <color rgb="FF000000"/>
            <rFont val="Tahoma"/>
            <family val="2"/>
          </rPr>
          <t>Total Revenue &amp; Other Financing Sources on Page 6 equals Revenue reported on Page 19 for All Other Special Revenue Fund 22</t>
        </r>
      </text>
    </comment>
    <comment ref="J631" authorId="1" shapeId="0" xr:uid="{00000000-0006-0000-0000-000019000000}">
      <text>
        <r>
          <rPr>
            <b/>
            <sz val="9"/>
            <color rgb="FF000000"/>
            <rFont val="Tahoma"/>
            <family val="2"/>
          </rPr>
          <t>Total Revenue &amp; Other Financing Sources on Page 6 equals Revenue reported on Page 19 for Capital Projects Fund 30</t>
        </r>
        <r>
          <rPr>
            <sz val="9"/>
            <color rgb="FF000000"/>
            <rFont val="Tahoma"/>
            <family val="2"/>
          </rPr>
          <t xml:space="preserve">
</t>
        </r>
      </text>
    </comment>
    <comment ref="J632" authorId="1" shapeId="0" xr:uid="{00000000-0006-0000-0000-00001A000000}">
      <text>
        <r>
          <rPr>
            <b/>
            <sz val="9"/>
            <color rgb="FF000000"/>
            <rFont val="Tahoma"/>
            <family val="2"/>
          </rPr>
          <t>Total Revenue &amp; Other Financing Sources on Page 6 equals Revenue reported on Page 19 for Trust Agency Fund 70</t>
        </r>
        <r>
          <rPr>
            <sz val="9"/>
            <color rgb="FF000000"/>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rgb="FF000000"/>
            <rFont val="Tahoma"/>
            <family val="2"/>
          </rPr>
          <t>Total Expenditures &amp; Other Financing Uses on Page 14 equals Expenditures reported on Page 19 for Special Revenue Fund 22</t>
        </r>
        <r>
          <rPr>
            <sz val="9"/>
            <color rgb="FF000000"/>
            <rFont val="Tahoma"/>
            <family val="2"/>
          </rPr>
          <t xml:space="preserve">
</t>
        </r>
      </text>
    </comment>
    <comment ref="J635" authorId="1" shapeId="0" xr:uid="{00000000-0006-0000-0000-00001D000000}">
      <text>
        <r>
          <rPr>
            <b/>
            <sz val="9"/>
            <color rgb="FF000000"/>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rgb="FF000000"/>
            <rFont val="Tahoma"/>
            <family val="2"/>
          </rPr>
          <t>Total Food Service Expenditures on Page 15, line 5 equals Expenditures reported on Page 19 for Food Service Fund 22</t>
        </r>
        <r>
          <rPr>
            <sz val="9"/>
            <color rgb="FF000000"/>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rgb="FF000000"/>
            <rFont val="Tahoma"/>
            <family val="2"/>
          </rPr>
          <t>Total Trust Fund Revenue on page 16, line 20 equals Revenues reported on Page 19 for Trust Agency Fund 70</t>
        </r>
        <r>
          <rPr>
            <sz val="9"/>
            <color rgb="FF000000"/>
            <rFont val="Tahoma"/>
            <family val="2"/>
          </rPr>
          <t xml:space="preserve">
</t>
        </r>
      </text>
    </comment>
    <comment ref="J639" authorId="1" shapeId="0" xr:uid="{00000000-0006-0000-0000-000021000000}">
      <text>
        <r>
          <rPr>
            <b/>
            <sz val="9"/>
            <color rgb="FF000000"/>
            <rFont val="Tahoma"/>
            <family val="2"/>
          </rPr>
          <t>Total Trust Fund Expenditures on page 17, line 20 equals Expenditures reported on Page 19 for Trust Agency Fund 70</t>
        </r>
        <r>
          <rPr>
            <sz val="9"/>
            <color rgb="FF000000"/>
            <rFont val="Tahoma"/>
            <family val="2"/>
          </rPr>
          <t xml:space="preserve">
</t>
        </r>
      </text>
    </comment>
    <comment ref="J640" authorId="1" shapeId="0" xr:uid="{00000000-0006-0000-0000-000022000000}">
      <text>
        <r>
          <rPr>
            <b/>
            <sz val="9"/>
            <color rgb="FF000000"/>
            <rFont val="Tahoma"/>
            <family val="2"/>
          </rPr>
          <t>Total Current Trust Assets equal Total Liabilities and Equity on Page 18, column 1 for Capital Reserves</t>
        </r>
        <r>
          <rPr>
            <sz val="9"/>
            <color rgb="FF000000"/>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rgb="FF000000"/>
            <rFont val="Tahoma"/>
            <family val="2"/>
          </rPr>
          <t>Total Current Trust Assets equal Total Liabilities and Equity on Page 18, column 4 for Total Trust</t>
        </r>
        <r>
          <rPr>
            <sz val="9"/>
            <color rgb="FF000000"/>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rgb="FF000000"/>
            <rFont val="Tahoma"/>
            <family val="2"/>
          </rPr>
          <t xml:space="preserve">Total Earnings on Investments Page 3, Column 5 equals Page 16, column 3 line 20 Total Interest Earned </t>
        </r>
        <r>
          <rPr>
            <sz val="9"/>
            <color rgb="FF000000"/>
            <rFont val="Tahoma"/>
            <family val="2"/>
          </rPr>
          <t xml:space="preserve">
</t>
        </r>
      </text>
    </comment>
    <comment ref="J646" authorId="1" shapeId="0" xr:uid="{00000000-0006-0000-0000-000028000000}">
      <text>
        <r>
          <rPr>
            <b/>
            <sz val="9"/>
            <color rgb="FF000000"/>
            <rFont val="Tahoma"/>
            <family val="2"/>
          </rPr>
          <t>Total Inter-fund transfers on page 6 line 10 Fund 70 equals Total Inter-fund Transfers on Page 16, line20 Column 2</t>
        </r>
        <r>
          <rPr>
            <sz val="9"/>
            <color rgb="FF000000"/>
            <rFont val="Tahoma"/>
            <family val="2"/>
          </rPr>
          <t xml:space="preserve">
</t>
        </r>
      </text>
    </comment>
    <comment ref="J647" authorId="1" shapeId="0" xr:uid="{00000000-0006-0000-0000-000029000000}">
      <text>
        <r>
          <rPr>
            <b/>
            <sz val="9"/>
            <color rgb="FF000000"/>
            <rFont val="Tahoma"/>
            <family val="2"/>
          </rPr>
          <t>Total Revenue &amp; Other Financing Sources Page 6 line 19 Fund 70 equals Total Trust Fund Revenue on Page 16 line 20 column 7</t>
        </r>
        <r>
          <rPr>
            <sz val="9"/>
            <color rgb="FF000000"/>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rgb="FF000000"/>
            <rFont val="Tahoma"/>
            <family val="2"/>
          </rPr>
          <t>Welch, Matthew:</t>
        </r>
        <r>
          <rPr>
            <sz val="9"/>
            <color rgb="FF000000"/>
            <rFont val="Tahoma"/>
            <family val="2"/>
          </rPr>
          <t xml:space="preserve">
</t>
        </r>
        <r>
          <rPr>
            <sz val="9"/>
            <color rgb="FF000000"/>
            <rFont val="Tahoma"/>
            <family val="2"/>
          </rPr>
          <t>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rgb="FF000000"/>
            <rFont val="Tahoma"/>
            <family val="2"/>
          </rPr>
          <t>Welch, Matthew:</t>
        </r>
        <r>
          <rPr>
            <sz val="9"/>
            <color rgb="FF000000"/>
            <rFont val="Tahoma"/>
            <family val="2"/>
          </rPr>
          <t xml:space="preserve">
</t>
        </r>
        <r>
          <rPr>
            <sz val="9"/>
            <color rgb="FF000000"/>
            <rFont val="Tahoma"/>
            <family val="2"/>
          </rPr>
          <t>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<sst xmlns="http://schemas.openxmlformats.org/spreadsheetml/2006/main" count="6652" uniqueCount="1851">
  <si>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</si>
  <si>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</si>
  <si>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</si>
  <si>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</si>
  <si>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</si>
  <si>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</si>
  <si>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</si>
  <si>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</si>
  <si>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</si>
  <si>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</si>
  <si>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</si>
  <si>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</si>
  <si>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</si>
  <si>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</si>
  <si>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</si>
  <si>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</si>
  <si>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</si>
  <si>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</si>
  <si>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</si>
  <si>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</si>
  <si>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</si>
  <si>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</si>
  <si>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</si>
  <si>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</si>
  <si>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</si>
  <si>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</si>
  <si>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</si>
  <si>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</si>
  <si>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</si>
  <si>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</si>
  <si>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</si>
  <si>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</si>
  <si>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</si>
  <si>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</si>
  <si>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</si>
  <si>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</si>
  <si>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</si>
  <si>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</si>
  <si>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</si>
  <si>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</si>
  <si>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</si>
  <si>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</si>
  <si>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</si>
  <si>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</si>
  <si>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</si>
  <si>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</si>
  <si>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</si>
  <si>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</si>
  <si>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</si>
  <si>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</si>
  <si>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</si>
  <si>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</si>
  <si>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</si>
  <si>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</si>
  <si>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</si>
  <si>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</si>
  <si>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</si>
  <si>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</si>
  <si>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</si>
  <si>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</si>
  <si>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</si>
  <si>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</si>
  <si>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</si>
  <si>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</si>
  <si>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</si>
  <si>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</si>
  <si>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</si>
  <si>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</si>
  <si>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</si>
  <si>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</si>
  <si>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</si>
  <si>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</si>
  <si>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</si>
  <si>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</si>
  <si>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</si>
  <si>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</si>
  <si>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</si>
  <si>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</si>
  <si>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</si>
  <si>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</si>
  <si>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</si>
  <si>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</si>
  <si>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</si>
  <si>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</si>
  <si>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</si>
  <si>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</si>
  <si>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</si>
  <si>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</si>
  <si>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</si>
  <si>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</si>
  <si>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</si>
  <si>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</si>
  <si>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</si>
  <si>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</si>
  <si>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</si>
  <si>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</si>
  <si>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</si>
  <si>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</si>
  <si>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</si>
  <si>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</si>
  <si>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</si>
  <si>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</si>
  <si>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</si>
  <si>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</si>
  <si>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</si>
  <si>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</si>
  <si>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</si>
  <si>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</si>
  <si>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</si>
  <si>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</si>
  <si>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</si>
  <si>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</si>
  <si>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</si>
  <si>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</si>
  <si>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</si>
  <si>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</si>
  <si>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</si>
  <si>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</si>
  <si>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</si>
  <si>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</si>
  <si>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</si>
  <si>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</si>
  <si>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</si>
  <si>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</si>
  <si>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</si>
  <si>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</si>
  <si>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</si>
  <si>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</si>
  <si>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</si>
  <si>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</si>
  <si>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</si>
  <si>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</si>
  <si>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</si>
  <si>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</si>
  <si>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</si>
  <si>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</si>
  <si>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</si>
  <si>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</si>
  <si>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</si>
  <si>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</si>
  <si>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</si>
  <si>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</si>
  <si>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</si>
  <si>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</si>
  <si>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</si>
  <si>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</si>
  <si>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</si>
  <si>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</si>
  <si>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</si>
  <si>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</si>
  <si>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</si>
  <si>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</si>
  <si>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</si>
  <si>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</si>
  <si>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</si>
  <si>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</si>
  <si>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</si>
  <si>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</si>
  <si>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</si>
  <si>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</si>
  <si>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</si>
  <si>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</si>
  <si>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</si>
  <si>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</si>
  <si>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</si>
  <si>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</si>
  <si>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</si>
  <si>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</si>
  <si>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</si>
  <si>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</si>
  <si>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</si>
  <si>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</si>
  <si>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</si>
  <si>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</si>
  <si>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</si>
  <si>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</si>
  <si>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</si>
  <si>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</si>
  <si>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</si>
  <si>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</si>
  <si>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</si>
  <si>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</si>
  <si>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</si>
  <si>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</si>
  <si>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</si>
  <si>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</si>
  <si>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</si>
  <si>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</si>
  <si>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</si>
  <si>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</si>
  <si>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</si>
  <si>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</si>
  <si>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</si>
  <si>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</si>
  <si>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</si>
  <si>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</si>
  <si>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</si>
  <si>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</si>
  <si>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</si>
  <si>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</si>
  <si>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</si>
  <si>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</si>
  <si>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</si>
  <si>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</si>
  <si>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</si>
  <si>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</si>
  <si>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</si>
  <si>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</si>
  <si>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</si>
  <si>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</si>
  <si>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</si>
  <si>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</si>
  <si>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</si>
  <si>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</si>
  <si>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</si>
  <si>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</si>
  <si>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</si>
  <si>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</si>
  <si>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</si>
  <si>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</si>
  <si>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</si>
  <si>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</si>
  <si>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</si>
  <si>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</si>
  <si>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</si>
  <si>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</si>
  <si>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</si>
  <si>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</si>
  <si>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</si>
  <si>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</si>
  <si>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</si>
  <si>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</si>
  <si>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</si>
  <si>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</si>
  <si>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</si>
  <si>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</si>
  <si>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</si>
  <si>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</si>
  <si>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</si>
  <si>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</si>
  <si>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</si>
  <si>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</si>
  <si>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</si>
  <si>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</si>
  <si>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</si>
  <si>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</si>
  <si>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</si>
  <si>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</si>
  <si>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</si>
  <si>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</si>
  <si>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</si>
  <si>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</si>
  <si>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</si>
  <si>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</si>
  <si>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</si>
  <si>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</si>
  <si>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</si>
  <si>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</si>
  <si>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</si>
  <si>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</si>
  <si>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</si>
  <si>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</si>
  <si>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</si>
  <si>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</si>
  <si>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</si>
  <si>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</si>
  <si>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</si>
  <si>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</si>
  <si>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</si>
  <si>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</si>
  <si>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</si>
  <si>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</si>
  <si>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</si>
  <si>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</si>
  <si>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</si>
  <si>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</si>
  <si>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</si>
  <si>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</si>
  <si>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</si>
  <si>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</si>
  <si>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</si>
  <si>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</si>
  <si>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</si>
  <si>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</si>
  <si>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</si>
  <si>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</si>
  <si>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</si>
  <si>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</si>
  <si>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</si>
  <si>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</si>
  <si>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</si>
  <si>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</si>
  <si>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</si>
  <si>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</si>
  <si>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</si>
  <si>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</si>
  <si>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</si>
  <si>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</si>
  <si>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</si>
  <si>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</si>
  <si>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</si>
  <si>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</si>
  <si>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</si>
  <si>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</si>
  <si>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</si>
  <si>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</si>
  <si>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</si>
  <si>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</si>
  <si>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</si>
  <si>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</si>
  <si>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</si>
  <si>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</si>
  <si>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</si>
  <si>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</si>
  <si>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</si>
  <si>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</si>
  <si>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</si>
  <si>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</si>
  <si>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</si>
  <si>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</si>
  <si>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</si>
  <si>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</si>
  <si>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</si>
  <si>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</si>
  <si>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</si>
  <si>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</si>
  <si>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</si>
  <si>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</si>
  <si>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</si>
  <si>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</si>
  <si>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</si>
  <si>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</si>
  <si>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</si>
  <si>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</si>
  <si>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</si>
  <si>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</si>
  <si>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</si>
  <si>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</si>
  <si>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</si>
  <si>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</si>
  <si>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</si>
  <si>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</si>
  <si>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</si>
  <si>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</si>
  <si>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</si>
  <si>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</si>
  <si>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</si>
  <si>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</si>
  <si>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</si>
  <si>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</si>
  <si>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</si>
  <si>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</si>
  <si>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</si>
  <si>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</si>
  <si>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</si>
  <si>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</si>
  <si>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</si>
  <si>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</si>
  <si>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</si>
  <si>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</si>
  <si>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</si>
  <si>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</si>
  <si>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</si>
  <si>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</si>
  <si>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</si>
  <si>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</si>
  <si>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</si>
  <si>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</si>
  <si>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</si>
  <si>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</si>
  <si>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</si>
  <si>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</si>
  <si>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</si>
  <si>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</si>
  <si>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</si>
  <si>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</si>
  <si>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</si>
  <si>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</si>
  <si>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</si>
  <si>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</si>
  <si>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</si>
  <si>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</si>
  <si>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</si>
  <si>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</si>
  <si>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</si>
  <si>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</si>
  <si>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</si>
  <si>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</si>
  <si>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</si>
  <si>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</si>
  <si>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</si>
  <si>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</si>
  <si>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</si>
  <si>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</si>
  <si>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</si>
  <si>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</si>
  <si>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</si>
  <si>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</si>
  <si>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</si>
  <si>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</si>
  <si>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</si>
  <si>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</si>
  <si>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</si>
  <si>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</si>
  <si>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</si>
  <si>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</si>
  <si>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</si>
  <si>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</si>
  <si>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</si>
  <si>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</si>
  <si>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</si>
  <si>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</si>
  <si>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</si>
  <si>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</si>
  <si>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</si>
  <si>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</si>
  <si>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</si>
  <si>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</si>
  <si>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</si>
  <si>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</si>
  <si>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</si>
  <si>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</si>
  <si>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</si>
  <si>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</si>
  <si>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</si>
  <si>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</si>
  <si>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</si>
  <si>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</si>
  <si>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</si>
  <si>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</si>
  <si>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</si>
  <si>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</si>
  <si>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</si>
  <si>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</si>
  <si>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</si>
  <si>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</si>
  <si>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</si>
  <si>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</si>
  <si>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</si>
  <si>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</si>
  <si>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</si>
  <si>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</si>
  <si>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</si>
  <si>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</si>
  <si>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</si>
  <si>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</si>
  <si>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</si>
  <si>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</si>
  <si>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</si>
  <si>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</si>
  <si>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</si>
  <si>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</si>
  <si>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</si>
  <si>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</si>
  <si>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</si>
  <si>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</si>
  <si>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</si>
  <si>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</si>
  <si>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</si>
  <si>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</si>
  <si>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</si>
  <si>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</si>
  <si>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</si>
  <si>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</si>
  <si>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</si>
  <si>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</si>
  <si>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</si>
  <si>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</si>
  <si>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</si>
  <si>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</si>
  <si>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</si>
  <si>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</si>
  <si>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</si>
  <si>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</si>
  <si>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</si>
  <si>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</si>
  <si>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</si>
  <si>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</si>
  <si>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</si>
  <si>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</si>
  <si>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</si>
  <si>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</si>
  <si>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</si>
  <si>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</si>
  <si>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</si>
  <si>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</si>
  <si>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</si>
  <si>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</si>
  <si>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</si>
  <si>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</si>
  <si>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</si>
  <si>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</si>
  <si>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</si>
  <si>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</si>
  <si>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</si>
  <si>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</si>
  <si>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</si>
  <si>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</si>
  <si>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</si>
  <si>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</si>
  <si>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</si>
  <si>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</si>
  <si>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</si>
  <si>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</si>
  <si>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</si>
  <si>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</si>
  <si>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</si>
  <si>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</si>
  <si>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</si>
  <si>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</si>
  <si>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</si>
  <si>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</si>
  <si>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</si>
  <si>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</si>
  <si>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</si>
  <si>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</si>
  <si>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</si>
  <si>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</si>
  <si>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</si>
  <si>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</si>
  <si>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</si>
  <si>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</si>
  <si>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</si>
  <si>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</si>
  <si>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</si>
  <si>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</si>
  <si>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</si>
  <si>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</si>
  <si>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</si>
  <si>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</si>
  <si>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</si>
  <si>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</si>
  <si>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</si>
  <si>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</si>
  <si>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</si>
  <si>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</si>
  <si>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</si>
  <si>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</si>
  <si>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</si>
  <si>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</si>
  <si>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</si>
  <si>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</si>
  <si>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</si>
  <si>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</si>
  <si>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</si>
  <si>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</si>
  <si>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</si>
  <si>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</si>
  <si>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</si>
  <si>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</si>
  <si>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</si>
  <si>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</si>
  <si>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</si>
  <si>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</si>
  <si>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</si>
  <si>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</si>
  <si>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</si>
  <si>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</si>
  <si>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</si>
  <si>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</si>
  <si>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</si>
  <si>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</si>
  <si>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</si>
  <si>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</si>
  <si>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</si>
  <si>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</si>
  <si>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</si>
  <si>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</si>
  <si>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</si>
  <si>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</si>
  <si>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</si>
  <si>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</si>
  <si>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</si>
  <si>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</si>
  <si>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</si>
  <si>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</si>
  <si>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</si>
  <si>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</si>
  <si>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</si>
  <si>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</si>
  <si>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</si>
  <si>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</si>
  <si>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</si>
  <si>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</si>
  <si>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</si>
  <si>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</si>
  <si>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</si>
  <si>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</si>
  <si>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</si>
  <si>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</si>
  <si>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</si>
  <si>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</si>
  <si>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</si>
  <si>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</si>
  <si>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</si>
  <si>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</si>
  <si>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</si>
  <si>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</si>
  <si>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</si>
  <si>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</si>
  <si>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</si>
  <si>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</si>
  <si>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</si>
  <si>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</si>
  <si>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</si>
  <si>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</si>
  <si>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</si>
  <si>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</si>
  <si>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</si>
  <si>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</si>
  <si>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</si>
  <si>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</si>
  <si>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</si>
  <si>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</si>
  <si>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</si>
  <si>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</si>
  <si>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</si>
  <si>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</si>
  <si>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</si>
  <si>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</si>
  <si>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</si>
  <si>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</si>
  <si>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</si>
  <si>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</si>
  <si>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</si>
  <si>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</si>
  <si>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</si>
  <si>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</si>
  <si>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</si>
  <si>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</si>
  <si>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</si>
  <si>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</si>
  <si>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</si>
  <si>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</si>
  <si>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</si>
  <si>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</si>
  <si>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</si>
  <si>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</si>
  <si>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</si>
  <si>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</si>
  <si>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</si>
  <si>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</si>
  <si>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</si>
  <si>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</si>
  <si>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</si>
  <si>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</si>
  <si>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</si>
  <si>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</si>
  <si>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</si>
  <si>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</si>
  <si>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</si>
  <si>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</si>
  <si>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</si>
  <si>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</si>
  <si>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</si>
  <si>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</si>
  <si>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</si>
  <si>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</si>
  <si>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</si>
  <si>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</si>
  <si>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</si>
  <si>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</si>
  <si>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</si>
  <si>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</si>
  <si>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</si>
  <si>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</si>
  <si>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</si>
  <si>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</si>
  <si>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</si>
  <si>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</si>
  <si>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</si>
  <si>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</si>
  <si>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</si>
  <si>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</si>
  <si>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</si>
  <si>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</si>
  <si>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</si>
  <si>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</si>
  <si>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</si>
  <si>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</si>
  <si>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</si>
  <si>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</si>
  <si>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</si>
  <si>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</si>
  <si>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</si>
  <si>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</si>
  <si>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</si>
  <si>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</si>
  <si>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</si>
  <si>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</si>
  <si>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</si>
  <si>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</si>
  <si>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</si>
  <si>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</si>
  <si>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</si>
  <si>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</si>
  <si>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</si>
  <si>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</si>
  <si>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</si>
  <si>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</si>
  <si>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</si>
  <si>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</si>
  <si>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</si>
  <si>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</si>
  <si>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</si>
  <si>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</si>
  <si>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</si>
  <si>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</si>
  <si>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</si>
  <si>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</si>
  <si>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</si>
  <si>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</si>
  <si>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</si>
  <si>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</si>
  <si>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</si>
  <si>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</si>
  <si>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</si>
  <si>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</si>
  <si>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</si>
  <si>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</si>
  <si>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</si>
  <si>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</si>
  <si>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</si>
  <si>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</si>
  <si>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</si>
  <si>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</si>
  <si>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</si>
  <si>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</si>
  <si>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</si>
  <si>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</si>
  <si>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</si>
  <si>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</si>
  <si>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</si>
  <si>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</si>
  <si>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</si>
  <si>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</si>
  <si>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</si>
  <si>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</si>
  <si>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</si>
  <si>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</si>
  <si>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</si>
  <si>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</si>
  <si>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</si>
  <si>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</si>
  <si>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</si>
  <si>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</si>
  <si>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</si>
  <si>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</si>
  <si>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</si>
  <si>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</si>
  <si>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</si>
  <si>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</si>
  <si>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</si>
  <si>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</si>
  <si>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</si>
  <si>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</si>
  <si>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</si>
  <si>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</si>
  <si>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</si>
  <si>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</si>
  <si>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</si>
  <si>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</si>
  <si>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</si>
  <si>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</si>
  <si>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</si>
  <si>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</si>
  <si>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</si>
  <si>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</si>
  <si>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</si>
  <si>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</si>
  <si>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</si>
  <si>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</si>
  <si>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</si>
  <si>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</si>
  <si>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</si>
  <si>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</si>
  <si>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</si>
  <si>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</si>
  <si>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</si>
  <si>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</si>
  <si>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</si>
  <si>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</si>
  <si>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</si>
  <si>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</si>
  <si>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</si>
  <si>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</si>
  <si>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</si>
  <si>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</si>
  <si>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</si>
  <si>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</si>
  <si>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</si>
  <si>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</si>
  <si>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</si>
  <si>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</si>
  <si>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</si>
  <si>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</si>
  <si>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</si>
  <si>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</si>
  <si>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</si>
  <si>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</si>
  <si>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</si>
  <si>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</si>
  <si>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</si>
  <si>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</si>
  <si>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</si>
  <si>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</si>
  <si>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</si>
  <si>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</si>
  <si>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</si>
  <si>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</si>
  <si>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</si>
  <si>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</si>
  <si>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</si>
  <si>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</si>
  <si>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</si>
  <si>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</si>
  <si>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</si>
  <si>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</si>
  <si>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</si>
  <si>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</si>
  <si>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</si>
  <si>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</si>
  <si>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</si>
  <si>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</si>
  <si>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</si>
  <si>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</si>
  <si>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</si>
  <si>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</si>
  <si>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</si>
  <si>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</si>
  <si>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</si>
  <si>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</si>
  <si>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</si>
  <si>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</si>
  <si>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</si>
  <si>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</si>
  <si>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</si>
  <si>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</si>
  <si>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</si>
  <si>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</si>
  <si>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</si>
  <si>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</si>
  <si>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</si>
  <si>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</si>
  <si>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</si>
  <si>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</si>
  <si>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</si>
  <si>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</si>
  <si>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</si>
  <si>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</si>
  <si>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</si>
  <si>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</si>
  <si>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</si>
  <si>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</si>
  <si>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</si>
  <si>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</si>
  <si>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</si>
  <si>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</si>
  <si>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</si>
  <si>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</si>
  <si>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</si>
  <si>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</si>
  <si>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</si>
  <si>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</si>
  <si>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</si>
  <si>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</si>
  <si>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</si>
  <si>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</si>
  <si>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</si>
  <si>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</si>
  <si>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</si>
  <si>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</si>
  <si>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</si>
  <si>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</si>
  <si>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</si>
  <si>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</si>
  <si>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</si>
  <si>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</si>
  <si>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</si>
  <si>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</si>
  <si>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</si>
  <si>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</si>
  <si>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</si>
  <si>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</si>
  <si>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</si>
  <si>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</si>
  <si>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</si>
  <si>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</si>
  <si>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</si>
  <si>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</si>
  <si>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</si>
  <si>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</si>
  <si>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</si>
  <si>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</si>
  <si>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</si>
  <si>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</si>
  <si>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</si>
  <si>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</si>
  <si>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</si>
  <si>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</si>
  <si>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</si>
  <si>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</si>
  <si>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</si>
  <si>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</si>
  <si>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</si>
  <si>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</si>
  <si>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</si>
  <si>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</si>
  <si>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</si>
  <si>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</si>
  <si>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</si>
  <si>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</si>
  <si>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</si>
  <si>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</si>
  <si>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</si>
  <si>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</si>
  <si>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</si>
  <si>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</si>
  <si>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</si>
  <si>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</si>
  <si>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</si>
  <si>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</si>
  <si>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</si>
  <si>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</si>
  <si>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</si>
  <si>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</si>
  <si>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</si>
  <si>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</si>
  <si>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</si>
  <si>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</si>
  <si>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</si>
  <si>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</si>
  <si>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</si>
  <si>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</si>
  <si>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</si>
  <si>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</si>
  <si>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</si>
  <si>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</si>
  <si>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</si>
  <si>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</si>
  <si>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</si>
  <si>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</si>
  <si>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</si>
  <si>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</si>
  <si>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</si>
  <si>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</si>
  <si>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</si>
  <si>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</si>
  <si>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</si>
  <si>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</si>
  <si>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</si>
  <si>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</si>
  <si>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</si>
  <si>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</si>
  <si>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</si>
  <si>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</si>
  <si>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</si>
  <si>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</si>
  <si>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</si>
  <si>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</si>
  <si>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</si>
  <si>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</si>
  <si>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</si>
  <si>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</si>
  <si>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</si>
  <si>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</si>
  <si>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</si>
  <si>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</si>
  <si>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</si>
  <si>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</si>
  <si>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</si>
  <si>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</si>
  <si>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</si>
  <si>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</si>
  <si>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</si>
  <si>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</si>
  <si>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</si>
  <si>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</si>
  <si>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</si>
  <si>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</si>
  <si>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</si>
  <si>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</si>
  <si>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</si>
  <si>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</si>
  <si>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</si>
  <si>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</si>
  <si>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</si>
  <si>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</si>
  <si>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</si>
  <si>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</si>
  <si>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</si>
  <si>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</si>
  <si>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</si>
  <si>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</si>
  <si>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</si>
  <si>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</si>
  <si>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</si>
  <si>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</si>
  <si>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</si>
  <si>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</si>
  <si>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</si>
  <si>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</si>
  <si>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</si>
  <si>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</si>
  <si>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</si>
  <si>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</si>
  <si>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</si>
  <si>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</si>
  <si>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</si>
  <si>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</si>
  <si>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</si>
  <si>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</si>
  <si>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</si>
  <si>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</si>
  <si>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</si>
  <si>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</si>
  <si>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</si>
  <si>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</si>
  <si>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</si>
  <si>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</si>
  <si>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</si>
  <si>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</si>
  <si>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</si>
  <si>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</si>
  <si>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</si>
  <si>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</si>
  <si>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</si>
  <si>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</si>
  <si>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</si>
  <si>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</si>
  <si>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</si>
  <si>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</si>
  <si>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</si>
  <si>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</si>
  <si>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</si>
  <si>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</si>
  <si>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</si>
  <si>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</si>
  <si>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</si>
  <si>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</si>
  <si>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</si>
  <si>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</si>
  <si>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</si>
  <si>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</si>
  <si>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</si>
  <si>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</si>
  <si>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</si>
  <si>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</si>
  <si>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</si>
  <si>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</si>
  <si>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</si>
  <si>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</si>
  <si>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</si>
  <si>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</si>
  <si>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</si>
  <si>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</si>
  <si>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</si>
  <si>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</si>
  <si>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</si>
  <si>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</si>
  <si>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</si>
  <si>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</si>
  <si>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</si>
  <si>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</si>
  <si>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</si>
  <si>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</si>
  <si>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</si>
  <si>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</si>
  <si>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</si>
  <si>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</si>
  <si>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</si>
  <si>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</si>
  <si>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</si>
  <si>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</si>
  <si>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</si>
  <si>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</si>
  <si>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</si>
  <si>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</si>
  <si>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</si>
  <si>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</si>
  <si>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</si>
  <si>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</si>
  <si>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</si>
  <si>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</si>
  <si>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</si>
  <si>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</si>
  <si>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</si>
  <si>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</si>
  <si>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</si>
  <si>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</si>
  <si>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</si>
  <si>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</si>
  <si>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</si>
  <si>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</si>
  <si>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</si>
  <si>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</si>
  <si>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</si>
  <si>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</si>
  <si>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</si>
  <si>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</si>
  <si>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</si>
  <si>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</si>
  <si>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</si>
  <si>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</si>
  <si>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</si>
  <si>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</si>
  <si>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</si>
  <si>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</si>
  <si>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</si>
  <si>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</si>
  <si>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</si>
  <si>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</si>
  <si>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</si>
  <si>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</si>
  <si>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</si>
  <si>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</si>
  <si>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</si>
  <si>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</si>
  <si>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</si>
  <si>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</si>
  <si>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</si>
  <si>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</si>
  <si>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</si>
  <si>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</si>
  <si>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</si>
  <si>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</si>
  <si>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</si>
  <si>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</si>
  <si>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</si>
  <si>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</si>
  <si>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</si>
  <si>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</si>
  <si>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</si>
  <si>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</si>
  <si>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</si>
  <si>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</si>
  <si>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</si>
  <si>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</si>
  <si>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</si>
  <si>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</si>
  <si>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</si>
  <si>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</si>
  <si>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</si>
  <si>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</si>
  <si>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</si>
  <si>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</si>
  <si>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</si>
  <si>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</si>
  <si>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</si>
  <si>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</si>
  <si>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</si>
  <si>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</si>
  <si>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</si>
  <si>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</si>
  <si>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</si>
  <si>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</si>
  <si>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</si>
  <si>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</si>
  <si>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</si>
  <si>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</si>
  <si>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</si>
  <si>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</si>
  <si>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</si>
  <si>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</si>
  <si>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</si>
  <si>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</si>
  <si>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</si>
  <si>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</si>
  <si>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</si>
  <si>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</si>
  <si>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</si>
  <si>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</si>
  <si>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</si>
  <si>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</si>
  <si>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</si>
  <si>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</si>
  <si>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</si>
  <si>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</si>
  <si>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</si>
  <si>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</si>
  <si>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</si>
  <si>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</si>
  <si>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</si>
  <si>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</si>
  <si>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</si>
  <si>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</si>
  <si>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</si>
  <si>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</si>
  <si>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</si>
  <si>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</si>
  <si>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</si>
  <si>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</si>
  <si>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</si>
  <si>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</si>
  <si>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</si>
  <si>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</si>
  <si>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</si>
  <si>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</si>
  <si>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</si>
  <si>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</si>
  <si>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</si>
  <si>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</si>
  <si>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</si>
  <si>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</si>
  <si>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</si>
  <si>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</si>
  <si>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</si>
  <si>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</si>
  <si>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</si>
  <si>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</si>
  <si>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</si>
  <si>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</si>
  <si>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</si>
  <si>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</si>
  <si>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</si>
  <si>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</si>
  <si>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</si>
  <si>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</si>
  <si>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</si>
  <si>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</si>
  <si>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</si>
  <si>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</si>
  <si>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</si>
  <si>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</si>
  <si>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</si>
  <si>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</si>
  <si>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</si>
  <si>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</si>
  <si>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</si>
  <si>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</si>
  <si>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</si>
  <si>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</si>
  <si>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</si>
  <si>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</si>
  <si>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</si>
  <si>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</si>
  <si>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</si>
  <si>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</si>
  <si>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</si>
  <si>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</si>
  <si>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</si>
  <si>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</si>
  <si>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</si>
  <si>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</si>
  <si>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</si>
  <si>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</si>
  <si>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</si>
  <si>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</si>
  <si>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</si>
  <si>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</si>
  <si>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</si>
  <si>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</si>
  <si>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</si>
  <si>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</si>
  <si>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</si>
  <si>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</si>
  <si>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</si>
  <si>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</si>
  <si>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</si>
  <si>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</si>
  <si>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</si>
  <si>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</si>
  <si>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</si>
  <si>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</si>
  <si>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</si>
  <si>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</si>
  <si>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</si>
  <si>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</si>
  <si>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</si>
  <si>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</si>
  <si>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</si>
  <si>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</si>
  <si>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</si>
  <si>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</si>
  <si>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</si>
  <si>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</si>
  <si>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</si>
  <si>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</si>
  <si>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</si>
  <si>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</si>
  <si>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</si>
  <si>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</si>
  <si>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</si>
  <si>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</si>
  <si>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</si>
  <si>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</si>
  <si>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</si>
  <si>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</si>
  <si>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</si>
  <si>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</si>
  <si>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</si>
  <si>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</si>
  <si>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</si>
  <si>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</si>
  <si>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</si>
  <si>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</si>
  <si>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</si>
  <si>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</si>
  <si>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</si>
  <si>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</si>
  <si>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</si>
  <si>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</si>
  <si>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</si>
  <si>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</si>
  <si>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</si>
  <si>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</si>
  <si>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</si>
  <si>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</si>
  <si>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</si>
  <si>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</si>
  <si>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</si>
  <si>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</si>
  <si>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</si>
  <si>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</si>
  <si>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</si>
  <si>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</si>
  <si>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</si>
  <si>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</si>
  <si>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</si>
  <si>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</si>
  <si>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</si>
  <si>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</si>
  <si>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</si>
  <si>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</si>
  <si>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</si>
  <si>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</si>
  <si>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</si>
  <si>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</si>
  <si>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</si>
  <si>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</si>
  <si>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</si>
  <si>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</si>
  <si>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</si>
  <si>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</si>
  <si>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</si>
  <si>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</si>
  <si>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</si>
  <si>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</si>
  <si>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</si>
  <si>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</si>
  <si>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</si>
  <si>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</si>
  <si>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</si>
  <si>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</si>
  <si>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</si>
  <si>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</si>
  <si>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</si>
  <si>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</si>
  <si>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</si>
  <si>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</si>
  <si>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</si>
  <si>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</si>
  <si>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</si>
  <si>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</si>
  <si>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</si>
  <si>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</si>
  <si>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</si>
  <si>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</si>
  <si>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</si>
  <si>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</si>
  <si>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</si>
  <si>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</si>
  <si>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</si>
  <si>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</si>
  <si>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</si>
  <si>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</si>
  <si>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</si>
  <si>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</si>
  <si>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</si>
  <si>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</si>
  <si>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</si>
  <si>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</si>
  <si>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</si>
  <si>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</si>
  <si>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</si>
  <si>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</si>
  <si>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</si>
  <si>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</si>
  <si>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</si>
  <si>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</si>
  <si>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</si>
  <si>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</si>
  <si>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</si>
  <si>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</si>
  <si>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</si>
  <si>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</si>
  <si>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</si>
  <si>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</si>
  <si>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</si>
  <si>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</si>
  <si>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</si>
  <si>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</si>
  <si>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</si>
  <si>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</si>
  <si>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</si>
  <si>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</si>
  <si>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</si>
  <si>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</si>
  <si>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</si>
  <si>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</si>
  <si>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</si>
  <si>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</si>
  <si>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</si>
  <si>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</si>
  <si>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</si>
  <si>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</si>
  <si>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</si>
  <si>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</si>
  <si>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</si>
  <si>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</si>
  <si>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</si>
  <si>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</si>
  <si>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</si>
  <si>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</si>
  <si>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</si>
  <si>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</si>
  <si>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</si>
  <si>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</si>
  <si>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</si>
  <si>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</si>
  <si>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</si>
  <si>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</si>
  <si>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</si>
  <si>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</si>
  <si>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</si>
  <si>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</si>
  <si>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</si>
  <si>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</si>
  <si>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</si>
  <si>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</si>
  <si>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</si>
  <si>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</si>
  <si>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</si>
  <si>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</si>
  <si>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</si>
  <si>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</si>
  <si>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</si>
  <si>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</si>
  <si>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</si>
  <si>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</si>
  <si>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</si>
  <si>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</si>
  <si>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</si>
  <si>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</si>
  <si>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</si>
  <si>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</si>
  <si>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</si>
  <si>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</si>
  <si>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</si>
  <si>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</si>
  <si>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</si>
  <si>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</si>
  <si>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</si>
  <si>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</si>
  <si>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</si>
  <si>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</si>
  <si>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</si>
  <si>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</si>
  <si>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</si>
  <si>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</si>
  <si>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</si>
  <si>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</si>
  <si>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</si>
  <si>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</si>
  <si>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</si>
  <si>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</si>
  <si>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</si>
  <si>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</si>
  <si>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</si>
  <si>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</si>
  <si>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</si>
  <si>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</si>
  <si>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</si>
  <si>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</si>
  <si>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</si>
  <si>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</si>
  <si>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</si>
  <si>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</si>
  <si>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</si>
  <si>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</si>
  <si>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</si>
  <si>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</si>
  <si>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</si>
  <si>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</si>
  <si>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</si>
  <si>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</si>
  <si>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</si>
  <si>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</si>
  <si>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</si>
  <si>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</si>
  <si>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</si>
  <si>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</si>
  <si>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</si>
  <si>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</si>
  <si>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</si>
  <si>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</si>
  <si>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</si>
  <si>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</si>
  <si>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</si>
  <si>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</si>
  <si>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</si>
  <si>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</si>
  <si>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</si>
  <si>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</si>
  <si>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</si>
  <si>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</si>
  <si>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</si>
  <si>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</si>
  <si>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</si>
  <si>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</si>
  <si>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</si>
  <si>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</si>
  <si>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</si>
  <si>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</si>
  <si>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</si>
  <si>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</si>
  <si>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</si>
  <si>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</si>
  <si>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</si>
  <si>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</si>
  <si>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</si>
  <si>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</si>
  <si>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</si>
  <si>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</si>
  <si>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</si>
  <si>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</si>
  <si>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</si>
  <si>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</si>
  <si>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</si>
  <si>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</si>
  <si>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</si>
  <si>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</si>
  <si>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</si>
  <si>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</si>
  <si>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</si>
  <si>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</si>
  <si>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</si>
  <si>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</si>
  <si>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</si>
  <si>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</si>
  <si>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</si>
  <si>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</si>
  <si>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</si>
  <si>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</si>
  <si>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</si>
  <si>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</si>
  <si>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</si>
  <si>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</si>
  <si>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</si>
  <si>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</si>
  <si>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</si>
  <si>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</si>
  <si>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</si>
  <si>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</si>
  <si>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</si>
  <si>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</si>
  <si>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</si>
  <si>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</si>
  <si>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</si>
  <si>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</si>
  <si>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</si>
  <si>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</si>
  <si>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</si>
  <si>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</si>
  <si>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</si>
  <si>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</si>
  <si>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</si>
  <si>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</si>
  <si>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</si>
  <si>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</si>
  <si>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</si>
  <si>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</si>
  <si>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</si>
  <si>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</si>
  <si>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</si>
  <si>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</si>
  <si>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</si>
  <si>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</si>
  <si>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</si>
  <si>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</si>
  <si>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</si>
  <si>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</si>
  <si>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</si>
  <si>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</si>
  <si>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</si>
  <si>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</si>
  <si>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</si>
  <si>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</si>
  <si>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</si>
  <si>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</si>
  <si>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</si>
  <si>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</si>
  <si>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</si>
  <si>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</si>
  <si>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</si>
  <si>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</si>
  <si>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</si>
  <si>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</si>
  <si>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</si>
  <si>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</si>
  <si>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</si>
  <si>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</si>
  <si>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</si>
  <si>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</si>
  <si>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</si>
  <si>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</si>
  <si>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</si>
  <si>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</si>
  <si>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</si>
  <si>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</si>
  <si>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</si>
  <si>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</si>
  <si>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</si>
  <si>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</si>
  <si>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</si>
  <si>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</si>
  <si>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</si>
  <si>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</si>
  <si>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</si>
  <si>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</si>
  <si>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</si>
  <si>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</si>
  <si>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</si>
  <si>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</si>
  <si>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</si>
  <si>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</si>
  <si>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</si>
  <si>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</si>
  <si>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</si>
  <si>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</si>
  <si>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</si>
  <si>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</si>
  <si>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</si>
  <si>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</si>
  <si>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</si>
  <si>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</si>
  <si>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</si>
  <si>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</si>
  <si>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</si>
  <si>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</si>
  <si>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</si>
  <si>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</si>
  <si>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</si>
  <si>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</si>
  <si>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</si>
  <si>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</si>
  <si>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</si>
  <si>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</si>
  <si>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</si>
  <si>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</si>
  <si>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</si>
  <si>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</si>
  <si>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</si>
  <si>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</si>
  <si>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</si>
  <si>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</si>
  <si>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</si>
  <si>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</si>
  <si>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</si>
  <si>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</si>
  <si>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</si>
  <si>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</si>
  <si>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</si>
  <si>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</si>
  <si>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</si>
  <si>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</si>
  <si>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</si>
  <si>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</si>
  <si>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</si>
  <si>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</si>
  <si>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</si>
  <si>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</si>
  <si>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</si>
  <si>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</si>
  <si>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</si>
  <si>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</si>
  <si>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</si>
  <si>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</si>
  <si>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</si>
  <si>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</si>
  <si>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</si>
  <si>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</si>
  <si>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</si>
  <si>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</si>
  <si>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</si>
  <si>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</si>
  <si>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</si>
  <si>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</si>
  <si>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</si>
  <si>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</si>
  <si>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</si>
  <si>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</si>
  <si>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</si>
  <si>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</si>
  <si>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</si>
  <si>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</si>
  <si>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</si>
  <si>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</si>
  <si>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</si>
  <si>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</si>
  <si>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</si>
  <si>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</si>
  <si>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</si>
  <si>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</si>
  <si>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</si>
  <si>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</si>
  <si>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</si>
  <si>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</si>
  <si>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</si>
  <si>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</si>
  <si>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</si>
  <si>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</si>
  <si>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</si>
  <si>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</si>
  <si>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</si>
  <si>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</si>
  <si>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</si>
  <si>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</si>
  <si>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</si>
  <si>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</si>
  <si>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</si>
  <si>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</si>
  <si>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</si>
  <si>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</si>
  <si>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</si>
  <si>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</si>
  <si>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</si>
  <si>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</si>
  <si>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</si>
  <si>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</si>
  <si>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</si>
  <si>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</si>
  <si>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</si>
  <si>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</si>
  <si>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</si>
  <si>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</si>
  <si>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</si>
  <si>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</si>
  <si>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</si>
  <si>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</si>
  <si>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</si>
  <si>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</si>
  <si>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</si>
  <si>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</si>
  <si>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</si>
  <si>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</si>
  <si>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</si>
  <si>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</si>
  <si>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</si>
  <si>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</si>
  <si>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</si>
  <si>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</si>
  <si>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</si>
  <si>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</si>
  <si>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</si>
  <si>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</si>
  <si>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</si>
  <si>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</si>
  <si>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</si>
  <si>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</si>
  <si>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</si>
  <si>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</si>
  <si>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</si>
  <si>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</si>
  <si>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</si>
  <si>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</si>
  <si>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</si>
  <si>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</si>
  <si>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</si>
  <si>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</si>
  <si>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</si>
  <si>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</si>
  <si>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</si>
  <si>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</si>
  <si>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</si>
  <si>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</si>
  <si>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</si>
  <si>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</si>
  <si>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</si>
  <si>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</si>
  <si>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</si>
  <si>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</si>
  <si>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</si>
  <si>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</si>
  <si>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</si>
  <si>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</si>
  <si>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</si>
  <si>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</si>
  <si>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</si>
  <si>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</si>
  <si>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</si>
  <si>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</si>
  <si>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</si>
  <si>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</si>
  <si>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</si>
  <si>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</si>
  <si>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</si>
  <si>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</si>
  <si>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</si>
  <si>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</si>
  <si>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</si>
  <si>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</si>
  <si>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</si>
  <si>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</si>
  <si>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</si>
  <si>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</si>
  <si>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</si>
  <si>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</si>
  <si>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</si>
  <si>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</si>
  <si>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</si>
  <si>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</si>
  <si>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</si>
  <si>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</si>
  <si>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</si>
  <si>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</si>
  <si>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</si>
  <si>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</si>
  <si>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</si>
  <si>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</si>
  <si>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</si>
  <si>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</si>
  <si>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</si>
  <si>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</si>
  <si>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</si>
  <si>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</si>
  <si>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</si>
  <si>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</si>
  <si>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</si>
  <si>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</si>
  <si>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</si>
  <si>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</si>
  <si>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</si>
  <si>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</si>
  <si>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</si>
  <si>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</si>
  <si>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</si>
  <si>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</si>
  <si>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</si>
  <si>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</si>
  <si>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8/15/2023</t>
  </si>
  <si>
    <t>05/15/2018</t>
  </si>
  <si>
    <t>Additionally $162,883.51 of Special Eduction was counted as receivable in FY 23 and was not posted in FY 24.</t>
  </si>
  <si>
    <t>in General Fund</t>
  </si>
  <si>
    <t>It should have been recognized in FY 24 making an adjustment of these amounts to the FY 24 beginning balance</t>
  </si>
  <si>
    <t>authorized during tax rate setting . Auditors will adjust in annual audit..$21.00</t>
  </si>
  <si>
    <t xml:space="preserve">General Fund </t>
  </si>
  <si>
    <t>Total Adjustment is a reduction of $252,656.02</t>
  </si>
  <si>
    <t>All of these adjustments were handled by a revenue adjustment on 19..3..1</t>
  </si>
  <si>
    <t>the beginning balance is off by $89,773 from the prior year ending balance as a result Auditors Journal Entry adjusting the overstating of Special Education aide in FY 23</t>
  </si>
  <si>
    <t xml:space="preserve">$4,178,479 is what was actually deposited for SWEPT Aid. Adjusted amount to $4,178,500 which was the amount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</si>
</sst>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88"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9">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 fontId="15" fillId="0" borderId="0" xfId="0" applyNumberFormat="1" applyFont="1" applyProtection="1">
      <protection locked="0"/>
    </xf>
    <xf numFmtId="44" fontId="0" fillId="0" borderId="0" xfId="0" applyNumberFormat="1" applyProtection="1">
      <protection locked="0"/>
    </xf>
    <xf numFmtId="0" fontId="15" fillId="41" borderId="44" xfId="0" applyFont="1" applyFill="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6" zoomScaleNormal="100" workbookViewId="0">
      <selection activeCell="H672" sqref="H672"/>
    </sheetView>
  </sheetViews>
  <sheetFormatPr defaultColWidth="8.6640625" defaultRowHeight="12.2" customHeight="1" x14ac:dyDescent="0.2"/>
  <cols>
    <col min="1" max="1" width="48.6640625" customWidth="1"/>
    <col min="2" max="2" width="5.16406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966</v>
      </c>
      <c r="B2">
        <f>INDEX('School Tables'!$AH$3:$AH$213,MATCH('DOE25'!A2,'School Tables'!$AJ$3:$AJ$213,0))</f>
        <v>112</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5257664</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v>6227</v>
      </c>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1262479</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136577</v>
      </c>
      <c r="G13" s="18">
        <v>64533</v>
      </c>
      <c r="H13" s="18"/>
      <c r="I13" s="18"/>
      <c r="J13" s="13">
        <f>SUM(I443)</f>
        <v>3710117</v>
      </c>
      <c r="K13" s="23" t="s">
        <v>288</v>
      </c>
      <c r="L13" s="23" t="s">
        <v>288</v>
      </c>
      <c r="M13" s="8"/>
      <c r="N13" s="164"/>
    </row>
    <row r="14" spans="1:14" s="3" customFormat="1" ht="12.2" customHeight="1" x14ac:dyDescent="0.15">
      <c r="A14" s="1" t="s">
        <v>565</v>
      </c>
      <c r="B14" s="2" t="s">
        <v>289</v>
      </c>
      <c r="C14" s="6">
        <v>6</v>
      </c>
      <c r="D14" s="2" t="s">
        <v>428</v>
      </c>
      <c r="E14" s="6">
        <v>150</v>
      </c>
      <c r="F14" s="18">
        <v>67793</v>
      </c>
      <c r="G14" s="18"/>
      <c r="H14" s="18">
        <v>1047429</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2709</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6733449</v>
      </c>
      <c r="G19" s="38">
        <f>SUM(G9:G18)</f>
        <v>64533</v>
      </c>
      <c r="H19" s="38">
        <f>SUM(H9:H18)</f>
        <v>1047429</v>
      </c>
      <c r="I19" s="38">
        <f>SUM(I9:I18)</f>
        <v>0</v>
      </c>
      <c r="J19" s="38">
        <f>SUM(J9:J18)</f>
        <v>3710117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v>48904</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413563</v>
      </c>
      <c r="G24" s="18">
        <v>267095</v>
      </c>
      <c r="H24" s="18">
        <v>995384</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4705</v>
      </c>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3245675</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34481</v>
      </c>
      <c r="G30" s="18">
        <v>15539</v>
      </c>
      <c r="H30" s="18">
        <v>3141</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3698424</v>
      </c>
      <c r="G32" s="38">
        <f>SUM(G22:G31)</f>
        <v>282634</v>
      </c>
      <c r="H32" s="38">
        <f>SUM(H22:H31)</f>
        <v>1047429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2709</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1200000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v>-218101</v>
      </c>
      <c r="H45" s="18"/>
      <c r="I45" s="18"/>
      <c r="J45" s="13">
        <f>I456</f>
        <v>3773957</v>
      </c>
      <c r="K45" s="23" t="s">
        <v>288</v>
      </c>
      <c r="L45" s="23" t="s">
        <v>288</v>
      </c>
      <c r="M45" s="8"/>
      <c r="N45" s="164"/>
    </row>
    <row r="46" spans="1:14" s="3" customFormat="1" ht="12.2" customHeight="1" x14ac:dyDescent="0.15">
      <c r="A46" s="1" t="s">
        <v>870</v>
      </c>
      <c r="B46" s="6">
        <v>1</v>
      </c>
      <c r="C46" s="6">
        <v>32</v>
      </c>
      <c r="D46" s="2"/>
      <c r="E46" s="6"/>
      <c r="F46" s="18">
        <v>603007</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c r="H48" s="18"/>
      <c r="I48" s="18"/>
      <c r="J48" s="13">
        <f>SUM(I460)</f>
        <v>-63840</v>
      </c>
      <c r="K48" s="23" t="s">
        <v>288</v>
      </c>
      <c r="L48" s="23" t="s">
        <v>288</v>
      </c>
      <c r="M48" s="8"/>
      <c r="N48" s="164"/>
    </row>
    <row r="49" spans="1:14" s="3" customFormat="1" ht="12.2" customHeight="1" x14ac:dyDescent="0.15">
      <c r="A49" s="1" t="s">
        <v>855</v>
      </c>
      <c r="B49" s="2" t="s">
        <v>289</v>
      </c>
      <c r="C49" s="6">
        <v>34</v>
      </c>
      <c r="D49" s="2"/>
      <c r="E49" s="6">
        <v>753</v>
      </c>
      <c r="F49" s="18">
        <v>729309</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500000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3035025</v>
      </c>
      <c r="G51" s="38">
        <f>SUM(G35:G50)</f>
        <v>-218101</v>
      </c>
      <c r="H51" s="38">
        <f>SUM(H35:H50)</f>
        <v>0</v>
      </c>
      <c r="I51" s="38">
        <f>SUM(I35:I50)</f>
        <v>0</v>
      </c>
      <c r="J51" s="38">
        <f>SUM(J35:J50)</f>
        <v>3710117</v>
      </c>
      <c r="K51" s="42" t="s">
        <v>288</v>
      </c>
      <c r="L51" s="42" t="s">
        <v>288</v>
      </c>
      <c r="N51" s="130"/>
    </row>
    <row r="52" spans="1:14" s="3" customFormat="1" ht="12.2" customHeight="1" thickTop="1" x14ac:dyDescent="0.15">
      <c r="A52" s="35" t="s">
        <v>455</v>
      </c>
      <c r="B52" s="36" t="s">
        <v>289</v>
      </c>
      <c r="C52" s="6">
        <v>37</v>
      </c>
      <c r="D52" s="36" t="s">
        <v>653</v>
      </c>
      <c r="E52" s="36"/>
      <c r="F52" s="38">
        <f>F51+F32</f>
        <v>6733449</v>
      </c>
      <c r="G52" s="38">
        <f>G51+G32</f>
        <v>64533</v>
      </c>
      <c r="H52" s="38">
        <f>H51+H32</f>
        <v>1047429</v>
      </c>
      <c r="I52" s="38">
        <f>I51+I32</f>
        <v>0</v>
      </c>
      <c r="J52" s="38">
        <f>J51+J32</f>
        <v>3710117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39322315</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39322315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100607</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76450</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33400</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210457</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240722</v>
      </c>
      <c r="G96" s="18"/>
      <c r="H96" s="18"/>
      <c r="I96" s="18"/>
      <c r="J96" s="18">
        <f>128830.61+11046.57</f>
        <v>139877.18</v>
      </c>
      <c r="K96" s="23" t="s">
        <v>288</v>
      </c>
      <c r="L96" s="23" t="s">
        <v>288</v>
      </c>
      <c r="M96" s="8"/>
      <c r="N96" s="164"/>
    </row>
    <row r="97" spans="1:14" s="3" customFormat="1" ht="12.2" customHeight="1" x14ac:dyDescent="0.15">
      <c r="A97" s="1" t="s">
        <v>503</v>
      </c>
      <c r="B97" s="2" t="s">
        <v>315</v>
      </c>
      <c r="C97" s="6">
        <v>12</v>
      </c>
      <c r="D97" s="2" t="s">
        <v>430</v>
      </c>
      <c r="E97" s="6">
        <v>1600</v>
      </c>
      <c r="F97" s="23" t="s">
        <v>288</v>
      </c>
      <c r="G97" s="18">
        <v>525221</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22800</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12121</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6318</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2177</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284138</v>
      </c>
      <c r="G111" s="38">
        <f>SUM(G96:G110)</f>
        <v>525221</v>
      </c>
      <c r="H111" s="38">
        <f>SUM(H96:H110)</f>
        <v>0</v>
      </c>
      <c r="I111" s="38">
        <f>SUM(I96:I110)</f>
        <v>0</v>
      </c>
      <c r="J111" s="38">
        <f>SUM(J96:J110)</f>
        <v>139877.18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39816910</v>
      </c>
      <c r="G112" s="38">
        <f>G60+G111</f>
        <v>525221</v>
      </c>
      <c r="H112" s="38">
        <f>H60+H79+H94+H111</f>
        <v>0</v>
      </c>
      <c r="I112" s="38">
        <f>I60+I111</f>
        <v>0</v>
      </c>
      <c r="J112" s="38">
        <f>J60+J111</f>
        <v>139877.18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7952946</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4178500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25839</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12157285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f>162883.51</f>
        <v>162883.51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68499.360000000001</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14036.3</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f>10435-0.81</f>
        <v>10434.19</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13114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40700</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245419.16999999998</v>
      </c>
      <c r="G136" s="38">
        <f>SUM(G123:G135)</f>
        <v>13114</v>
      </c>
      <c r="H136" s="38">
        <f>SUM(H123:H135)</f>
        <v>51134.19</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12402704.17</v>
      </c>
      <c r="G140" s="38">
        <f>G121+SUM(G136:G137)</f>
        <v>13114</v>
      </c>
      <c r="H140" s="38">
        <f>H121+SUM(H136:H139)</f>
        <v>51134.19</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523682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38212+31896+93740+7350+17830</f>
        <v>189028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f>144492+4901</f>
        <v>149393</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12263</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318440+68103+89965</f>
        <v>476508</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813516.81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57829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35630</v>
      </c>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1100708+270139-0.81</f>
        <v>1370846.19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57829</v>
      </c>
      <c r="G163" s="38">
        <f>SUM(G150:G162)</f>
        <v>512138</v>
      </c>
      <c r="H163" s="38">
        <f>SUM(H150:H162)</f>
        <v>3058729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57829</v>
      </c>
      <c r="G170" s="38">
        <f>G147+G163+SUM(G164:G169)</f>
        <v>512138</v>
      </c>
      <c r="H170" s="38">
        <f>H147+H163+SUM(H164:H169)</f>
        <v>3058729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1000000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1000000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1203718</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1203718</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1203718</v>
      </c>
      <c r="G193" s="38">
        <f>G184+SUM(G189:G192)</f>
        <v>0</v>
      </c>
      <c r="H193" s="38">
        <f>+H184+SUM(H189:H192)</f>
        <v>0</v>
      </c>
      <c r="I193" s="38">
        <f>I178+I184+SUM(I189:I192)</f>
        <v>0</v>
      </c>
      <c r="J193" s="38">
        <f>J184</f>
        <v>1000000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53481161.170000002</v>
      </c>
      <c r="G194" s="38">
        <f>G112+G140+G170+G193</f>
        <v>1050473</v>
      </c>
      <c r="H194" s="38">
        <f>H112+H140+H170+H193</f>
        <v>3109863.19</v>
      </c>
      <c r="I194" s="38">
        <f>I112+I140+I170+I193</f>
        <v>0</v>
      </c>
      <c r="J194" s="38">
        <f>J112+J140+J193</f>
        <v>1139877.18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3625072.22+536912.98</f>
        <v>4161985.2</v>
      </c>
      <c r="G198" s="18">
        <f>1674563.74+102743.54</f>
        <v>1777307.28</v>
      </c>
      <c r="H198" s="18">
        <f>21796.22+22377.09</f>
        <v>44173.31</v>
      </c>
      <c r="I198" s="18">
        <f>127982.8+429.82</f>
        <v>128412.62000000001</v>
      </c>
      <c r="J198" s="18">
        <f>141886.88+5493.15</f>
        <v>147380.03</v>
      </c>
      <c r="K198" s="18">
        <v>10925.9</v>
      </c>
      <c r="L198" s="13">
        <f>SUM(F198:K198)</f>
        <v>6270184.3400000008</v>
      </c>
      <c r="M198" s="8" t="s">
        <v>286</v>
      </c>
      <c r="N198" s="164"/>
    </row>
    <row r="199" spans="1:14" s="3" customFormat="1" ht="12.2" customHeight="1" x14ac:dyDescent="0.15">
      <c r="A199" s="1" t="s">
        <v>439</v>
      </c>
      <c r="B199" s="2" t="s">
        <v>341</v>
      </c>
      <c r="C199" s="2" t="s">
        <v>291</v>
      </c>
      <c r="D199" s="2" t="s">
        <v>431</v>
      </c>
      <c r="E199" s="6">
        <v>1200</v>
      </c>
      <c r="F199" s="18">
        <f>820574+2306584</f>
        <v>3127158</v>
      </c>
      <c r="G199" s="18">
        <f>1123856.18+377463.42</f>
        <v>1501319.5999999999</v>
      </c>
      <c r="H199" s="18">
        <v>1228336.3700000001</v>
      </c>
      <c r="I199" s="18">
        <f>10366.97+8596.16</f>
        <v>18963.129999999997</v>
      </c>
      <c r="J199" s="18">
        <v>4431.18</v>
      </c>
      <c r="K199" s="18">
        <v>1827.15</v>
      </c>
      <c r="L199" s="13">
        <f>SUM(F199:K199)</f>
        <v>5882035.4299999997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677946+100310</f>
        <v>778256</v>
      </c>
      <c r="G203" s="18">
        <f>322660+38214</f>
        <v>360874</v>
      </c>
      <c r="H203" s="18">
        <f>30+31421</f>
        <v>31451</v>
      </c>
      <c r="I203" s="18">
        <v>5115.63</v>
      </c>
      <c r="J203" s="18"/>
      <c r="K203" s="18"/>
      <c r="L203" s="13">
        <f t="shared" ref="L203:L209" si="0">SUM(F203:K203)</f>
        <v>1175696.6299999999</v>
      </c>
      <c r="M203" s="8"/>
      <c r="N203" s="164"/>
    </row>
    <row r="204" spans="1:14" s="3" customFormat="1" ht="12.2" customHeight="1" x14ac:dyDescent="0.15">
      <c r="A204" s="1" t="s">
        <v>443</v>
      </c>
      <c r="B204" s="2" t="s">
        <v>341</v>
      </c>
      <c r="C204" s="2" t="s">
        <v>295</v>
      </c>
      <c r="D204" s="2" t="s">
        <v>431</v>
      </c>
      <c r="E204" s="6">
        <v>2200</v>
      </c>
      <c r="F204" s="18">
        <f>200118.73+46533.72</f>
        <v>246652.45</v>
      </c>
      <c r="G204" s="18">
        <f>104914.05+12345.9</f>
        <v>117259.95</v>
      </c>
      <c r="H204" s="18">
        <f>43852.06+36720.45</f>
        <v>80572.509999999995</v>
      </c>
      <c r="I204" s="18">
        <f>15126.66+26992.44</f>
        <v>42119.1</v>
      </c>
      <c r="J204" s="18"/>
      <c r="K204" s="18"/>
      <c r="L204" s="13">
        <f t="shared" si="0"/>
        <v>486604.01</v>
      </c>
      <c r="M204" s="8"/>
      <c r="N204" s="164"/>
    </row>
    <row r="205" spans="1:14" s="3" customFormat="1" ht="12.2" customHeight="1" x14ac:dyDescent="0.15">
      <c r="A205" s="1" t="s">
        <v>444</v>
      </c>
      <c r="B205" s="2" t="s">
        <v>341</v>
      </c>
      <c r="C205" s="2" t="s">
        <v>296</v>
      </c>
      <c r="D205" s="2" t="s">
        <v>431</v>
      </c>
      <c r="E205" s="6">
        <v>2300</v>
      </c>
      <c r="F205" s="18">
        <v>561334.68000000005</v>
      </c>
      <c r="G205" s="18">
        <v>354834</v>
      </c>
      <c r="H205" s="18">
        <v>322209</v>
      </c>
      <c r="I205" s="18">
        <v>129491.29</v>
      </c>
      <c r="J205" s="18">
        <v>204.75</v>
      </c>
      <c r="K205" s="18">
        <v>13090.97</v>
      </c>
      <c r="L205" s="13">
        <f t="shared" si="0"/>
        <v>1381164.6900000002</v>
      </c>
      <c r="M205" s="8"/>
      <c r="N205" s="164"/>
    </row>
    <row r="206" spans="1:14" s="3" customFormat="1" ht="12.2" customHeight="1" x14ac:dyDescent="0.15">
      <c r="A206" s="1" t="s">
        <v>445</v>
      </c>
      <c r="B206" s="2" t="s">
        <v>341</v>
      </c>
      <c r="C206" s="2" t="s">
        <v>297</v>
      </c>
      <c r="D206" s="2" t="s">
        <v>431</v>
      </c>
      <c r="E206" s="6">
        <v>2400</v>
      </c>
      <c r="F206" s="18">
        <v>1230598.5</v>
      </c>
      <c r="G206" s="18">
        <v>592038.32999999996</v>
      </c>
      <c r="H206" s="18">
        <v>119228.25</v>
      </c>
      <c r="I206" s="18">
        <v>3434.01</v>
      </c>
      <c r="J206" s="18"/>
      <c r="K206" s="18">
        <v>5119.18</v>
      </c>
      <c r="L206" s="13">
        <f t="shared" si="0"/>
        <v>1950418.27</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252914.7</v>
      </c>
      <c r="G208" s="18">
        <v>104091.21</v>
      </c>
      <c r="H208" s="18">
        <f>893840.7+42538.63+863</f>
        <v>937242.33</v>
      </c>
      <c r="I208" s="18">
        <f>506918.5+95463.84</f>
        <v>602382.34</v>
      </c>
      <c r="J208" s="18"/>
      <c r="K208" s="18"/>
      <c r="L208" s="13">
        <f t="shared" si="0"/>
        <v>1896630.58</v>
      </c>
      <c r="M208" s="8"/>
      <c r="N208" s="164"/>
    </row>
    <row r="209" spans="1:14" s="3" customFormat="1" ht="12.2" customHeight="1" x14ac:dyDescent="0.15">
      <c r="A209" s="1" t="s">
        <v>448</v>
      </c>
      <c r="B209" s="2" t="s">
        <v>341</v>
      </c>
      <c r="C209" s="2" t="s">
        <v>300</v>
      </c>
      <c r="D209" s="2" t="s">
        <v>431</v>
      </c>
      <c r="E209" s="6">
        <v>2700</v>
      </c>
      <c r="F209" s="18"/>
      <c r="G209" s="18"/>
      <c r="H209" s="18">
        <f>12120.21+1012501.64</f>
        <v>1024621.85</v>
      </c>
      <c r="I209" s="18"/>
      <c r="J209" s="18"/>
      <c r="K209" s="18"/>
      <c r="L209" s="13">
        <f t="shared" si="0"/>
        <v>1024621.85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10358899.529999999</v>
      </c>
      <c r="G212" s="38">
        <f t="shared" si="1"/>
        <v>4807724.37</v>
      </c>
      <c r="H212" s="38">
        <f t="shared" si="1"/>
        <v>3787834.62</v>
      </c>
      <c r="I212" s="38">
        <f t="shared" si="1"/>
        <v>929918.12</v>
      </c>
      <c r="J212" s="38">
        <f t="shared" si="1"/>
        <v>152015.96</v>
      </c>
      <c r="K212" s="38">
        <f t="shared" si="1"/>
        <v>30963.199999999997</v>
      </c>
      <c r="L212" s="38">
        <f t="shared" si="1"/>
        <v>20067355.799999997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3298124.6+385475.48+1076</f>
        <v>3684676.08</v>
      </c>
      <c r="G216" s="18">
        <f>1643297+73764</f>
        <v>1717061</v>
      </c>
      <c r="H216" s="18">
        <f>22955.75+16065.6</f>
        <v>39021.35</v>
      </c>
      <c r="I216" s="18">
        <f>123979.64+308.59</f>
        <v>124288.23</v>
      </c>
      <c r="J216" s="18">
        <f>190345.3+3943.8</f>
        <v>194289.09999999998</v>
      </c>
      <c r="K216" s="18">
        <v>612</v>
      </c>
      <c r="L216" s="13">
        <f>SUM(F216:K216)</f>
        <v>5759947.7599999998</v>
      </c>
      <c r="M216" s="8"/>
      <c r="N216" s="164"/>
    </row>
    <row r="217" spans="1:14" s="3" customFormat="1" ht="12.2" customHeight="1" x14ac:dyDescent="0.15">
      <c r="A217" s="1" t="s">
        <v>439</v>
      </c>
      <c r="B217" s="2" t="s">
        <v>346</v>
      </c>
      <c r="C217" s="2" t="s">
        <v>291</v>
      </c>
      <c r="D217" s="2" t="s">
        <v>431</v>
      </c>
      <c r="E217" s="6">
        <v>1200</v>
      </c>
      <c r="F217" s="18">
        <f>1072485.67+589130.08+266</f>
        <v>1661881.75</v>
      </c>
      <c r="G217" s="18">
        <f>592260.18+270999.38</f>
        <v>863259.56</v>
      </c>
      <c r="H217" s="18">
        <f>881882.52</f>
        <v>881882.52</v>
      </c>
      <c r="I217" s="18">
        <v>6171.6</v>
      </c>
      <c r="J217" s="18">
        <f>3181.8+328.01</f>
        <v>3509.8100000000004</v>
      </c>
      <c r="K217" s="18">
        <v>1311.8</v>
      </c>
      <c r="L217" s="13">
        <f>SUM(F217:K217)</f>
        <v>3418017.04</v>
      </c>
      <c r="M217" s="8"/>
      <c r="N217" s="164"/>
    </row>
    <row r="218" spans="1:14" s="3" customFormat="1" ht="12.2" customHeight="1" x14ac:dyDescent="0.15">
      <c r="A218" s="1" t="s">
        <v>440</v>
      </c>
      <c r="B218" s="2" t="s">
        <v>346</v>
      </c>
      <c r="C218" s="2" t="s">
        <v>292</v>
      </c>
      <c r="D218" s="2" t="s">
        <v>431</v>
      </c>
      <c r="E218" s="6">
        <v>1300</v>
      </c>
      <c r="F218" s="18">
        <f>151969+70338+57100-506</f>
        <v>278901</v>
      </c>
      <c r="G218" s="18">
        <f>65542.91+19967+37305</f>
        <v>122814.91</v>
      </c>
      <c r="H218" s="18">
        <f>865+384</f>
        <v>1249</v>
      </c>
      <c r="I218" s="18">
        <f>6170.74+4335+2948</f>
        <v>13453.74</v>
      </c>
      <c r="J218" s="18">
        <f>1413.37+1193</f>
        <v>2606.37</v>
      </c>
      <c r="K218" s="18"/>
      <c r="L218" s="13">
        <f>SUM(F218:K218)</f>
        <v>419025.02</v>
      </c>
      <c r="M218" s="8"/>
      <c r="N218" s="164"/>
    </row>
    <row r="219" spans="1:14" s="3" customFormat="1" ht="12.2" customHeight="1" x14ac:dyDescent="0.15">
      <c r="A219" s="1" t="s">
        <v>441</v>
      </c>
      <c r="B219" s="2" t="s">
        <v>346</v>
      </c>
      <c r="C219" s="2" t="s">
        <v>293</v>
      </c>
      <c r="D219" s="2" t="s">
        <v>431</v>
      </c>
      <c r="E219" s="6">
        <v>1400</v>
      </c>
      <c r="F219" s="18">
        <v>105953.88</v>
      </c>
      <c r="G219" s="18">
        <v>24123.77</v>
      </c>
      <c r="H219" s="18">
        <v>18578.5</v>
      </c>
      <c r="I219" s="18">
        <v>18532.900000000001</v>
      </c>
      <c r="J219" s="18" t="s">
        <v>286</v>
      </c>
      <c r="K219" s="18">
        <v>8650.5</v>
      </c>
      <c r="L219" s="13">
        <f>SUM(F219:K219)</f>
        <v>175839.55000000002</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331410.72+72018.09</f>
        <v>403428.80999999994</v>
      </c>
      <c r="G221" s="18">
        <f>184933.45+27435.44</f>
        <v>212368.89</v>
      </c>
      <c r="H221" s="18">
        <f>22558+20409</f>
        <v>42967</v>
      </c>
      <c r="I221" s="18">
        <v>3795</v>
      </c>
      <c r="J221" s="18">
        <v>14645.4</v>
      </c>
      <c r="K221" s="18"/>
      <c r="L221" s="13">
        <f t="shared" ref="L221:L227" si="2">SUM(F221:K221)</f>
        <v>677205.1</v>
      </c>
      <c r="M221" s="8"/>
      <c r="N221" s="164"/>
    </row>
    <row r="222" spans="1:14" s="3" customFormat="1" ht="12.2" customHeight="1" x14ac:dyDescent="0.15">
      <c r="A222" s="1" t="s">
        <v>443</v>
      </c>
      <c r="B222" s="2" t="s">
        <v>346</v>
      </c>
      <c r="C222" s="2" t="s">
        <v>295</v>
      </c>
      <c r="D222" s="2" t="s">
        <v>431</v>
      </c>
      <c r="E222" s="6">
        <v>2200</v>
      </c>
      <c r="F222" s="18">
        <f>130473+33408.82</f>
        <v>163881.82</v>
      </c>
      <c r="G222" s="18">
        <f>63670+8863.72</f>
        <v>72533.72</v>
      </c>
      <c r="H222" s="18">
        <f>31483.53+26363.4</f>
        <v>57846.93</v>
      </c>
      <c r="I222" s="18">
        <f>24809.48+19379.19</f>
        <v>44188.67</v>
      </c>
      <c r="J222" s="18">
        <v>497</v>
      </c>
      <c r="K222" s="18"/>
      <c r="L222" s="13">
        <f t="shared" si="2"/>
        <v>338948.14</v>
      </c>
      <c r="M222" s="8"/>
      <c r="N222" s="164"/>
    </row>
    <row r="223" spans="1:14" s="3" customFormat="1" ht="12.2" customHeight="1" x14ac:dyDescent="0.15">
      <c r="A223" s="1" t="s">
        <v>444</v>
      </c>
      <c r="B223" s="2" t="s">
        <v>346</v>
      </c>
      <c r="C223" s="2" t="s">
        <v>296</v>
      </c>
      <c r="D223" s="2" t="s">
        <v>431</v>
      </c>
      <c r="E223" s="6">
        <v>2300</v>
      </c>
      <c r="F223" s="18">
        <v>403009.51</v>
      </c>
      <c r="G223" s="18">
        <v>254753</v>
      </c>
      <c r="H223" s="18">
        <v>231329</v>
      </c>
      <c r="I223" s="18">
        <v>92969</v>
      </c>
      <c r="J223" s="18">
        <v>147</v>
      </c>
      <c r="K223" s="18">
        <v>9399</v>
      </c>
      <c r="L223" s="13">
        <f t="shared" si="2"/>
        <v>991606.51</v>
      </c>
      <c r="M223" s="8"/>
      <c r="N223" s="164"/>
    </row>
    <row r="224" spans="1:14" s="3" customFormat="1" ht="12.2" customHeight="1" x14ac:dyDescent="0.15">
      <c r="A224" s="1" t="s">
        <v>445</v>
      </c>
      <c r="B224" s="2" t="s">
        <v>346</v>
      </c>
      <c r="C224" s="2" t="s">
        <v>297</v>
      </c>
      <c r="D224" s="2" t="s">
        <v>431</v>
      </c>
      <c r="E224" s="6">
        <v>2400</v>
      </c>
      <c r="F224" s="18">
        <v>577233.74</v>
      </c>
      <c r="G224" s="18">
        <v>277935.90000000002</v>
      </c>
      <c r="H224" s="18">
        <v>43734.03</v>
      </c>
      <c r="I224" s="18">
        <v>3230.21</v>
      </c>
      <c r="J224" s="18"/>
      <c r="K224" s="18">
        <v>6540</v>
      </c>
      <c r="L224" s="13">
        <f t="shared" si="2"/>
        <v>908673.88</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f>79215.42+181579.78</f>
        <v>260795.2</v>
      </c>
      <c r="G226" s="18">
        <f>33540.73+74732.15</f>
        <v>108272.88</v>
      </c>
      <c r="H226" s="18">
        <f>483331.25+30540.56</f>
        <v>513871.81</v>
      </c>
      <c r="I226" s="18">
        <f>401510.46+68538.14</f>
        <v>470048.60000000003</v>
      </c>
      <c r="J226" s="18"/>
      <c r="K226" s="18"/>
      <c r="L226" s="13">
        <f t="shared" si="2"/>
        <v>1352988.49</v>
      </c>
      <c r="M226" s="8"/>
      <c r="N226" s="164"/>
    </row>
    <row r="227" spans="1:14" s="3" customFormat="1" ht="12.2" customHeight="1" x14ac:dyDescent="0.15">
      <c r="A227" s="1" t="s">
        <v>448</v>
      </c>
      <c r="B227" s="2" t="s">
        <v>346</v>
      </c>
      <c r="C227" s="2" t="s">
        <v>300</v>
      </c>
      <c r="D227" s="2" t="s">
        <v>431</v>
      </c>
      <c r="E227" s="6">
        <v>2700</v>
      </c>
      <c r="F227" s="18"/>
      <c r="G227" s="18"/>
      <c r="H227" s="18">
        <f>34349.4+726924.25</f>
        <v>761273.65</v>
      </c>
      <c r="I227" s="18"/>
      <c r="J227" s="18"/>
      <c r="K227" s="18"/>
      <c r="L227" s="13">
        <f t="shared" si="2"/>
        <v>761273.65</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7539761.79</v>
      </c>
      <c r="G230" s="38">
        <f>SUM(G216:G229)</f>
        <v>3653123.6300000004</v>
      </c>
      <c r="H230" s="38">
        <f>SUM(H216:H229)</f>
        <v>2591753.79</v>
      </c>
      <c r="I230" s="38">
        <f>SUM(I216:I229)</f>
        <v>776677.95000000007</v>
      </c>
      <c r="J230" s="38">
        <f>SUM(J216:J229)</f>
        <v>215694.67999999996</v>
      </c>
      <c r="K230" s="38">
        <f t="shared" si="3"/>
        <v>26513.3</v>
      </c>
      <c r="L230" s="38">
        <f t="shared" si="3"/>
        <v>14803525.140000002</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2771341.24+454310.39</f>
        <v>3225651.6300000004</v>
      </c>
      <c r="G234" s="18">
        <f>1312426.98+86936.84</f>
        <v>1399363.82</v>
      </c>
      <c r="H234" s="18">
        <f>25671.74+18934.46</f>
        <v>44606.2</v>
      </c>
      <c r="I234" s="18">
        <f>109511.96+363.69</f>
        <v>109875.65000000001</v>
      </c>
      <c r="J234" s="18">
        <f>117907.97+4648.05</f>
        <v>122556.02</v>
      </c>
      <c r="K234" s="18">
        <v>3738</v>
      </c>
      <c r="L234" s="13">
        <f>SUM(F234:K234)</f>
        <v>4905791.32</v>
      </c>
      <c r="M234" s="8"/>
      <c r="N234" s="164"/>
    </row>
    <row r="235" spans="1:14" s="3" customFormat="1" ht="12.2" customHeight="1" x14ac:dyDescent="0.15">
      <c r="A235" s="1" t="s">
        <v>439</v>
      </c>
      <c r="B235" s="2" t="s">
        <v>350</v>
      </c>
      <c r="C235" s="2" t="s">
        <v>291</v>
      </c>
      <c r="D235" s="2" t="s">
        <v>431</v>
      </c>
      <c r="E235" s="6">
        <v>1200</v>
      </c>
      <c r="F235" s="18">
        <f>1557173.71+694331.08</f>
        <v>2251504.79</v>
      </c>
      <c r="G235" s="18">
        <f>752568.53+319392.13</f>
        <v>1071960.6600000001</v>
      </c>
      <c r="H235" s="18">
        <v>1039361.54</v>
      </c>
      <c r="I235" s="18">
        <f>13004.51+7273.67</f>
        <v>20278.18</v>
      </c>
      <c r="J235" s="18">
        <f>853.32+3749.46</f>
        <v>4602.78</v>
      </c>
      <c r="K235" s="18">
        <v>1546.05</v>
      </c>
      <c r="L235" s="13">
        <f>SUM(F235:K235)</f>
        <v>4389254</v>
      </c>
      <c r="M235" s="8"/>
      <c r="N235" s="164"/>
    </row>
    <row r="236" spans="1:14" s="3" customFormat="1" ht="12.2" customHeight="1" x14ac:dyDescent="0.15">
      <c r="A236" s="1" t="s">
        <v>440</v>
      </c>
      <c r="B236" s="2" t="s">
        <v>350</v>
      </c>
      <c r="C236" s="2" t="s">
        <v>292</v>
      </c>
      <c r="D236" s="2" t="s">
        <v>431</v>
      </c>
      <c r="E236" s="6">
        <v>1300</v>
      </c>
      <c r="F236" s="18">
        <v>339955.28</v>
      </c>
      <c r="G236" s="18">
        <v>130367.89</v>
      </c>
      <c r="H236" s="18">
        <v>71611.05</v>
      </c>
      <c r="I236" s="18">
        <f>47291.18</f>
        <v>47291.18</v>
      </c>
      <c r="J236" s="18">
        <v>3424.4</v>
      </c>
      <c r="K236" s="18"/>
      <c r="L236" s="13">
        <f>SUM(F236:K236)</f>
        <v>592649.80000000016</v>
      </c>
      <c r="M236" s="8"/>
      <c r="N236" s="164"/>
    </row>
    <row r="237" spans="1:14" s="3" customFormat="1" ht="12.2" customHeight="1" x14ac:dyDescent="0.15">
      <c r="A237" s="1" t="s">
        <v>441</v>
      </c>
      <c r="B237" s="2" t="s">
        <v>350</v>
      </c>
      <c r="C237" s="2" t="s">
        <v>293</v>
      </c>
      <c r="D237" s="2" t="s">
        <v>431</v>
      </c>
      <c r="E237" s="6">
        <v>1400</v>
      </c>
      <c r="F237" s="18">
        <v>379597.74</v>
      </c>
      <c r="G237" s="18">
        <f>91178.54+2594</f>
        <v>93772.54</v>
      </c>
      <c r="H237" s="18">
        <v>111202.65</v>
      </c>
      <c r="I237" s="18">
        <v>18009.45</v>
      </c>
      <c r="J237" s="18">
        <v>38961.94</v>
      </c>
      <c r="K237" s="18">
        <v>34478.28</v>
      </c>
      <c r="L237" s="13">
        <f>SUM(F237:K237)</f>
        <v>676022.59999999986</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712091.87+84878.46</f>
        <v>796970.33</v>
      </c>
      <c r="G239" s="18">
        <f>392006.6+32334.62</f>
        <v>424341.22</v>
      </c>
      <c r="H239" s="18">
        <f>84632+26587</f>
        <v>111219</v>
      </c>
      <c r="I239" s="18">
        <v>12102.67</v>
      </c>
      <c r="J239" s="18">
        <f>1242.98+17260.65</f>
        <v>18503.63</v>
      </c>
      <c r="K239" s="18">
        <v>15388</v>
      </c>
      <c r="L239" s="13">
        <f t="shared" ref="L239:L245" si="4">SUM(F239:K239)</f>
        <v>1378524.8499999996</v>
      </c>
      <c r="M239" s="8"/>
      <c r="N239" s="164"/>
    </row>
    <row r="240" spans="1:14" s="3" customFormat="1" ht="12.2" customHeight="1" x14ac:dyDescent="0.15">
      <c r="A240" s="1" t="s">
        <v>443</v>
      </c>
      <c r="B240" s="2" t="s">
        <v>350</v>
      </c>
      <c r="C240" s="2" t="s">
        <v>295</v>
      </c>
      <c r="D240" s="2" t="s">
        <v>431</v>
      </c>
      <c r="E240" s="6">
        <v>2200</v>
      </c>
      <c r="F240" s="18">
        <f>120048.28+39374.68</f>
        <v>159422.96</v>
      </c>
      <c r="G240" s="18">
        <f>52460.12+10446.53</f>
        <v>62906.65</v>
      </c>
      <c r="H240" s="18">
        <f>500+37105.59+31071</f>
        <v>68676.59</v>
      </c>
      <c r="I240" s="18">
        <f>27409.51+22839.76+33</f>
        <v>50282.27</v>
      </c>
      <c r="J240" s="18">
        <v>3971.8</v>
      </c>
      <c r="K240" s="18"/>
      <c r="L240" s="13">
        <f t="shared" si="4"/>
        <v>345260.26999999996</v>
      </c>
      <c r="M240" s="8"/>
      <c r="N240" s="164"/>
    </row>
    <row r="241" spans="1:14" s="3" customFormat="1" ht="12.2" customHeight="1" x14ac:dyDescent="0.15">
      <c r="A241" s="1" t="s">
        <v>444</v>
      </c>
      <c r="B241" s="2" t="s">
        <v>350</v>
      </c>
      <c r="C241" s="2" t="s">
        <v>296</v>
      </c>
      <c r="D241" s="2" t="s">
        <v>431</v>
      </c>
      <c r="E241" s="6">
        <v>2300</v>
      </c>
      <c r="F241" s="18">
        <v>474975.49</v>
      </c>
      <c r="G241" s="18">
        <v>300244</v>
      </c>
      <c r="H241" s="18">
        <v>272638</v>
      </c>
      <c r="I241" s="18">
        <f>109569.55+102</f>
        <v>109671.55</v>
      </c>
      <c r="J241" s="18">
        <v>173.25</v>
      </c>
      <c r="K241" s="18">
        <v>11076.97</v>
      </c>
      <c r="L241" s="13">
        <f t="shared" si="4"/>
        <v>1168779.26</v>
      </c>
      <c r="M241" s="8"/>
      <c r="N241" s="164"/>
    </row>
    <row r="242" spans="1:14" s="3" customFormat="1" ht="12.2" customHeight="1" x14ac:dyDescent="0.15">
      <c r="A242" s="1" t="s">
        <v>445</v>
      </c>
      <c r="B242" s="2" t="s">
        <v>350</v>
      </c>
      <c r="C242" s="2" t="s">
        <v>297</v>
      </c>
      <c r="D242" s="2" t="s">
        <v>431</v>
      </c>
      <c r="E242" s="6">
        <v>2400</v>
      </c>
      <c r="F242" s="18">
        <v>624219.98</v>
      </c>
      <c r="G242" s="18">
        <f>274993+818</f>
        <v>275811</v>
      </c>
      <c r="H242" s="18">
        <v>93990.81</v>
      </c>
      <c r="I242" s="18">
        <v>20408.38</v>
      </c>
      <c r="J242" s="18"/>
      <c r="K242" s="18">
        <v>33816.17</v>
      </c>
      <c r="L242" s="13">
        <f t="shared" si="4"/>
        <v>1048246.3400000001</v>
      </c>
      <c r="M242" s="8"/>
      <c r="N242" s="164"/>
    </row>
    <row r="243" spans="1:14" s="3" customFormat="1" ht="12.2" customHeight="1" x14ac:dyDescent="0.15">
      <c r="A243" s="1" t="s">
        <v>446</v>
      </c>
      <c r="B243" s="2" t="s">
        <v>350</v>
      </c>
      <c r="C243" s="2" t="s">
        <v>298</v>
      </c>
      <c r="D243" s="2" t="s">
        <v>431</v>
      </c>
      <c r="E243" s="6">
        <v>2500</v>
      </c>
      <c r="F243" s="18"/>
      <c r="G243" s="18"/>
      <c r="H243" s="18"/>
      <c r="I243" s="18"/>
      <c r="J243" s="18">
        <v>0</v>
      </c>
      <c r="K243" s="18"/>
      <c r="L243" s="13">
        <f t="shared" si="4"/>
        <v>0</v>
      </c>
      <c r="M243" s="8"/>
      <c r="N243" s="164"/>
    </row>
    <row r="244" spans="1:14" s="3" customFormat="1" ht="12.2" customHeight="1" x14ac:dyDescent="0.15">
      <c r="A244" s="1" t="s">
        <v>447</v>
      </c>
      <c r="B244" s="2" t="s">
        <v>350</v>
      </c>
      <c r="C244" s="2" t="s">
        <v>299</v>
      </c>
      <c r="D244" s="2" t="s">
        <v>431</v>
      </c>
      <c r="E244" s="6">
        <v>2600</v>
      </c>
      <c r="F244" s="18">
        <f>53336.99+214004.74</f>
        <v>267341.73</v>
      </c>
      <c r="G244" s="18">
        <f>19232.59+88077.18</f>
        <v>107309.76999999999</v>
      </c>
      <c r="H244" s="18">
        <f>476210.04+35994.23</f>
        <v>512204.26999999996</v>
      </c>
      <c r="I244" s="18">
        <f>391703.74+80777.09</f>
        <v>472480.82999999996</v>
      </c>
      <c r="J244" s="18">
        <v>11143.05</v>
      </c>
      <c r="K244" s="18"/>
      <c r="L244" s="13">
        <f t="shared" si="4"/>
        <v>1370479.6500000001</v>
      </c>
      <c r="M244" s="8"/>
      <c r="N244" s="164"/>
    </row>
    <row r="245" spans="1:14" s="3" customFormat="1" ht="12.2" customHeight="1" x14ac:dyDescent="0.15">
      <c r="A245" s="1" t="s">
        <v>448</v>
      </c>
      <c r="B245" s="2" t="s">
        <v>350</v>
      </c>
      <c r="C245" s="2" t="s">
        <v>300</v>
      </c>
      <c r="D245" s="2" t="s">
        <v>431</v>
      </c>
      <c r="E245" s="6">
        <v>2700</v>
      </c>
      <c r="F245" s="18"/>
      <c r="G245" s="18"/>
      <c r="H245" s="18">
        <f>296090.97+856732.15+14185</f>
        <v>1167008.1200000001</v>
      </c>
      <c r="I245" s="18"/>
      <c r="J245" s="18"/>
      <c r="K245" s="18"/>
      <c r="L245" s="13">
        <f t="shared" si="4"/>
        <v>1167008.1200000001</v>
      </c>
      <c r="M245" s="8"/>
      <c r="N245" s="164"/>
    </row>
    <row r="246" spans="1:14" s="3" customFormat="1" ht="12.2" customHeight="1" x14ac:dyDescent="0.15">
      <c r="A246" s="1" t="s">
        <v>449</v>
      </c>
      <c r="B246" s="2" t="s">
        <v>350</v>
      </c>
      <c r="C246" s="2" t="s">
        <v>343</v>
      </c>
      <c r="D246" s="2" t="s">
        <v>431</v>
      </c>
      <c r="E246" s="6">
        <v>2800</v>
      </c>
      <c r="F246" s="18"/>
      <c r="G246" s="18"/>
      <c r="H246" s="18">
        <v>4927</v>
      </c>
      <c r="I246" s="18"/>
      <c r="J246" s="18"/>
      <c r="K246" s="18"/>
      <c r="L246" s="13">
        <f>SUM(F246:K246)</f>
        <v>4927</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8519639.9300000016</v>
      </c>
      <c r="G248" s="38">
        <f t="shared" si="5"/>
        <v>3866077.5500000007</v>
      </c>
      <c r="H248" s="38">
        <f t="shared" si="5"/>
        <v>3497445.23</v>
      </c>
      <c r="I248" s="38">
        <f t="shared" si="5"/>
        <v>860400.15999999992</v>
      </c>
      <c r="J248" s="38">
        <f t="shared" si="5"/>
        <v>203336.87</v>
      </c>
      <c r="K248" s="38">
        <f t="shared" si="5"/>
        <v>100043.47</v>
      </c>
      <c r="L248" s="38">
        <f t="shared" si="5"/>
        <v>17046943.210000001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1431259</v>
      </c>
      <c r="I256" s="18"/>
      <c r="J256" s="18"/>
      <c r="K256" s="18"/>
      <c r="L256" s="13">
        <f t="shared" si="6"/>
        <v>1431259</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1431259</v>
      </c>
      <c r="I257" s="38">
        <f t="shared" si="7"/>
        <v>0</v>
      </c>
      <c r="J257" s="38">
        <f t="shared" si="7"/>
        <v>0</v>
      </c>
      <c r="K257" s="38">
        <f t="shared" si="7"/>
        <v>0</v>
      </c>
      <c r="L257" s="38">
        <f>SUM(F257:K257)</f>
        <v>1431259</v>
      </c>
      <c r="M257" s="8"/>
      <c r="N257" s="164"/>
    </row>
    <row r="258" spans="1:14" s="3" customFormat="1" ht="12.2" customHeight="1" thickTop="1" x14ac:dyDescent="0.15">
      <c r="A258" s="35" t="s">
        <v>462</v>
      </c>
      <c r="B258" s="37">
        <v>10</v>
      </c>
      <c r="C258" s="37">
        <v>8</v>
      </c>
      <c r="D258" s="36" t="s">
        <v>431</v>
      </c>
      <c r="E258" s="37"/>
      <c r="F258" s="38">
        <f t="shared" ref="F258:L258" si="8">F212+F230+F248+F257</f>
        <v>26418301.25</v>
      </c>
      <c r="G258" s="38">
        <f t="shared" si="8"/>
        <v>12326925.550000001</v>
      </c>
      <c r="H258" s="38">
        <f t="shared" si="8"/>
        <v>11308292.640000001</v>
      </c>
      <c r="I258" s="38">
        <f t="shared" si="8"/>
        <v>2566996.23</v>
      </c>
      <c r="J258" s="38">
        <f t="shared" si="8"/>
        <v>571047.51</v>
      </c>
      <c r="K258" s="38">
        <f t="shared" si="8"/>
        <v>157519.97</v>
      </c>
      <c r="L258" s="38">
        <f t="shared" si="8"/>
        <v>53349083.149999999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180000</v>
      </c>
      <c r="L261" s="13">
        <f>SUM(F261:K261)</f>
        <v>180000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4590</v>
      </c>
      <c r="L262" s="13">
        <f>SUM(F262:K262)</f>
        <v>4590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1000000</v>
      </c>
      <c r="L267" s="13">
        <f t="shared" si="9"/>
        <v>1000000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1184590</v>
      </c>
      <c r="L271" s="38">
        <f t="shared" si="9"/>
        <v>1184590</v>
      </c>
      <c r="M271" s="8"/>
      <c r="N271" s="164"/>
    </row>
    <row r="272" spans="1:14" s="33" customFormat="1" ht="12.2" customHeight="1" thickTop="1" x14ac:dyDescent="0.2">
      <c r="A272" s="40" t="s">
        <v>464</v>
      </c>
      <c r="B272" s="37">
        <v>10</v>
      </c>
      <c r="C272" s="37">
        <v>18</v>
      </c>
      <c r="D272" s="36" t="s">
        <v>431</v>
      </c>
      <c r="E272" s="37"/>
      <c r="F272" s="39">
        <f t="shared" ref="F272:L272" si="11">F258+F271</f>
        <v>26418301.25</v>
      </c>
      <c r="G272" s="39">
        <f t="shared" si="11"/>
        <v>12326925.550000001</v>
      </c>
      <c r="H272" s="39">
        <f t="shared" si="11"/>
        <v>11308292.640000001</v>
      </c>
      <c r="I272" s="39">
        <f t="shared" si="11"/>
        <v>2566996.23</v>
      </c>
      <c r="J272" s="39">
        <f t="shared" si="11"/>
        <v>571047.51</v>
      </c>
      <c r="K272" s="39">
        <f t="shared" si="11"/>
        <v>1342109.97</v>
      </c>
      <c r="L272" s="39">
        <f t="shared" si="11"/>
        <v>54533673.149999999</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193303.73+132298.56+6589.05</f>
        <v>332191.34000000003</v>
      </c>
      <c r="G277" s="18">
        <f>56843.46+37945.69</f>
        <v>94789.15</v>
      </c>
      <c r="H277" s="18">
        <f>9675+24272.08</f>
        <v>33947.08</v>
      </c>
      <c r="I277" s="18">
        <f>35583.68+56447.68</f>
        <v>92031.360000000001</v>
      </c>
      <c r="J277" s="18">
        <v>153519.03</v>
      </c>
      <c r="K277" s="18">
        <v>37</v>
      </c>
      <c r="L277" s="13">
        <f>SUM(F277:K277)</f>
        <v>706514.96000000008</v>
      </c>
      <c r="M277" s="8"/>
      <c r="N277" s="164"/>
    </row>
    <row r="278" spans="1:14" s="3" customFormat="1" ht="12.2" customHeight="1" x14ac:dyDescent="0.15">
      <c r="A278" s="1" t="s">
        <v>439</v>
      </c>
      <c r="B278" s="2" t="s">
        <v>357</v>
      </c>
      <c r="C278" s="2" t="s">
        <v>291</v>
      </c>
      <c r="D278" s="2" t="s">
        <v>431</v>
      </c>
      <c r="E278" s="6">
        <v>1200</v>
      </c>
      <c r="F278" s="18">
        <v>64070.37</v>
      </c>
      <c r="G278" s="18">
        <v>35348.1</v>
      </c>
      <c r="H278" s="18">
        <v>211481.78</v>
      </c>
      <c r="I278" s="18">
        <v>18946.75</v>
      </c>
      <c r="J278" s="18">
        <v>7422.82</v>
      </c>
      <c r="K278" s="18"/>
      <c r="L278" s="13">
        <f>SUM(F278:K278)</f>
        <v>337269.82</v>
      </c>
      <c r="M278" s="8"/>
      <c r="N278" s="164"/>
    </row>
    <row r="279" spans="1:14" s="3" customFormat="1" ht="12.2" customHeight="1" x14ac:dyDescent="0.15">
      <c r="A279" s="1" t="s">
        <v>440</v>
      </c>
      <c r="B279" s="2" t="s">
        <v>357</v>
      </c>
      <c r="C279" s="2" t="s">
        <v>292</v>
      </c>
      <c r="D279" s="2" t="s">
        <v>431</v>
      </c>
      <c r="E279" s="6">
        <v>1300</v>
      </c>
      <c r="F279" s="18"/>
      <c r="G279" s="18"/>
      <c r="H279" s="18"/>
      <c r="I279" s="18">
        <v>3323.77</v>
      </c>
      <c r="J279" s="18"/>
      <c r="K279" s="18"/>
      <c r="L279" s="13">
        <f>SUM(F279:K279)</f>
        <v>3323.77</v>
      </c>
      <c r="M279" s="8"/>
      <c r="N279" s="164"/>
    </row>
    <row r="280" spans="1:14" s="3" customFormat="1" ht="12.2" customHeight="1" x14ac:dyDescent="0.15">
      <c r="A280" s="1" t="s">
        <v>441</v>
      </c>
      <c r="B280" s="2" t="s">
        <v>357</v>
      </c>
      <c r="C280" s="2" t="s">
        <v>293</v>
      </c>
      <c r="D280" s="2" t="s">
        <v>431</v>
      </c>
      <c r="E280" s="6">
        <v>1400</v>
      </c>
      <c r="F280" s="18">
        <v>19291.54</v>
      </c>
      <c r="G280" s="18">
        <v>4887.6499999999996</v>
      </c>
      <c r="H280" s="18">
        <v>11109.89</v>
      </c>
      <c r="I280" s="18">
        <v>785.62</v>
      </c>
      <c r="J280" s="18"/>
      <c r="K280" s="18"/>
      <c r="L280" s="13">
        <f>SUM(F280:K280)</f>
        <v>36074.700000000004</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3337.31</v>
      </c>
      <c r="G282" s="18">
        <v>724.07</v>
      </c>
      <c r="H282" s="18">
        <v>23373.48</v>
      </c>
      <c r="I282" s="18"/>
      <c r="J282" s="18"/>
      <c r="K282" s="18">
        <v>989.58</v>
      </c>
      <c r="L282" s="13">
        <f t="shared" ref="L282:L288" si="12">SUM(F282:K282)</f>
        <v>28424.440000000002</v>
      </c>
      <c r="M282" s="8"/>
      <c r="N282" s="164"/>
    </row>
    <row r="283" spans="1:14" s="3" customFormat="1" ht="12.2" customHeight="1" x14ac:dyDescent="0.15">
      <c r="A283" s="1" t="s">
        <v>443</v>
      </c>
      <c r="B283" s="2" t="s">
        <v>357</v>
      </c>
      <c r="C283" s="2" t="s">
        <v>295</v>
      </c>
      <c r="D283" s="2" t="s">
        <v>431</v>
      </c>
      <c r="E283" s="6">
        <v>2200</v>
      </c>
      <c r="F283" s="18">
        <f>3850+1240.61</f>
        <v>5090.6099999999997</v>
      </c>
      <c r="G283" s="18">
        <f>1050.67+3284.88</f>
        <v>4335.55</v>
      </c>
      <c r="H283" s="18">
        <f>9000+41832.66+2621.19</f>
        <v>53453.850000000006</v>
      </c>
      <c r="I283" s="18">
        <v>1611.06</v>
      </c>
      <c r="J283" s="18"/>
      <c r="K283" s="18">
        <v>102.8</v>
      </c>
      <c r="L283" s="13">
        <f t="shared" si="12"/>
        <v>64593.87000000001</v>
      </c>
      <c r="M283" s="8"/>
      <c r="N283" s="164"/>
    </row>
    <row r="284" spans="1:14" s="3" customFormat="1" ht="12.2" customHeight="1" x14ac:dyDescent="0.15">
      <c r="A284" s="1" t="s">
        <v>444</v>
      </c>
      <c r="B284" s="2" t="s">
        <v>357</v>
      </c>
      <c r="C284" s="2" t="s">
        <v>296</v>
      </c>
      <c r="D284" s="2" t="s">
        <v>431</v>
      </c>
      <c r="E284" s="6">
        <v>2300</v>
      </c>
      <c r="F284" s="18">
        <v>2730</v>
      </c>
      <c r="G284" s="18">
        <v>697.36</v>
      </c>
      <c r="H284" s="18">
        <v>12719.51</v>
      </c>
      <c r="I284" s="18"/>
      <c r="J284" s="18"/>
      <c r="K284" s="18"/>
      <c r="L284" s="13">
        <f t="shared" si="12"/>
        <v>16146.87</v>
      </c>
      <c r="M284" s="8"/>
      <c r="N284" s="164"/>
    </row>
    <row r="285" spans="1:14" s="3" customFormat="1" ht="12.2" customHeight="1" x14ac:dyDescent="0.15">
      <c r="A285" s="1" t="s">
        <v>445</v>
      </c>
      <c r="B285" s="2" t="s">
        <v>357</v>
      </c>
      <c r="C285" s="2" t="s">
        <v>297</v>
      </c>
      <c r="D285" s="2" t="s">
        <v>431</v>
      </c>
      <c r="E285" s="6">
        <v>2400</v>
      </c>
      <c r="F285" s="18">
        <v>27921.200000000001</v>
      </c>
      <c r="G285" s="18">
        <v>31461.98</v>
      </c>
      <c r="H285" s="18">
        <f>23912.85</f>
        <v>23912.85</v>
      </c>
      <c r="I285" s="18">
        <v>4543.8900000000003</v>
      </c>
      <c r="J285" s="18"/>
      <c r="K285" s="18">
        <v>1187.94</v>
      </c>
      <c r="L285" s="13">
        <f t="shared" si="12"/>
        <v>89027.86</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9707.1</v>
      </c>
      <c r="I287" s="18">
        <v>16550.96</v>
      </c>
      <c r="J287" s="18">
        <v>12981.42</v>
      </c>
      <c r="K287" s="18"/>
      <c r="L287" s="13">
        <f t="shared" si="12"/>
        <v>39239.479999999996</v>
      </c>
      <c r="M287" s="8"/>
      <c r="N287" s="164"/>
    </row>
    <row r="288" spans="1:14" s="3" customFormat="1" ht="12.2" customHeight="1" x14ac:dyDescent="0.15">
      <c r="A288" s="1" t="s">
        <v>448</v>
      </c>
      <c r="B288" s="2" t="s">
        <v>357</v>
      </c>
      <c r="C288" s="2" t="s">
        <v>300</v>
      </c>
      <c r="D288" s="2" t="s">
        <v>431</v>
      </c>
      <c r="E288" s="6">
        <v>2700</v>
      </c>
      <c r="F288" s="18"/>
      <c r="G288" s="18"/>
      <c r="H288" s="18">
        <f>76197.15+606.7</f>
        <v>76803.849999999991</v>
      </c>
      <c r="I288" s="18"/>
      <c r="J288" s="18"/>
      <c r="K288" s="18"/>
      <c r="L288" s="13">
        <f t="shared" si="12"/>
        <v>76803.849999999991</v>
      </c>
      <c r="M288" s="8"/>
      <c r="N288" s="164"/>
    </row>
    <row r="289" spans="1:14" s="3" customFormat="1" ht="12.2" customHeight="1" x14ac:dyDescent="0.15">
      <c r="A289" s="1" t="s">
        <v>449</v>
      </c>
      <c r="B289" s="2" t="s">
        <v>357</v>
      </c>
      <c r="C289" s="2" t="s">
        <v>343</v>
      </c>
      <c r="D289" s="2" t="s">
        <v>431</v>
      </c>
      <c r="E289" s="6">
        <v>2800</v>
      </c>
      <c r="F289" s="18"/>
      <c r="G289" s="18">
        <v>6545.59</v>
      </c>
      <c r="H289" s="18"/>
      <c r="I289" s="18"/>
      <c r="J289" s="18"/>
      <c r="K289" s="18"/>
      <c r="L289" s="13">
        <f>SUM(F289:K289)</f>
        <v>6545.59</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454632.37</v>
      </c>
      <c r="G291" s="39">
        <f t="shared" si="13"/>
        <v>178789.44999999998</v>
      </c>
      <c r="H291" s="39">
        <f t="shared" si="13"/>
        <v>456509.3899999999</v>
      </c>
      <c r="I291" s="39">
        <f t="shared" si="13"/>
        <v>137793.41</v>
      </c>
      <c r="J291" s="39">
        <f t="shared" si="13"/>
        <v>173923.27000000002</v>
      </c>
      <c r="K291" s="39">
        <f t="shared" si="13"/>
        <v>2317.3199999999997</v>
      </c>
      <c r="L291" s="38">
        <f t="shared" si="13"/>
        <v>1403965.2100000004</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f>94983.58+4730.6+29800</f>
        <v>129514.18000000001</v>
      </c>
      <c r="G296" s="18">
        <v>27243.06</v>
      </c>
      <c r="H296" s="18">
        <v>17426.11</v>
      </c>
      <c r="I296" s="18">
        <v>40526.54</v>
      </c>
      <c r="J296" s="18">
        <v>110218.79</v>
      </c>
      <c r="K296" s="18"/>
      <c r="L296" s="13">
        <f>SUM(F296:K296)</f>
        <v>324928.68000000005</v>
      </c>
      <c r="M296" s="8"/>
      <c r="N296" s="164"/>
    </row>
    <row r="297" spans="1:14" s="3" customFormat="1" ht="12.2" customHeight="1" x14ac:dyDescent="0.15">
      <c r="A297" s="1" t="s">
        <v>439</v>
      </c>
      <c r="B297" s="2" t="s">
        <v>358</v>
      </c>
      <c r="C297" s="2" t="s">
        <v>291</v>
      </c>
      <c r="D297" s="2" t="s">
        <v>431</v>
      </c>
      <c r="E297" s="6">
        <v>1200</v>
      </c>
      <c r="F297" s="18">
        <v>45999.24</v>
      </c>
      <c r="G297" s="18">
        <v>25378.12</v>
      </c>
      <c r="H297" s="18">
        <v>151833.07</v>
      </c>
      <c r="I297" s="18">
        <v>13602.79</v>
      </c>
      <c r="J297" s="18">
        <v>5329.2</v>
      </c>
      <c r="K297" s="18"/>
      <c r="L297" s="13">
        <f>SUM(F297:K297)</f>
        <v>242142.42</v>
      </c>
      <c r="M297" s="8"/>
      <c r="N297" s="164"/>
    </row>
    <row r="298" spans="1:14" s="3" customFormat="1" ht="12.2" customHeight="1" x14ac:dyDescent="0.15">
      <c r="A298" s="1" t="s">
        <v>440</v>
      </c>
      <c r="B298" s="2" t="s">
        <v>358</v>
      </c>
      <c r="C298" s="2" t="s">
        <v>292</v>
      </c>
      <c r="D298" s="2" t="s">
        <v>431</v>
      </c>
      <c r="E298" s="6">
        <v>1300</v>
      </c>
      <c r="F298" s="18"/>
      <c r="G298" s="18"/>
      <c r="H298" s="18"/>
      <c r="I298" s="18">
        <v>2386.3000000000002</v>
      </c>
      <c r="J298" s="18"/>
      <c r="K298" s="18"/>
      <c r="L298" s="13">
        <f>SUM(F298:K298)</f>
        <v>2386.3000000000002</v>
      </c>
      <c r="M298" s="8"/>
      <c r="N298" s="164"/>
    </row>
    <row r="299" spans="1:14" s="3" customFormat="1" ht="12.2" customHeight="1" x14ac:dyDescent="0.15">
      <c r="A299" s="1" t="s">
        <v>441</v>
      </c>
      <c r="B299" s="2" t="s">
        <v>358</v>
      </c>
      <c r="C299" s="2" t="s">
        <v>293</v>
      </c>
      <c r="D299" s="2" t="s">
        <v>431</v>
      </c>
      <c r="E299" s="6">
        <v>1400</v>
      </c>
      <c r="F299" s="18">
        <v>1650</v>
      </c>
      <c r="G299" s="18">
        <v>350</v>
      </c>
      <c r="H299" s="18">
        <f>1200+7976.33</f>
        <v>9176.33</v>
      </c>
      <c r="I299" s="18">
        <v>5071.0200000000004</v>
      </c>
      <c r="J299" s="18"/>
      <c r="K299" s="18">
        <v>2165</v>
      </c>
      <c r="L299" s="13">
        <f>SUM(F299:K299)</f>
        <v>18412.349999999999</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2396.02</v>
      </c>
      <c r="G301" s="18">
        <v>519.84</v>
      </c>
      <c r="H301" s="18">
        <v>16780</v>
      </c>
      <c r="I301" s="18"/>
      <c r="J301" s="18"/>
      <c r="K301" s="18"/>
      <c r="L301" s="13">
        <f t="shared" ref="L301:L307" si="14">SUM(F301:K301)</f>
        <v>19695.86</v>
      </c>
      <c r="M301" s="8"/>
      <c r="N301" s="164"/>
    </row>
    <row r="302" spans="1:14" s="3" customFormat="1" ht="12.2" customHeight="1" x14ac:dyDescent="0.15">
      <c r="A302" s="1" t="s">
        <v>443</v>
      </c>
      <c r="B302" s="2" t="s">
        <v>358</v>
      </c>
      <c r="C302" s="2" t="s">
        <v>295</v>
      </c>
      <c r="D302" s="2" t="s">
        <v>431</v>
      </c>
      <c r="E302" s="6">
        <v>2200</v>
      </c>
      <c r="F302" s="18">
        <v>8716.34</v>
      </c>
      <c r="G302" s="18">
        <v>2358.38</v>
      </c>
      <c r="H302" s="18">
        <f>30033.71+1881.88</f>
        <v>31915.59</v>
      </c>
      <c r="I302" s="18">
        <v>1155.6600000000001</v>
      </c>
      <c r="J302" s="18"/>
      <c r="K302" s="18">
        <v>73.81</v>
      </c>
      <c r="L302" s="13">
        <f t="shared" si="14"/>
        <v>44219.78</v>
      </c>
      <c r="M302" s="8"/>
      <c r="N302" s="164"/>
    </row>
    <row r="303" spans="1:14" s="3" customFormat="1" ht="12.2" customHeight="1" x14ac:dyDescent="0.15">
      <c r="A303" s="1" t="s">
        <v>444</v>
      </c>
      <c r="B303" s="2" t="s">
        <v>358</v>
      </c>
      <c r="C303" s="2" t="s">
        <v>296</v>
      </c>
      <c r="D303" s="2" t="s">
        <v>431</v>
      </c>
      <c r="E303" s="6">
        <v>2300</v>
      </c>
      <c r="F303" s="18">
        <v>1960</v>
      </c>
      <c r="G303" s="18">
        <v>500.67</v>
      </c>
      <c r="H303" s="18">
        <v>9131.9500000000007</v>
      </c>
      <c r="I303" s="18"/>
      <c r="J303" s="18"/>
      <c r="K303" s="18"/>
      <c r="L303" s="13">
        <f t="shared" si="14"/>
        <v>11592.62</v>
      </c>
      <c r="M303" s="8"/>
      <c r="N303" s="164"/>
    </row>
    <row r="304" spans="1:14" s="3" customFormat="1" ht="12.2" customHeight="1" x14ac:dyDescent="0.15">
      <c r="A304" s="1" t="s">
        <v>445</v>
      </c>
      <c r="B304" s="2" t="s">
        <v>358</v>
      </c>
      <c r="C304" s="2" t="s">
        <v>297</v>
      </c>
      <c r="D304" s="2" t="s">
        <v>431</v>
      </c>
      <c r="E304" s="6">
        <v>2400</v>
      </c>
      <c r="F304" s="18"/>
      <c r="G304" s="18"/>
      <c r="H304" s="18">
        <f>17168.2</f>
        <v>17168.2</v>
      </c>
      <c r="I304" s="18">
        <v>3262.28</v>
      </c>
      <c r="J304" s="18"/>
      <c r="K304" s="18">
        <v>852.88</v>
      </c>
      <c r="L304" s="13">
        <f t="shared" si="14"/>
        <v>21283.360000000001</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v>6969.2</v>
      </c>
      <c r="I306" s="18">
        <v>11882.74</v>
      </c>
      <c r="J306" s="18">
        <v>9319.99</v>
      </c>
      <c r="K306" s="18"/>
      <c r="L306" s="13">
        <f t="shared" si="14"/>
        <v>28171.93</v>
      </c>
      <c r="M306" s="8"/>
      <c r="N306" s="164"/>
    </row>
    <row r="307" spans="1:14" s="3" customFormat="1" ht="12.2" customHeight="1" x14ac:dyDescent="0.15">
      <c r="A307" s="1" t="s">
        <v>448</v>
      </c>
      <c r="B307" s="2" t="s">
        <v>358</v>
      </c>
      <c r="C307" s="2" t="s">
        <v>300</v>
      </c>
      <c r="D307" s="2" t="s">
        <v>431</v>
      </c>
      <c r="E307" s="6">
        <v>2700</v>
      </c>
      <c r="F307" s="18"/>
      <c r="G307" s="18"/>
      <c r="H307" s="18">
        <v>435.58</v>
      </c>
      <c r="I307" s="18"/>
      <c r="J307" s="18"/>
      <c r="K307" s="18"/>
      <c r="L307" s="13">
        <f t="shared" si="14"/>
        <v>435.58</v>
      </c>
      <c r="M307" s="8"/>
      <c r="N307" s="164"/>
    </row>
    <row r="308" spans="1:14" s="3" customFormat="1" ht="12.2" customHeight="1" x14ac:dyDescent="0.15">
      <c r="A308" s="1" t="s">
        <v>449</v>
      </c>
      <c r="B308" s="2" t="s">
        <v>358</v>
      </c>
      <c r="C308" s="2" t="s">
        <v>343</v>
      </c>
      <c r="D308" s="2" t="s">
        <v>431</v>
      </c>
      <c r="E308" s="6">
        <v>2800</v>
      </c>
      <c r="F308" s="18"/>
      <c r="G308" s="18">
        <v>4699.3999999999996</v>
      </c>
      <c r="H308" s="18"/>
      <c r="I308" s="18"/>
      <c r="J308" s="18"/>
      <c r="K308" s="18"/>
      <c r="L308" s="13">
        <f>SUM(F308:K308)</f>
        <v>4699.3999999999996</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190235.78</v>
      </c>
      <c r="G310" s="39">
        <f t="shared" si="15"/>
        <v>61049.469999999994</v>
      </c>
      <c r="H310" s="39">
        <f t="shared" si="15"/>
        <v>260836.03</v>
      </c>
      <c r="I310" s="39">
        <f t="shared" si="15"/>
        <v>77887.330000000016</v>
      </c>
      <c r="J310" s="39">
        <f t="shared" si="15"/>
        <v>124867.98</v>
      </c>
      <c r="K310" s="39">
        <f t="shared" si="15"/>
        <v>3091.69</v>
      </c>
      <c r="L310" s="38">
        <f t="shared" si="15"/>
        <v>717968.28000000014</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f>111944.93+5575.35</f>
        <v>117520.28</v>
      </c>
      <c r="G315" s="18">
        <v>32107.89</v>
      </c>
      <c r="H315" s="18">
        <v>20537.91</v>
      </c>
      <c r="I315" s="18">
        <v>47763.42</v>
      </c>
      <c r="J315" s="18">
        <v>129900.72</v>
      </c>
      <c r="K315" s="18"/>
      <c r="L315" s="13">
        <f>SUM(F315:K315)</f>
        <v>347830.22</v>
      </c>
      <c r="M315" s="8"/>
      <c r="N315" s="164"/>
    </row>
    <row r="316" spans="1:14" s="3" customFormat="1" ht="12.2" customHeight="1" x14ac:dyDescent="0.15">
      <c r="A316" s="1" t="s">
        <v>439</v>
      </c>
      <c r="B316" s="2" t="s">
        <v>359</v>
      </c>
      <c r="C316" s="2" t="s">
        <v>291</v>
      </c>
      <c r="D316" s="2" t="s">
        <v>431</v>
      </c>
      <c r="E316" s="6">
        <v>1200</v>
      </c>
      <c r="F316" s="18">
        <v>54213.39</v>
      </c>
      <c r="G316" s="18">
        <v>29909.93</v>
      </c>
      <c r="H316" s="18">
        <v>178946.12</v>
      </c>
      <c r="I316" s="18">
        <v>16031.86</v>
      </c>
      <c r="J316" s="18">
        <v>6280.84</v>
      </c>
      <c r="K316" s="18"/>
      <c r="L316" s="13">
        <f>SUM(F316:K316)</f>
        <v>285382.14</v>
      </c>
      <c r="M316" s="8"/>
      <c r="N316" s="164"/>
    </row>
    <row r="317" spans="1:14" s="3" customFormat="1" ht="12.2" customHeight="1" x14ac:dyDescent="0.15">
      <c r="A317" s="1" t="s">
        <v>440</v>
      </c>
      <c r="B317" s="2" t="s">
        <v>359</v>
      </c>
      <c r="C317" s="2" t="s">
        <v>292</v>
      </c>
      <c r="D317" s="2" t="s">
        <v>431</v>
      </c>
      <c r="E317" s="6">
        <v>1300</v>
      </c>
      <c r="F317" s="18"/>
      <c r="G317" s="18"/>
      <c r="H317" s="18">
        <v>6532</v>
      </c>
      <c r="I317" s="18">
        <f>67686.69+2812.42</f>
        <v>70499.11</v>
      </c>
      <c r="J317" s="18">
        <v>104467.86</v>
      </c>
      <c r="K317" s="18">
        <v>6530</v>
      </c>
      <c r="L317" s="13">
        <f>SUM(F317:K317)</f>
        <v>188028.97</v>
      </c>
      <c r="M317" s="8"/>
      <c r="N317" s="164"/>
    </row>
    <row r="318" spans="1:14" s="3" customFormat="1" ht="12.2" customHeight="1" x14ac:dyDescent="0.15">
      <c r="A318" s="1" t="s">
        <v>441</v>
      </c>
      <c r="B318" s="2" t="s">
        <v>359</v>
      </c>
      <c r="C318" s="2" t="s">
        <v>293</v>
      </c>
      <c r="D318" s="2" t="s">
        <v>431</v>
      </c>
      <c r="E318" s="6">
        <v>1400</v>
      </c>
      <c r="F318" s="18"/>
      <c r="G318" s="18"/>
      <c r="H318" s="18">
        <v>9400.68</v>
      </c>
      <c r="I318" s="18"/>
      <c r="J318" s="18">
        <v>3749.99</v>
      </c>
      <c r="K318" s="18"/>
      <c r="L318" s="13">
        <f>SUM(F318:K318)</f>
        <v>13150.67</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2823.88</v>
      </c>
      <c r="G320" s="18">
        <v>612.66999999999996</v>
      </c>
      <c r="H320" s="18">
        <v>19777.560000000001</v>
      </c>
      <c r="I320" s="18"/>
      <c r="J320" s="18"/>
      <c r="K320" s="18"/>
      <c r="L320" s="13">
        <f t="shared" ref="L320:L326" si="16">SUM(F320:K320)</f>
        <v>23214.11</v>
      </c>
      <c r="M320" s="8"/>
      <c r="N320" s="164"/>
    </row>
    <row r="321" spans="1:14" s="3" customFormat="1" ht="12.2" customHeight="1" x14ac:dyDescent="0.15">
      <c r="A321" s="1" t="s">
        <v>443</v>
      </c>
      <c r="B321" s="2" t="s">
        <v>359</v>
      </c>
      <c r="C321" s="2" t="s">
        <v>295</v>
      </c>
      <c r="D321" s="2" t="s">
        <v>431</v>
      </c>
      <c r="E321" s="6">
        <v>2200</v>
      </c>
      <c r="F321" s="18">
        <v>10277.83</v>
      </c>
      <c r="G321" s="18">
        <v>2779.51</v>
      </c>
      <c r="H321" s="18">
        <f>35396.87+2217.93</f>
        <v>37614.800000000003</v>
      </c>
      <c r="I321" s="18">
        <v>1363.21</v>
      </c>
      <c r="J321" s="18"/>
      <c r="K321" s="18">
        <v>86.99</v>
      </c>
      <c r="L321" s="13">
        <f t="shared" si="16"/>
        <v>52122.34</v>
      </c>
      <c r="M321" s="8"/>
      <c r="N321" s="164"/>
    </row>
    <row r="322" spans="1:14" s="3" customFormat="1" ht="12.2" customHeight="1" x14ac:dyDescent="0.15">
      <c r="A322" s="1" t="s">
        <v>444</v>
      </c>
      <c r="B322" s="2" t="s">
        <v>359</v>
      </c>
      <c r="C322" s="2" t="s">
        <v>296</v>
      </c>
      <c r="D322" s="2" t="s">
        <v>431</v>
      </c>
      <c r="E322" s="6">
        <v>2300</v>
      </c>
      <c r="F322" s="18">
        <v>2310</v>
      </c>
      <c r="G322" s="18">
        <v>590.07000000000005</v>
      </c>
      <c r="H322" s="18">
        <v>10762.66</v>
      </c>
      <c r="I322" s="18"/>
      <c r="J322" s="18"/>
      <c r="K322" s="18"/>
      <c r="L322" s="13">
        <f t="shared" si="16"/>
        <v>13662.73</v>
      </c>
      <c r="M322" s="8"/>
      <c r="N322" s="164"/>
    </row>
    <row r="323" spans="1:14" s="3" customFormat="1" ht="12.2" customHeight="1" x14ac:dyDescent="0.15">
      <c r="A323" s="1" t="s">
        <v>445</v>
      </c>
      <c r="B323" s="2" t="s">
        <v>359</v>
      </c>
      <c r="C323" s="2" t="s">
        <v>297</v>
      </c>
      <c r="D323" s="2" t="s">
        <v>431</v>
      </c>
      <c r="E323" s="6">
        <v>2400</v>
      </c>
      <c r="F323" s="18"/>
      <c r="G323" s="18"/>
      <c r="H323" s="18">
        <f>20233.95</f>
        <v>20233.95</v>
      </c>
      <c r="I323" s="18">
        <v>3844.83</v>
      </c>
      <c r="J323" s="18"/>
      <c r="K323" s="18">
        <v>1005.18</v>
      </c>
      <c r="L323" s="13">
        <f t="shared" si="16"/>
        <v>25083.96</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v>8213.7000000000007</v>
      </c>
      <c r="I325" s="18">
        <v>14004.66</v>
      </c>
      <c r="J325" s="18">
        <v>10984.27</v>
      </c>
      <c r="K325" s="18"/>
      <c r="L325" s="13">
        <f t="shared" si="16"/>
        <v>33202.630000000005</v>
      </c>
      <c r="M325" s="8"/>
      <c r="N325" s="164"/>
    </row>
    <row r="326" spans="1:14" s="3" customFormat="1" ht="12.2" customHeight="1" x14ac:dyDescent="0.15">
      <c r="A326" s="1" t="s">
        <v>448</v>
      </c>
      <c r="B326" s="2" t="s">
        <v>359</v>
      </c>
      <c r="C326" s="2" t="s">
        <v>300</v>
      </c>
      <c r="D326" s="2" t="s">
        <v>431</v>
      </c>
      <c r="E326" s="6">
        <v>2700</v>
      </c>
      <c r="F326" s="18"/>
      <c r="G326" s="18"/>
      <c r="H326" s="18">
        <v>713.36</v>
      </c>
      <c r="I326" s="18"/>
      <c r="J326" s="18"/>
      <c r="K326" s="18"/>
      <c r="L326" s="13">
        <f t="shared" si="16"/>
        <v>713.36</v>
      </c>
      <c r="M326" s="8"/>
      <c r="N326" s="164"/>
    </row>
    <row r="327" spans="1:14" s="3" customFormat="1" ht="12.2" customHeight="1" x14ac:dyDescent="0.15">
      <c r="A327" s="1" t="s">
        <v>449</v>
      </c>
      <c r="B327" s="2" t="s">
        <v>359</v>
      </c>
      <c r="C327" s="2" t="s">
        <v>343</v>
      </c>
      <c r="D327" s="2" t="s">
        <v>431</v>
      </c>
      <c r="E327" s="6">
        <v>2800</v>
      </c>
      <c r="F327" s="18"/>
      <c r="G327" s="18">
        <v>5538.57</v>
      </c>
      <c r="H327" s="18"/>
      <c r="I327" s="18"/>
      <c r="J327" s="18"/>
      <c r="K327" s="18"/>
      <c r="L327" s="13">
        <f>SUM(F327:K327)</f>
        <v>5538.57</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187145.37999999998</v>
      </c>
      <c r="G329" s="39">
        <f t="shared" si="17"/>
        <v>71538.640000000014</v>
      </c>
      <c r="H329" s="39">
        <f t="shared" si="17"/>
        <v>312732.74</v>
      </c>
      <c r="I329" s="39">
        <f t="shared" si="17"/>
        <v>153507.09</v>
      </c>
      <c r="J329" s="39">
        <f t="shared" si="17"/>
        <v>255383.67999999996</v>
      </c>
      <c r="K329" s="39">
        <f t="shared" si="17"/>
        <v>7622.17</v>
      </c>
      <c r="L329" s="38">
        <f t="shared" si="17"/>
        <v>987929.69999999984</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832013.53</v>
      </c>
      <c r="G339" s="38">
        <f t="shared" si="20"/>
        <v>311377.56</v>
      </c>
      <c r="H339" s="38">
        <f t="shared" si="20"/>
        <v>1030078.1599999999</v>
      </c>
      <c r="I339" s="38">
        <f t="shared" si="20"/>
        <v>369187.83</v>
      </c>
      <c r="J339" s="38">
        <f t="shared" si="20"/>
        <v>554174.92999999993</v>
      </c>
      <c r="K339" s="38">
        <f t="shared" si="20"/>
        <v>13031.18</v>
      </c>
      <c r="L339" s="38">
        <f t="shared" si="20"/>
        <v>3109863.1900000004</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832013.53</v>
      </c>
      <c r="G353" s="38">
        <f>G339</f>
        <v>311377.56</v>
      </c>
      <c r="H353" s="38">
        <f>H339</f>
        <v>1030078.1599999999</v>
      </c>
      <c r="I353" s="38">
        <f>I339</f>
        <v>369187.83</v>
      </c>
      <c r="J353" s="38">
        <f>J339</f>
        <v>554174.92999999993</v>
      </c>
      <c r="K353" s="38">
        <f>K339+K352</f>
        <v>13031.18</v>
      </c>
      <c r="L353" s="38">
        <f>L339+L352</f>
        <v>3109863.1900000004</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457693.86</v>
      </c>
      <c r="I359" s="18"/>
      <c r="J359" s="18"/>
      <c r="K359" s="18"/>
      <c r="L359" s="13">
        <f>SUM(F359:K359)</f>
        <v>457693.86</v>
      </c>
      <c r="M359" s="8"/>
      <c r="N359" s="164"/>
    </row>
    <row r="360" spans="1:22" s="3" customFormat="1" ht="12.2" customHeight="1" x14ac:dyDescent="0.15">
      <c r="A360" s="1" t="s">
        <v>542</v>
      </c>
      <c r="B360" s="2" t="s">
        <v>366</v>
      </c>
      <c r="C360" s="6">
        <v>2</v>
      </c>
      <c r="D360" s="2" t="s">
        <v>431</v>
      </c>
      <c r="E360" s="6"/>
      <c r="F360" s="18"/>
      <c r="G360" s="18"/>
      <c r="H360" s="18">
        <v>328600.71999999997</v>
      </c>
      <c r="I360" s="18">
        <v>95000</v>
      </c>
      <c r="J360" s="18"/>
      <c r="K360" s="18"/>
      <c r="L360" s="13">
        <f>SUM(F360:K360)</f>
        <v>423600.72</v>
      </c>
      <c r="M360" s="8"/>
      <c r="N360" s="164"/>
    </row>
    <row r="361" spans="1:22" s="3" customFormat="1" ht="12.2" customHeight="1" x14ac:dyDescent="0.15">
      <c r="A361" s="3" t="s">
        <v>543</v>
      </c>
      <c r="B361" s="2" t="s">
        <v>366</v>
      </c>
      <c r="C361" s="6">
        <v>3</v>
      </c>
      <c r="D361" s="2" t="s">
        <v>431</v>
      </c>
      <c r="E361" s="6"/>
      <c r="F361" s="18"/>
      <c r="G361" s="18"/>
      <c r="H361" s="18">
        <v>387279.42</v>
      </c>
      <c r="I361" s="18"/>
      <c r="J361" s="18"/>
      <c r="K361" s="18"/>
      <c r="L361" s="13">
        <f>SUM(F361:K361)</f>
        <v>387279.42</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1173574</v>
      </c>
      <c r="I363" s="38">
        <f t="shared" si="22"/>
        <v>95000</v>
      </c>
      <c r="J363" s="38">
        <f t="shared" si="22"/>
        <v>0</v>
      </c>
      <c r="K363" s="38">
        <f t="shared" si="22"/>
        <v>0</v>
      </c>
      <c r="L363" s="38">
        <f t="shared" si="22"/>
        <v>1268574</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37050</v>
      </c>
      <c r="G368" s="18">
        <v>26600</v>
      </c>
      <c r="H368" s="18">
        <v>31350</v>
      </c>
      <c r="I368" s="13">
        <f>SUM(F368:H368)</f>
        <v>95000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37050</v>
      </c>
      <c r="G370" s="38">
        <f>SUM(G368:G369)</f>
        <v>26600</v>
      </c>
      <c r="H370" s="38">
        <f>SUM(H368:H369)</f>
        <v>31350</v>
      </c>
      <c r="I370" s="38">
        <f>SUM(I368:I369)</f>
        <v>95000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1000000</v>
      </c>
      <c r="H390" s="18">
        <f>11046.57+128830.61</f>
        <v>139877.18</v>
      </c>
      <c r="I390" s="18"/>
      <c r="J390" s="23" t="s">
        <v>288</v>
      </c>
      <c r="K390" s="23" t="s">
        <v>288</v>
      </c>
      <c r="L390" s="13">
        <f t="shared" si="25"/>
        <v>1139877.18</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1000000</v>
      </c>
      <c r="H394" s="97">
        <f>SUM(H388:H393)</f>
        <v>139877.18</v>
      </c>
      <c r="I394" s="54">
        <f>SUM(I388:I393)</f>
        <v>0</v>
      </c>
      <c r="J394" s="42" t="s">
        <v>288</v>
      </c>
      <c r="K394" s="42" t="s">
        <v>288</v>
      </c>
      <c r="L394" s="38">
        <f>SUM(L388:L393)</f>
        <v>1139877.18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1000000</v>
      </c>
      <c r="H409" s="38">
        <f>H394+H402+H408</f>
        <v>139877.18</v>
      </c>
      <c r="I409" s="38">
        <f>I394+I402+I408</f>
        <v>0</v>
      </c>
      <c r="J409" s="23" t="s">
        <v>288</v>
      </c>
      <c r="K409" s="23" t="s">
        <v>288</v>
      </c>
      <c r="L409" s="38">
        <f>L394+L402+L408</f>
        <v>1139877.18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1203718</v>
      </c>
      <c r="I423" s="18"/>
      <c r="J423" s="18"/>
      <c r="K423" s="18"/>
      <c r="L423" s="13">
        <f t="shared" si="29"/>
        <v>1203718</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1203718</v>
      </c>
      <c r="I428" s="38">
        <f t="shared" si="30"/>
        <v>0</v>
      </c>
      <c r="J428" s="38">
        <f t="shared" si="30"/>
        <v>0</v>
      </c>
      <c r="K428" s="38">
        <f t="shared" si="30"/>
        <v>0</v>
      </c>
      <c r="L428" s="38">
        <f t="shared" si="30"/>
        <v>1203718</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1203718</v>
      </c>
      <c r="I435" s="38">
        <f t="shared" si="32"/>
        <v>0</v>
      </c>
      <c r="J435" s="38">
        <f t="shared" si="32"/>
        <v>0</v>
      </c>
      <c r="K435" s="38">
        <f t="shared" si="32"/>
        <v>0</v>
      </c>
      <c r="L435" s="38">
        <f t="shared" si="32"/>
        <v>1203718</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3710117</v>
      </c>
      <c r="G443" s="18"/>
      <c r="H443" s="18"/>
      <c r="I443" s="13">
        <f t="shared" si="33"/>
        <v>3710117</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3710117</v>
      </c>
      <c r="G447" s="13">
        <f>SUM(G440:G446)</f>
        <v>0</v>
      </c>
      <c r="H447" s="13">
        <f>SUM(H440:H446)</f>
        <v>0</v>
      </c>
      <c r="I447" s="13">
        <f>SUM(I440:I446)</f>
        <v>3710117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v>3773957</v>
      </c>
      <c r="G456" s="18"/>
      <c r="H456" s="18"/>
      <c r="I456" s="13">
        <f t="shared" si="34"/>
        <v>3773957</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-63840</v>
      </c>
      <c r="G460" s="18"/>
      <c r="H460" s="18"/>
      <c r="I460" s="13">
        <f t="shared" si="34"/>
        <v>-63840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3710117</v>
      </c>
      <c r="G461" s="65">
        <f>SUM(G455:G460)</f>
        <v>0</v>
      </c>
      <c r="H461" s="65">
        <f>SUM(H455:H460)</f>
        <v>0</v>
      </c>
      <c r="I461" s="65">
        <f>SUM(I455:I460)</f>
        <v>3710117</v>
      </c>
      <c r="J461" s="23" t="s">
        <v>288</v>
      </c>
      <c r="K461" s="23" t="s">
        <v>288</v>
      </c>
      <c r="L461" s="23" t="s">
        <v>288</v>
      </c>
      <c r="N461" s="130"/>
    </row>
    <row r="462" spans="1:86" ht="12.2" customHeight="1" thickTop="1" x14ac:dyDescent="0.2">
      <c r="A462" s="40" t="s">
        <v>424</v>
      </c>
      <c r="B462" s="41">
        <v>18</v>
      </c>
      <c r="C462" s="64">
        <v>21</v>
      </c>
      <c r="D462" s="114" t="s">
        <v>432</v>
      </c>
      <c r="E462" s="64"/>
      <c r="F462" s="39">
        <f>F453+F461</f>
        <v>3710117</v>
      </c>
      <c r="G462" s="39">
        <f>G453+G461</f>
        <v>0</v>
      </c>
      <c r="H462" s="39">
        <f>H453+H461</f>
        <v>0</v>
      </c>
      <c r="I462" s="39">
        <f>I453+I461</f>
        <v>3710117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4340193</v>
      </c>
      <c r="G466" s="18"/>
      <c r="H466" s="18"/>
      <c r="I466" s="18"/>
      <c r="J466" s="18">
        <f>3500000+273957.82</f>
        <v>3773957.82</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53481161.170000002</v>
      </c>
      <c r="G469" s="18">
        <v>1050473</v>
      </c>
      <c r="H469" s="18">
        <f>3109864-0.81</f>
        <v>3109863.19</v>
      </c>
      <c r="I469" s="18"/>
      <c r="J469" s="18">
        <v>1139877.18</v>
      </c>
      <c r="K469" s="23" t="s">
        <v>288</v>
      </c>
      <c r="L469" s="23" t="s">
        <v>288</v>
      </c>
      <c r="N469" s="130"/>
    </row>
    <row r="470" spans="1:14" ht="12.2" customHeight="1" x14ac:dyDescent="0.2">
      <c r="A470" s="71" t="s">
        <v>611</v>
      </c>
      <c r="B470" s="22">
        <v>19</v>
      </c>
      <c r="C470" s="31">
        <v>3</v>
      </c>
      <c r="D470" s="2" t="s">
        <v>432</v>
      </c>
      <c r="E470" s="31"/>
      <c r="F470" s="18">
        <f>-252204-425.02-27</f>
        <v>-252656.02</v>
      </c>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53228505.149999999</v>
      </c>
      <c r="G471" s="19">
        <f>SUM(G469:G470)</f>
        <v>1050473</v>
      </c>
      <c r="H471" s="19">
        <f>SUM(H469:H470)</f>
        <v>3109863.19</v>
      </c>
      <c r="I471" s="19">
        <f>SUM(I469:I470)</f>
        <v>0</v>
      </c>
      <c r="J471" s="19">
        <f>SUM(J469:J470)</f>
        <v>1139877.18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54533673.149999999</v>
      </c>
      <c r="G473" s="18">
        <v>1268574</v>
      </c>
      <c r="H473" s="18">
        <f>3109864-0.81</f>
        <v>3109863.19</v>
      </c>
      <c r="I473" s="18"/>
      <c r="J473" s="18">
        <v>1203718</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54533673.149999999</v>
      </c>
      <c r="G475" s="19">
        <f>SUM(G473:G474)</f>
        <v>1268574</v>
      </c>
      <c r="H475" s="19">
        <f>SUM(H473:H474)</f>
        <v>3109863.19</v>
      </c>
      <c r="I475" s="19">
        <f>SUM(I473:I474)</f>
        <v>0</v>
      </c>
      <c r="J475" s="19">
        <f>SUM(J473:J474)</f>
        <v>1203718</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3035025</v>
      </c>
      <c r="G477" s="19">
        <f>(G466+G471)- G475</f>
        <v>-218101</v>
      </c>
      <c r="H477" s="19">
        <f>(H466+H471)- H475</f>
        <v>0</v>
      </c>
      <c r="I477" s="19">
        <f>(I466+I471)- I475</f>
        <v>0</v>
      </c>
      <c r="J477" s="19">
        <f>(J466+J471)- J475</f>
        <v>3710117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315"/>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t="s">
        <v>1847</v>
      </c>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4</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1840</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920000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2.2200000000000002</v>
      </c>
      <c r="G495" s="18"/>
      <c r="H495" s="18"/>
      <c r="I495" s="18"/>
      <c r="J495" s="18"/>
      <c r="K495" s="23" t="s">
        <v>288</v>
      </c>
      <c r="L495" s="23" t="s">
        <v>288</v>
      </c>
      <c r="N495" s="130"/>
    </row>
    <row r="496" spans="1:14" ht="12.2" customHeight="1" x14ac:dyDescent="0.2">
      <c r="A496" s="21" t="s">
        <v>619</v>
      </c>
      <c r="B496" s="22">
        <v>20</v>
      </c>
      <c r="C496" s="22">
        <v>6</v>
      </c>
      <c r="D496" s="2" t="s">
        <v>432</v>
      </c>
      <c r="E496" s="22"/>
      <c r="F496" s="18">
        <v>185000</v>
      </c>
      <c r="G496" s="18"/>
      <c r="H496" s="18"/>
      <c r="I496" s="18"/>
      <c r="J496" s="18"/>
      <c r="K496" s="19">
        <f>SUM(F496:J496)</f>
        <v>185000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185000</v>
      </c>
      <c r="G498" s="18"/>
      <c r="H498" s="18"/>
      <c r="I498" s="18"/>
      <c r="J498" s="18"/>
      <c r="K498" s="19">
        <f t="shared" si="35"/>
        <v>185000</v>
      </c>
      <c r="L498" s="23" t="s">
        <v>288</v>
      </c>
      <c r="N498" s="130"/>
    </row>
    <row r="499" spans="1:14" ht="12.2" customHeight="1" x14ac:dyDescent="0.2">
      <c r="A499" s="143" t="s">
        <v>622</v>
      </c>
      <c r="B499" s="144">
        <v>20</v>
      </c>
      <c r="C499" s="144">
        <v>9</v>
      </c>
      <c r="D499" s="145" t="s">
        <v>432</v>
      </c>
      <c r="E499" s="144"/>
      <c r="F499" s="146">
        <v>0</v>
      </c>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v>0</v>
      </c>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v>0</v>
      </c>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v>0</v>
      </c>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2306584+820574+64069-384205</f>
        <v>2807022</v>
      </c>
      <c r="G522" s="18">
        <f>1123856.18+377463+35348-185394</f>
        <v>1351273.18</v>
      </c>
      <c r="H522" s="18">
        <f>1228336+211052</f>
        <v>1439388</v>
      </c>
      <c r="I522" s="18">
        <f>10366+8595+13164-1898</f>
        <v>30227</v>
      </c>
      <c r="J522" s="18">
        <f>4536+3786-65</f>
        <v>8257</v>
      </c>
      <c r="K522" s="18">
        <v>1827</v>
      </c>
      <c r="L522" s="69">
        <f>SUM(F522:K522)</f>
        <v>5637994.1799999997</v>
      </c>
      <c r="N522" s="130"/>
    </row>
    <row r="523" spans="1:14" ht="12.2" customHeight="1" x14ac:dyDescent="0.2">
      <c r="A523" s="21" t="s">
        <v>634</v>
      </c>
      <c r="B523" s="22">
        <v>21</v>
      </c>
      <c r="C523" s="22">
        <v>2</v>
      </c>
      <c r="D523" s="2" t="s">
        <v>432</v>
      </c>
      <c r="E523" s="22"/>
      <c r="F523" s="18">
        <f>1072485+589130+45998-275839</f>
        <v>1431774</v>
      </c>
      <c r="G523" s="18">
        <f>592260+270999+25378-133103</f>
        <v>755534</v>
      </c>
      <c r="H523" s="18">
        <f>881882+151524</f>
        <v>1033406</v>
      </c>
      <c r="I523" s="18">
        <f>863+6171+9451-1363</f>
        <v>15122</v>
      </c>
      <c r="J523" s="18">
        <v>-47</v>
      </c>
      <c r="K523" s="18">
        <v>1311</v>
      </c>
      <c r="L523" s="69">
        <f>SUM(F523:K523)</f>
        <v>3237100</v>
      </c>
      <c r="N523" s="130"/>
    </row>
    <row r="524" spans="1:14" ht="12.2" customHeight="1" thickBot="1" x14ac:dyDescent="0.25">
      <c r="A524" s="21" t="s">
        <v>635</v>
      </c>
      <c r="B524" s="22">
        <v>21</v>
      </c>
      <c r="C524" s="22">
        <v>3</v>
      </c>
      <c r="D524" s="2" t="s">
        <v>432</v>
      </c>
      <c r="E524" s="22"/>
      <c r="F524" s="18">
        <f>1557173+694331+54213-325096</f>
        <v>1980621</v>
      </c>
      <c r="G524" s="18">
        <f>752568+319391+29910-156872</f>
        <v>944997</v>
      </c>
      <c r="H524" s="18">
        <f>1039361+178582</f>
        <v>1217943</v>
      </c>
      <c r="I524" s="18">
        <f>13004+7273+11139-1606</f>
        <v>29810</v>
      </c>
      <c r="J524" s="18">
        <f>853+3838+3204-55</f>
        <v>7840</v>
      </c>
      <c r="K524" s="18">
        <v>1546</v>
      </c>
      <c r="L524" s="69">
        <f>SUM(F524:K524)</f>
        <v>4182757</v>
      </c>
      <c r="N524" s="130"/>
    </row>
    <row r="525" spans="1:14" ht="12.2" customHeight="1" thickTop="1" x14ac:dyDescent="0.2">
      <c r="A525" s="97" t="s">
        <v>63</v>
      </c>
      <c r="B525" s="41">
        <v>21</v>
      </c>
      <c r="C525" s="41">
        <v>4</v>
      </c>
      <c r="D525" s="115" t="s">
        <v>432</v>
      </c>
      <c r="E525" s="41"/>
      <c r="F525" s="81">
        <f>SUM(F522:F524)</f>
        <v>6219417</v>
      </c>
      <c r="G525" s="81">
        <f t="shared" ref="G525:L525" si="36">SUM(G522:G524)</f>
        <v>3051804.1799999997</v>
      </c>
      <c r="H525" s="81">
        <f t="shared" si="36"/>
        <v>3690737</v>
      </c>
      <c r="I525" s="81">
        <f t="shared" si="36"/>
        <v>75159</v>
      </c>
      <c r="J525" s="81">
        <f t="shared" si="36"/>
        <v>16050</v>
      </c>
      <c r="K525" s="81">
        <f t="shared" si="36"/>
        <v>4684</v>
      </c>
      <c r="L525" s="70">
        <f t="shared" si="36"/>
        <v>13057851.18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384205</v>
      </c>
      <c r="G527" s="18">
        <v>185394</v>
      </c>
      <c r="H527" s="18"/>
      <c r="I527" s="18">
        <v>1898</v>
      </c>
      <c r="J527" s="18">
        <v>65</v>
      </c>
      <c r="K527" s="18"/>
      <c r="L527" s="69">
        <f>SUM(F527:K527)</f>
        <v>571562</v>
      </c>
      <c r="M527" s="8"/>
      <c r="N527" s="164"/>
    </row>
    <row r="528" spans="1:14" s="3" customFormat="1" ht="12.2" customHeight="1" x14ac:dyDescent="0.15">
      <c r="A528" s="21" t="s">
        <v>634</v>
      </c>
      <c r="B528" s="22">
        <v>21</v>
      </c>
      <c r="C528" s="22">
        <v>6</v>
      </c>
      <c r="D528" s="2" t="s">
        <v>432</v>
      </c>
      <c r="E528" s="22"/>
      <c r="F528" s="18">
        <v>275839</v>
      </c>
      <c r="G528" s="18">
        <v>133103</v>
      </c>
      <c r="H528" s="18"/>
      <c r="I528" s="18">
        <v>1363</v>
      </c>
      <c r="J528" s="18">
        <v>47</v>
      </c>
      <c r="K528" s="18"/>
      <c r="L528" s="69">
        <f>SUM(F528:K528)</f>
        <v>410352</v>
      </c>
      <c r="M528" s="8"/>
      <c r="N528" s="164"/>
    </row>
    <row r="529" spans="1:14" s="3" customFormat="1" ht="12.2" customHeight="1" thickBot="1" x14ac:dyDescent="0.2">
      <c r="A529" s="21" t="s">
        <v>635</v>
      </c>
      <c r="B529" s="22">
        <v>21</v>
      </c>
      <c r="C529" s="22">
        <v>7</v>
      </c>
      <c r="D529" s="2" t="s">
        <v>432</v>
      </c>
      <c r="E529" s="22"/>
      <c r="F529" s="18">
        <v>325096</v>
      </c>
      <c r="G529" s="18">
        <v>156872</v>
      </c>
      <c r="H529" s="18"/>
      <c r="I529" s="18">
        <v>1606</v>
      </c>
      <c r="J529" s="18">
        <v>55</v>
      </c>
      <c r="K529" s="18"/>
      <c r="L529" s="69">
        <f>SUM(F529:K529)</f>
        <v>483629</v>
      </c>
      <c r="M529" s="8"/>
      <c r="N529" s="164"/>
    </row>
    <row r="530" spans="1:14" s="3" customFormat="1" ht="12.2" customHeight="1" thickTop="1" x14ac:dyDescent="0.15">
      <c r="A530" s="97" t="s">
        <v>65</v>
      </c>
      <c r="B530" s="41">
        <v>21</v>
      </c>
      <c r="C530" s="41">
        <v>8</v>
      </c>
      <c r="D530" s="115" t="s">
        <v>432</v>
      </c>
      <c r="E530" s="41"/>
      <c r="F530" s="70">
        <f>SUM(F527:F529)</f>
        <v>985140</v>
      </c>
      <c r="G530" s="70">
        <f t="shared" ref="G530:L530" si="37">SUM(G527:G529)</f>
        <v>475369</v>
      </c>
      <c r="H530" s="70">
        <f t="shared" si="37"/>
        <v>0</v>
      </c>
      <c r="I530" s="70">
        <f t="shared" si="37"/>
        <v>4867</v>
      </c>
      <c r="J530" s="70">
        <f t="shared" si="37"/>
        <v>167</v>
      </c>
      <c r="K530" s="70">
        <f t="shared" si="37"/>
        <v>0</v>
      </c>
      <c r="L530" s="70">
        <f t="shared" si="37"/>
        <v>1465543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142584</v>
      </c>
      <c r="G532" s="18">
        <v>43343</v>
      </c>
      <c r="H532" s="18">
        <v>6318</v>
      </c>
      <c r="I532" s="18">
        <v>390</v>
      </c>
      <c r="J532" s="18"/>
      <c r="K532" s="18"/>
      <c r="L532" s="69">
        <f>SUM(F532:K532)</f>
        <v>192635</v>
      </c>
      <c r="M532" s="8"/>
      <c r="N532" s="164"/>
    </row>
    <row r="533" spans="1:14" s="3" customFormat="1" ht="12.2" customHeight="1" x14ac:dyDescent="0.15">
      <c r="A533" s="21" t="s">
        <v>634</v>
      </c>
      <c r="B533" s="22">
        <v>21</v>
      </c>
      <c r="C533" s="22">
        <v>10</v>
      </c>
      <c r="D533" s="2" t="s">
        <v>432</v>
      </c>
      <c r="E533" s="22"/>
      <c r="F533" s="18">
        <v>102368</v>
      </c>
      <c r="G533" s="18">
        <v>31118</v>
      </c>
      <c r="H533" s="18">
        <v>4536</v>
      </c>
      <c r="I533" s="18">
        <v>280</v>
      </c>
      <c r="J533" s="18"/>
      <c r="K533" s="18"/>
      <c r="L533" s="69">
        <f>SUM(F533:K533)</f>
        <v>138302</v>
      </c>
      <c r="M533" s="8"/>
      <c r="N533" s="164"/>
    </row>
    <row r="534" spans="1:14" s="3" customFormat="1" ht="12.2" customHeight="1" thickBot="1" x14ac:dyDescent="0.2">
      <c r="A534" s="21" t="s">
        <v>635</v>
      </c>
      <c r="B534" s="22">
        <v>21</v>
      </c>
      <c r="C534" s="22">
        <v>11</v>
      </c>
      <c r="D534" s="2" t="s">
        <v>432</v>
      </c>
      <c r="E534" s="22"/>
      <c r="F534" s="18">
        <v>120648</v>
      </c>
      <c r="G534" s="18">
        <v>36675</v>
      </c>
      <c r="H534" s="18">
        <v>5346</v>
      </c>
      <c r="I534" s="18">
        <v>330</v>
      </c>
      <c r="J534" s="18"/>
      <c r="K534" s="18"/>
      <c r="L534" s="69">
        <f>SUM(F534:K534)</f>
        <v>162999</v>
      </c>
      <c r="M534" s="8"/>
      <c r="N534" s="164"/>
    </row>
    <row r="535" spans="1:14" s="3" customFormat="1" ht="12.2" customHeight="1" thickTop="1" x14ac:dyDescent="0.15">
      <c r="A535" s="97" t="s">
        <v>67</v>
      </c>
      <c r="B535" s="41">
        <v>21</v>
      </c>
      <c r="C535" s="41">
        <v>12</v>
      </c>
      <c r="D535" s="115" t="s">
        <v>432</v>
      </c>
      <c r="E535" s="41"/>
      <c r="F535" s="70">
        <f>SUM(F532:F534)</f>
        <v>365600</v>
      </c>
      <c r="G535" s="70">
        <f t="shared" ref="G535:L535" si="38">SUM(G532:G534)</f>
        <v>111136</v>
      </c>
      <c r="H535" s="70">
        <f t="shared" si="38"/>
        <v>16200</v>
      </c>
      <c r="I535" s="70">
        <f t="shared" si="38"/>
        <v>1000</v>
      </c>
      <c r="J535" s="70">
        <f t="shared" si="38"/>
        <v>0</v>
      </c>
      <c r="K535" s="70">
        <f t="shared" si="38"/>
        <v>0</v>
      </c>
      <c r="L535" s="70">
        <f t="shared" si="38"/>
        <v>493936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539999.13</v>
      </c>
      <c r="I542" s="18"/>
      <c r="J542" s="18"/>
      <c r="K542" s="18"/>
      <c r="L542" s="69">
        <f>SUM(F542:K542)</f>
        <v>539999.13</v>
      </c>
      <c r="M542" s="8"/>
      <c r="N542" s="164"/>
    </row>
    <row r="543" spans="1:14" s="3" customFormat="1" ht="12.2" customHeight="1" x14ac:dyDescent="0.15">
      <c r="A543" s="21" t="s">
        <v>634</v>
      </c>
      <c r="B543" s="22">
        <v>21</v>
      </c>
      <c r="C543" s="22">
        <v>18</v>
      </c>
      <c r="D543" s="2" t="s">
        <v>432</v>
      </c>
      <c r="E543" s="22"/>
      <c r="F543" s="18"/>
      <c r="G543" s="18"/>
      <c r="H543" s="18">
        <v>386999.13</v>
      </c>
      <c r="I543" s="18"/>
      <c r="J543" s="18"/>
      <c r="K543" s="18"/>
      <c r="L543" s="69">
        <f>SUM(F543:K543)</f>
        <v>386999.13</v>
      </c>
      <c r="M543" s="8"/>
      <c r="N543" s="164"/>
    </row>
    <row r="544" spans="1:14" s="3" customFormat="1" ht="12.2" customHeight="1" thickBot="1" x14ac:dyDescent="0.2">
      <c r="A544" s="21" t="s">
        <v>635</v>
      </c>
      <c r="B544" s="22">
        <v>21</v>
      </c>
      <c r="C544" s="22">
        <v>19</v>
      </c>
      <c r="D544" s="2" t="s">
        <v>432</v>
      </c>
      <c r="E544" s="22"/>
      <c r="F544" s="18"/>
      <c r="G544" s="18"/>
      <c r="H544" s="18">
        <v>456106.12</v>
      </c>
      <c r="I544" s="18"/>
      <c r="J544" s="18"/>
      <c r="K544" s="18"/>
      <c r="L544" s="69">
        <f>SUM(F544:K544)</f>
        <v>456106.12</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1383104.38</v>
      </c>
      <c r="I545" s="140">
        <f t="shared" si="40"/>
        <v>0</v>
      </c>
      <c r="J545" s="140">
        <f t="shared" si="40"/>
        <v>0</v>
      </c>
      <c r="K545" s="140">
        <f t="shared" si="40"/>
        <v>0</v>
      </c>
      <c r="L545" s="140">
        <f t="shared" si="40"/>
        <v>1383104.38</v>
      </c>
      <c r="M545" s="8"/>
      <c r="N545" s="164"/>
    </row>
    <row r="546" spans="1:14" s="3" customFormat="1" ht="12.2" customHeight="1" thickTop="1" x14ac:dyDescent="0.15">
      <c r="A546" s="75" t="s">
        <v>72</v>
      </c>
      <c r="B546" s="41">
        <v>21</v>
      </c>
      <c r="C546" s="41">
        <v>21</v>
      </c>
      <c r="D546" s="115" t="s">
        <v>432</v>
      </c>
      <c r="E546" s="41"/>
      <c r="F546" s="70">
        <f>F525+F530+F535+F540+F545</f>
        <v>7570157</v>
      </c>
      <c r="G546" s="70">
        <f t="shared" ref="G546:L546" si="41">G525+G530+G535+G540+G545</f>
        <v>3638309.1799999997</v>
      </c>
      <c r="H546" s="70">
        <f t="shared" si="41"/>
        <v>5090041.38</v>
      </c>
      <c r="I546" s="70">
        <f t="shared" si="41"/>
        <v>81026</v>
      </c>
      <c r="J546" s="70">
        <f t="shared" si="41"/>
        <v>16217</v>
      </c>
      <c r="K546" s="70">
        <f t="shared" si="41"/>
        <v>4684</v>
      </c>
      <c r="L546" s="70">
        <f t="shared" si="41"/>
        <v>16400434.559999999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5637994.1799999997</v>
      </c>
      <c r="G550" s="69">
        <f>L527</f>
        <v>571562</v>
      </c>
      <c r="H550" s="69">
        <f>L532</f>
        <v>192635</v>
      </c>
      <c r="I550" s="69">
        <f>L537</f>
        <v>0</v>
      </c>
      <c r="J550" s="69">
        <f>L542</f>
        <v>539999.13</v>
      </c>
      <c r="K550" s="69">
        <f>SUM(F550:J550)</f>
        <v>6942190.3099999996</v>
      </c>
      <c r="L550" s="23" t="s">
        <v>288</v>
      </c>
      <c r="M550" s="8"/>
      <c r="N550" s="164"/>
    </row>
    <row r="551" spans="1:14" s="3" customFormat="1" ht="12.2" customHeight="1" x14ac:dyDescent="0.15">
      <c r="A551" s="21" t="s">
        <v>634</v>
      </c>
      <c r="B551" s="22">
        <v>21</v>
      </c>
      <c r="C551" s="22">
        <v>23</v>
      </c>
      <c r="D551" s="2" t="s">
        <v>432</v>
      </c>
      <c r="E551" s="22"/>
      <c r="F551" s="69">
        <f>L523</f>
        <v>3237100</v>
      </c>
      <c r="G551" s="69">
        <f>L528</f>
        <v>410352</v>
      </c>
      <c r="H551" s="69">
        <f>L533</f>
        <v>138302</v>
      </c>
      <c r="I551" s="69">
        <f>L538</f>
        <v>0</v>
      </c>
      <c r="J551" s="69">
        <f>L543</f>
        <v>386999.13</v>
      </c>
      <c r="K551" s="69">
        <f>SUM(F551:J551)</f>
        <v>4172753.13</v>
      </c>
      <c r="L551" s="23" t="s">
        <v>288</v>
      </c>
      <c r="M551" s="8"/>
      <c r="N551" s="164"/>
    </row>
    <row r="552" spans="1:14" s="3" customFormat="1" ht="12.2" customHeight="1" thickBot="1" x14ac:dyDescent="0.2">
      <c r="A552" s="21" t="s">
        <v>635</v>
      </c>
      <c r="B552" s="22">
        <v>21</v>
      </c>
      <c r="C552" s="22">
        <v>24</v>
      </c>
      <c r="D552" s="2" t="s">
        <v>432</v>
      </c>
      <c r="E552" s="22"/>
      <c r="F552" s="69">
        <f>L524</f>
        <v>4182757</v>
      </c>
      <c r="G552" s="69">
        <f>L529</f>
        <v>483629</v>
      </c>
      <c r="H552" s="69">
        <f>L534</f>
        <v>162999</v>
      </c>
      <c r="I552" s="69">
        <f>L539</f>
        <v>0</v>
      </c>
      <c r="J552" s="69">
        <f>L544</f>
        <v>456106.12</v>
      </c>
      <c r="K552" s="69">
        <f>SUM(F552:J552)</f>
        <v>5285491.12</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13057851.18</v>
      </c>
      <c r="G553" s="70">
        <f t="shared" si="42"/>
        <v>1465543</v>
      </c>
      <c r="H553" s="70">
        <f t="shared" si="42"/>
        <v>493936</v>
      </c>
      <c r="I553" s="70">
        <f t="shared" si="42"/>
        <v>0</v>
      </c>
      <c r="J553" s="70">
        <f t="shared" si="42"/>
        <v>1383104.38</v>
      </c>
      <c r="K553" s="70">
        <f t="shared" si="42"/>
        <v>16400434.559999999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v>67100</v>
      </c>
      <c r="G564" s="18">
        <v>34635</v>
      </c>
      <c r="H564" s="18">
        <v>1072</v>
      </c>
      <c r="I564" s="18">
        <v>136</v>
      </c>
      <c r="J564" s="18"/>
      <c r="K564" s="18"/>
      <c r="L564" s="69">
        <f>SUM(F564:K564)</f>
        <v>102943</v>
      </c>
      <c r="M564" s="8"/>
      <c r="N564" s="164"/>
    </row>
    <row r="565" spans="1:14" s="3" customFormat="1" ht="12.2" customHeight="1" thickBot="1" x14ac:dyDescent="0.2">
      <c r="A565" s="21" t="s">
        <v>635</v>
      </c>
      <c r="B565" s="22">
        <v>22</v>
      </c>
      <c r="C565" s="22">
        <v>7</v>
      </c>
      <c r="D565" s="2" t="s">
        <v>432</v>
      </c>
      <c r="E565" s="22"/>
      <c r="F565" s="18"/>
      <c r="G565" s="18"/>
      <c r="H565" s="18"/>
      <c r="I565" s="4"/>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67100</v>
      </c>
      <c r="G566" s="70">
        <f t="shared" si="44"/>
        <v>34635</v>
      </c>
      <c r="H566" s="70">
        <f t="shared" si="44"/>
        <v>1072</v>
      </c>
      <c r="I566" s="70">
        <f>SUM(I563:I564)</f>
        <v>136</v>
      </c>
      <c r="J566" s="70">
        <f t="shared" si="44"/>
        <v>0</v>
      </c>
      <c r="K566" s="70">
        <f t="shared" si="44"/>
        <v>0</v>
      </c>
      <c r="L566" s="70">
        <f t="shared" si="44"/>
        <v>102943</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v>142</v>
      </c>
      <c r="L569" s="69">
        <f>SUM(F569:K569)</f>
        <v>142</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142</v>
      </c>
      <c r="L571" s="140">
        <f t="shared" si="45"/>
        <v>142</v>
      </c>
      <c r="M571" s="8"/>
      <c r="N571" s="164"/>
    </row>
    <row r="572" spans="1:14" s="3" customFormat="1" ht="12.2" customHeight="1" thickTop="1" x14ac:dyDescent="0.15">
      <c r="A572" s="75" t="s">
        <v>88</v>
      </c>
      <c r="B572" s="41">
        <v>22</v>
      </c>
      <c r="C572" s="41">
        <v>13</v>
      </c>
      <c r="D572" s="115" t="s">
        <v>432</v>
      </c>
      <c r="E572" s="41"/>
      <c r="F572" s="70">
        <f>F561+F566+F571</f>
        <v>67100</v>
      </c>
      <c r="G572" s="70">
        <f t="shared" ref="G572:L572" si="46">G561+G566+G571</f>
        <v>34635</v>
      </c>
      <c r="H572" s="70">
        <f t="shared" si="46"/>
        <v>1072</v>
      </c>
      <c r="I572" s="70">
        <f t="shared" si="46"/>
        <v>136</v>
      </c>
      <c r="J572" s="70">
        <f t="shared" si="46"/>
        <v>0</v>
      </c>
      <c r="K572" s="70">
        <f t="shared" si="46"/>
        <v>142</v>
      </c>
      <c r="L572" s="70">
        <f t="shared" si="46"/>
        <v>103085</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526248.06000000006</v>
      </c>
      <c r="G583" s="18">
        <v>425040.12</v>
      </c>
      <c r="H583" s="18">
        <v>445286.82</v>
      </c>
      <c r="I583" s="69">
        <f t="shared" si="47"/>
        <v>1396575</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526248.06000000006</v>
      </c>
      <c r="G589" s="79">
        <f t="shared" ref="G589:I589" si="48">SUM(G576:G588)</f>
        <v>425040.12</v>
      </c>
      <c r="H589" s="79">
        <f t="shared" si="48"/>
        <v>445286.82</v>
      </c>
      <c r="I589" s="79">
        <f t="shared" si="48"/>
        <v>1396575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473467.13</v>
      </c>
      <c r="I592" s="18">
        <v>339925.12</v>
      </c>
      <c r="J592" s="18">
        <f>400626.04+14185.29</f>
        <v>414811.32999999996</v>
      </c>
      <c r="K592" s="80">
        <f t="shared" ref="K592:K598" si="49">SUM(H592:J592)</f>
        <v>1228203.58</v>
      </c>
      <c r="L592" s="23" t="s">
        <v>288</v>
      </c>
      <c r="M592" s="8"/>
      <c r="N592" s="164"/>
    </row>
    <row r="593" spans="1:14" s="3" customFormat="1" ht="12.2" customHeight="1" x14ac:dyDescent="0.15">
      <c r="A593" s="3" t="s">
        <v>638</v>
      </c>
      <c r="B593" s="22">
        <v>23</v>
      </c>
      <c r="C593" s="22">
        <v>2</v>
      </c>
      <c r="D593" s="2" t="s">
        <v>432</v>
      </c>
      <c r="E593" s="22"/>
      <c r="F593" s="78">
        <v>2722</v>
      </c>
      <c r="G593" s="79" t="s">
        <v>97</v>
      </c>
      <c r="H593" s="18">
        <v>539034.51</v>
      </c>
      <c r="I593" s="18">
        <v>386999.13</v>
      </c>
      <c r="J593" s="18">
        <v>456106.12</v>
      </c>
      <c r="K593" s="80">
        <f t="shared" si="49"/>
        <v>1382139.76</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195295.75</v>
      </c>
      <c r="K594" s="80">
        <f t="shared" si="49"/>
        <v>195295.75</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f>19013.43+0.97</f>
        <v>19014.400000000001</v>
      </c>
      <c r="J595" s="18">
        <v>90947.09</v>
      </c>
      <c r="K595" s="80">
        <f t="shared" si="49"/>
        <v>109961.48999999999</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12120.21</v>
      </c>
      <c r="I596" s="18">
        <v>15335</v>
      </c>
      <c r="J596" s="18">
        <v>9847.83</v>
      </c>
      <c r="K596" s="80">
        <f t="shared" si="49"/>
        <v>37303.040000000001</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1024621.85</v>
      </c>
      <c r="I599" s="81">
        <f>SUM(I592:I598)</f>
        <v>761273.65</v>
      </c>
      <c r="J599" s="81">
        <f>SUM(J592:J598)</f>
        <v>1167008.1200000001</v>
      </c>
      <c r="K599" s="81">
        <f>SUM(K592:K598)</f>
        <v>2952903.62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172414.91+173923.27</f>
        <v>346338.18</v>
      </c>
      <c r="I605" s="18">
        <f>215694.68+124867.96</f>
        <v>340562.64</v>
      </c>
      <c r="J605" s="18">
        <f>203336.67+251633.69-16648.74</f>
        <v>438321.62</v>
      </c>
      <c r="K605" s="80">
        <f>SUM(H605:J605)</f>
        <v>1125222.44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346338.18</v>
      </c>
      <c r="I606" s="81">
        <f>SUM(I603:I605)</f>
        <v>340562.64</v>
      </c>
      <c r="J606" s="81">
        <f>SUM(J603:J605)</f>
        <v>438321.62</v>
      </c>
      <c r="K606" s="81">
        <f>SUM(K603:K605)</f>
        <v>1125222.44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6733449</v>
      </c>
      <c r="H618" s="80">
        <f>SUM(F52)</f>
        <v>6733449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64533</v>
      </c>
      <c r="H619" s="80">
        <f>SUM(G52)</f>
        <v>64533</v>
      </c>
      <c r="I619" s="87" t="s">
        <v>872</v>
      </c>
      <c r="J619" s="80">
        <f>G619-H619</f>
        <v>0</v>
      </c>
      <c r="K619" s="80"/>
      <c r="L619" s="80"/>
      <c r="M619" s="8"/>
    </row>
    <row r="620" spans="1:14" s="3" customFormat="1" ht="12.2" customHeight="1" x14ac:dyDescent="0.15">
      <c r="A620" s="74"/>
      <c r="B620" s="22"/>
      <c r="C620" s="22"/>
      <c r="D620" s="22"/>
      <c r="E620" s="22"/>
      <c r="F620" s="87" t="s">
        <v>685</v>
      </c>
      <c r="G620" s="80">
        <f>SUM(H19)</f>
        <v>1047429</v>
      </c>
      <c r="H620" s="80">
        <f>SUM(H52)</f>
        <v>1047429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3710117</v>
      </c>
      <c r="H622" s="80">
        <f>SUM(J52)</f>
        <v>3710117</v>
      </c>
      <c r="I622" s="87" t="s">
        <v>875</v>
      </c>
      <c r="J622" s="80">
        <f>G622-H622</f>
        <v>0</v>
      </c>
      <c r="K622" s="80"/>
      <c r="L622" s="80"/>
      <c r="M622" s="8"/>
    </row>
    <row r="623" spans="1:14" s="3" customFormat="1" ht="12.2" customHeight="1" x14ac:dyDescent="0.15">
      <c r="A623" s="74"/>
      <c r="B623" s="22"/>
      <c r="C623" s="22"/>
      <c r="D623" s="22"/>
      <c r="E623" s="22"/>
      <c r="F623" s="87" t="s">
        <v>861</v>
      </c>
      <c r="G623" s="80">
        <f>F51</f>
        <v>3035025</v>
      </c>
      <c r="H623" s="80">
        <f>F477</f>
        <v>3035025</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-218101</v>
      </c>
      <c r="H624" s="80">
        <f>G477</f>
        <v>-218101</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3710117</v>
      </c>
      <c r="H627" s="80">
        <f>J477</f>
        <v>3710117</v>
      </c>
      <c r="I627" s="87" t="s">
        <v>105</v>
      </c>
      <c r="J627" s="80">
        <f t="shared" si="51"/>
        <v>0</v>
      </c>
      <c r="K627" s="67"/>
      <c r="L627" s="69"/>
      <c r="M627" s="8"/>
    </row>
    <row r="628" spans="1:13" s="3" customFormat="1" ht="12.2" customHeight="1" x14ac:dyDescent="0.15">
      <c r="A628" s="21"/>
      <c r="B628" s="22"/>
      <c r="C628" s="22"/>
      <c r="D628" s="22"/>
      <c r="E628" s="22"/>
      <c r="F628" s="86" t="s">
        <v>658</v>
      </c>
      <c r="G628" s="80">
        <f>F194</f>
        <v>53481161.170000002</v>
      </c>
      <c r="H628" s="80">
        <f>SUM(F469)</f>
        <v>53481161.170000002</v>
      </c>
      <c r="I628" s="87" t="s">
        <v>106</v>
      </c>
      <c r="J628" s="80">
        <f>G628-H628</f>
        <v>0</v>
      </c>
      <c r="K628" s="67"/>
      <c r="L628" s="69"/>
      <c r="M628" s="8"/>
    </row>
    <row r="629" spans="1:13" s="3" customFormat="1" ht="12.2" customHeight="1" x14ac:dyDescent="0.15">
      <c r="A629" s="21"/>
      <c r="B629" s="22"/>
      <c r="C629" s="22"/>
      <c r="D629" s="22"/>
      <c r="E629" s="22"/>
      <c r="F629" s="86" t="s">
        <v>659</v>
      </c>
      <c r="G629" s="80">
        <f>G194</f>
        <v>1050473</v>
      </c>
      <c r="H629" s="80">
        <f>SUM(G469)</f>
        <v>1050473</v>
      </c>
      <c r="I629" s="87" t="s">
        <v>107</v>
      </c>
      <c r="J629" s="80">
        <f>G629-H629</f>
        <v>0</v>
      </c>
      <c r="K629" s="67"/>
      <c r="L629" s="69"/>
      <c r="M629" s="8"/>
    </row>
    <row r="630" spans="1:13" s="3" customFormat="1" ht="12.2" customHeight="1" x14ac:dyDescent="0.15">
      <c r="A630" s="21"/>
      <c r="B630" s="22"/>
      <c r="C630" s="22"/>
      <c r="D630" s="22"/>
      <c r="E630" s="22"/>
      <c r="F630" s="86" t="s">
        <v>660</v>
      </c>
      <c r="G630" s="80">
        <f>H194</f>
        <v>3109863.19</v>
      </c>
      <c r="H630" s="80">
        <f>SUM(H469)</f>
        <v>3109863.19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1139877.18</v>
      </c>
      <c r="H632" s="80">
        <f>SUM(J469)</f>
        <v>1139877.18</v>
      </c>
      <c r="I632" s="87" t="s">
        <v>110</v>
      </c>
      <c r="J632" s="80">
        <f>G632-H632</f>
        <v>0</v>
      </c>
      <c r="K632" s="67"/>
      <c r="L632" s="69"/>
      <c r="M632" s="8"/>
    </row>
    <row r="633" spans="1:13" s="3" customFormat="1" ht="12.2" customHeight="1" x14ac:dyDescent="0.15">
      <c r="A633" s="21"/>
      <c r="B633" s="22"/>
      <c r="C633" s="22"/>
      <c r="D633" s="22"/>
      <c r="E633" s="22"/>
      <c r="F633" s="86" t="s">
        <v>394</v>
      </c>
      <c r="G633" s="80">
        <f>SUM(L272)</f>
        <v>54533673.149999999</v>
      </c>
      <c r="H633" s="80">
        <f>SUM(F473)</f>
        <v>54533673.149999999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3109863.1900000004</v>
      </c>
      <c r="H634" s="80">
        <f>SUM(H473)</f>
        <v>3109863.19</v>
      </c>
      <c r="I634" s="87" t="s">
        <v>112</v>
      </c>
      <c r="J634" s="80">
        <f>G634-H634</f>
        <v>0</v>
      </c>
      <c r="K634" s="67"/>
      <c r="L634" s="69"/>
      <c r="M634" s="8"/>
    </row>
    <row r="635" spans="1:13" s="124" customFormat="1" ht="12.2" customHeight="1" x14ac:dyDescent="0.15">
      <c r="A635" s="21"/>
      <c r="B635" s="22"/>
      <c r="C635" s="22"/>
      <c r="D635" s="22"/>
      <c r="E635" s="22"/>
      <c r="F635" s="99" t="s">
        <v>247</v>
      </c>
      <c r="G635" s="80">
        <f>I363</f>
        <v>95000</v>
      </c>
      <c r="H635" s="80">
        <f>I370</f>
        <v>95000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1268574</v>
      </c>
      <c r="H636" s="80">
        <f>SUM(G473)</f>
        <v>1268574</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1139877.18</v>
      </c>
      <c r="H638" s="108">
        <f>SUM(J469)</f>
        <v>1139877.18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1203718</v>
      </c>
      <c r="H639" s="108">
        <f>SUM(J473)</f>
        <v>1203718</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3710117</v>
      </c>
      <c r="H640" s="80">
        <f>SUM(F462)</f>
        <v>3710117</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3710117</v>
      </c>
      <c r="H643" s="80">
        <f>SUM(I462)</f>
        <v>3710117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139877.18</v>
      </c>
      <c r="H645" s="80">
        <f>H409</f>
        <v>139877.18</v>
      </c>
      <c r="I645" s="87" t="s">
        <v>480</v>
      </c>
      <c r="J645" s="80">
        <f t="shared" si="51"/>
        <v>0</v>
      </c>
      <c r="K645" s="67"/>
      <c r="L645" s="69"/>
      <c r="M645" s="8"/>
    </row>
    <row r="646" spans="1:13" s="3" customFormat="1" ht="12.2" customHeight="1" x14ac:dyDescent="0.15">
      <c r="A646" s="21"/>
      <c r="B646" s="22"/>
      <c r="C646" s="22"/>
      <c r="D646" s="22"/>
      <c r="E646" s="22"/>
      <c r="F646" s="86" t="s">
        <v>664</v>
      </c>
      <c r="G646" s="80">
        <f>J184</f>
        <v>1000000</v>
      </c>
      <c r="H646" s="80">
        <f>G409</f>
        <v>1000000</v>
      </c>
      <c r="I646" s="87" t="s">
        <v>481</v>
      </c>
      <c r="J646" s="80">
        <f t="shared" si="51"/>
        <v>0</v>
      </c>
      <c r="K646" s="67"/>
      <c r="L646" s="69"/>
      <c r="M646" s="8"/>
    </row>
    <row r="647" spans="1:13" s="3" customFormat="1" ht="12.2" customHeight="1" x14ac:dyDescent="0.15">
      <c r="A647" s="21"/>
      <c r="B647" s="22"/>
      <c r="C647" s="22"/>
      <c r="D647" s="22"/>
      <c r="E647" s="22"/>
      <c r="F647" s="86" t="s">
        <v>662</v>
      </c>
      <c r="G647" s="80">
        <f>J194</f>
        <v>1139877.18</v>
      </c>
      <c r="H647" s="80">
        <f>L409</f>
        <v>1139877.18</v>
      </c>
      <c r="I647" s="87" t="s">
        <v>477</v>
      </c>
      <c r="J647" s="80">
        <f t="shared" si="51"/>
        <v>0</v>
      </c>
      <c r="K647" s="67"/>
      <c r="L647" s="69"/>
      <c r="M647" s="8"/>
    </row>
    <row r="648" spans="1:13" s="3" customFormat="1" ht="12.2" customHeight="1" x14ac:dyDescent="0.15">
      <c r="A648" s="21"/>
      <c r="B648" s="22"/>
      <c r="C648" s="22"/>
      <c r="D648" s="22"/>
      <c r="E648" s="22"/>
      <c r="F648" s="86" t="s">
        <v>51</v>
      </c>
      <c r="G648" s="80">
        <f>K599</f>
        <v>2952903.62</v>
      </c>
      <c r="H648" s="80">
        <f>L209+L227+L245</f>
        <v>2952903.62</v>
      </c>
      <c r="I648" s="87" t="s">
        <v>396</v>
      </c>
      <c r="J648" s="80">
        <f t="shared" si="51"/>
        <v>0</v>
      </c>
      <c r="K648" s="67"/>
      <c r="L648" s="69"/>
      <c r="M648" s="8"/>
    </row>
    <row r="649" spans="1:13" s="3" customFormat="1" ht="12.2" customHeight="1" x14ac:dyDescent="0.15">
      <c r="A649" s="21"/>
      <c r="B649" s="22"/>
      <c r="C649" s="22"/>
      <c r="D649" s="22"/>
      <c r="E649" s="22"/>
      <c r="F649" s="86" t="s">
        <v>52</v>
      </c>
      <c r="G649" s="80">
        <f>K606</f>
        <v>1125222.44</v>
      </c>
      <c r="H649" s="80">
        <f>(J258+J339)-(J256+J337)</f>
        <v>1125222.44</v>
      </c>
      <c r="I649" s="87" t="s">
        <v>699</v>
      </c>
      <c r="J649" s="80">
        <f t="shared" si="51"/>
        <v>0</v>
      </c>
      <c r="K649" s="67"/>
      <c r="L649" s="69"/>
      <c r="M649" s="8"/>
    </row>
    <row r="650" spans="1:13" s="3" customFormat="1" ht="12.2" customHeight="1" x14ac:dyDescent="0.15">
      <c r="A650" s="21"/>
      <c r="B650" s="22"/>
      <c r="C650" s="22"/>
      <c r="D650" s="22"/>
      <c r="E650" s="22"/>
      <c r="F650" s="86" t="s">
        <v>387</v>
      </c>
      <c r="G650" s="80">
        <f>L209</f>
        <v>1024621.85</v>
      </c>
      <c r="H650" s="80">
        <f>H599</f>
        <v>1024621.85</v>
      </c>
      <c r="I650" s="87" t="s">
        <v>388</v>
      </c>
      <c r="J650" s="80">
        <f t="shared" si="51"/>
        <v>0</v>
      </c>
      <c r="K650" s="67"/>
      <c r="L650" s="69"/>
      <c r="M650" s="8"/>
    </row>
    <row r="651" spans="1:13" s="3" customFormat="1" ht="12.2" customHeight="1" x14ac:dyDescent="0.15">
      <c r="A651" s="21"/>
      <c r="B651" s="22"/>
      <c r="C651" s="22"/>
      <c r="D651" s="22"/>
      <c r="E651" s="22"/>
      <c r="F651" s="86" t="s">
        <v>392</v>
      </c>
      <c r="G651" s="80">
        <f>L227</f>
        <v>761273.65</v>
      </c>
      <c r="H651" s="80">
        <f>I599</f>
        <v>761273.65</v>
      </c>
      <c r="I651" s="87" t="s">
        <v>389</v>
      </c>
      <c r="J651" s="80">
        <f t="shared" si="51"/>
        <v>0</v>
      </c>
      <c r="K651" s="67"/>
      <c r="L651" s="69"/>
      <c r="M651" s="8"/>
    </row>
    <row r="652" spans="1:13" s="3" customFormat="1" ht="12.2" customHeight="1" x14ac:dyDescent="0.15">
      <c r="A652" s="21"/>
      <c r="B652" s="22"/>
      <c r="C652" s="22"/>
      <c r="D652" s="22"/>
      <c r="E652" s="22"/>
      <c r="F652" s="86" t="s">
        <v>393</v>
      </c>
      <c r="G652" s="80">
        <f>L245</f>
        <v>1167008.1200000001</v>
      </c>
      <c r="H652" s="80">
        <f>J599</f>
        <v>1167008.1200000001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1000000</v>
      </c>
      <c r="H656" s="80">
        <f>K267+K348</f>
        <v>1000000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21929014.869999997</v>
      </c>
      <c r="G661" s="13">
        <f>(L230+L310+L360)</f>
        <v>15945094.140000002</v>
      </c>
      <c r="H661" s="13">
        <f>(L248+L329+L361)</f>
        <v>18422152.330000002</v>
      </c>
      <c r="I661" s="13">
        <f>SUM(F661:H661)</f>
        <v>56296261.340000004</v>
      </c>
      <c r="J661" s="13"/>
      <c r="K661" s="13"/>
      <c r="L661" s="13"/>
      <c r="M661" s="9"/>
    </row>
    <row r="662" spans="1:13" s="3" customFormat="1" ht="12.2" customHeight="1" x14ac:dyDescent="0.2">
      <c r="A662" s="1" t="s">
        <v>127</v>
      </c>
      <c r="F662" s="13">
        <f>(L359/IF(SUM(L359:L361)=0,1,SUM(L359:L361))*(SUM(G97:G110)))</f>
        <v>189496.57398232975</v>
      </c>
      <c r="G662" s="13">
        <f>(L360/IF(SUM(L359:L361)=0,1,SUM(L359:L361))*(SUM(G97:G110)))</f>
        <v>175381.17110954504</v>
      </c>
      <c r="H662" s="13">
        <f>(L361/IF(SUM(L359:L361)=0,1,SUM(L359:L361))*(SUM(G97:G110)))</f>
        <v>160343.25490812518</v>
      </c>
      <c r="I662" s="13">
        <f>SUM(F662:H662)</f>
        <v>525221</v>
      </c>
      <c r="J662"/>
      <c r="K662" s="13"/>
      <c r="L662" s="13"/>
      <c r="M662" s="8"/>
    </row>
    <row r="663" spans="1:13" s="3" customFormat="1" ht="12.2" customHeight="1" x14ac:dyDescent="0.2">
      <c r="A663" s="1" t="s">
        <v>128</v>
      </c>
      <c r="F663" s="13">
        <f>(L209+L288)-(J209+J288)</f>
        <v>1101425.7</v>
      </c>
      <c r="G663" s="13">
        <f>(L227+L307)-(J227+J307)</f>
        <v>761709.23</v>
      </c>
      <c r="H663" s="13">
        <f>(L245+L326)-(J245+J326)</f>
        <v>1167721.4800000002</v>
      </c>
      <c r="I663" s="13">
        <f>SUM(F663:H663)</f>
        <v>3030856.41</v>
      </c>
      <c r="J663"/>
      <c r="K663" s="13"/>
      <c r="L663" s="13"/>
      <c r="M663" s="9"/>
    </row>
    <row r="664" spans="1:13" s="3" customFormat="1" ht="12.2" customHeight="1" x14ac:dyDescent="0.15">
      <c r="A664" s="141" t="s">
        <v>129</v>
      </c>
      <c r="B664" s="124"/>
      <c r="C664" s="124"/>
      <c r="D664" s="124"/>
      <c r="E664" s="124"/>
      <c r="F664" s="142">
        <f>SUM(F576:F588)+SUM(H603:H605)+SUM(L612)</f>
        <v>872586.23999999999</v>
      </c>
      <c r="G664" s="142">
        <f>SUM(G576:G588)+SUM(I603:I605)+L613</f>
        <v>765602.76</v>
      </c>
      <c r="H664" s="142">
        <f>SUM(H576:H588)+SUM(J603:J605)+L614</f>
        <v>883608.44</v>
      </c>
      <c r="I664" s="13">
        <f>SUM(F664:H664)</f>
        <v>2521797.44</v>
      </c>
      <c r="J664" s="13"/>
      <c r="K664" s="13"/>
      <c r="L664" s="13"/>
      <c r="M664" s="9"/>
    </row>
    <row r="665" spans="1:13" s="3" customFormat="1" ht="12.2" customHeight="1" x14ac:dyDescent="0.15">
      <c r="A665" s="1" t="s">
        <v>130</v>
      </c>
      <c r="F665" s="13">
        <f>F661-SUM(F662:F664)</f>
        <v>19765506.356017668</v>
      </c>
      <c r="G665" s="13">
        <f>G661-SUM(G662:G664)</f>
        <v>14242400.978890458</v>
      </c>
      <c r="H665" s="13">
        <f>H661-SUM(H662:H664)</f>
        <v>16210479.155091876</v>
      </c>
      <c r="I665" s="13">
        <f>I661-SUM(I662:I664)</f>
        <v>50218386.490000002</v>
      </c>
      <c r="J665" s="13"/>
      <c r="K665" s="13"/>
      <c r="L665" s="13"/>
      <c r="M665" s="8"/>
    </row>
    <row r="666" spans="1:13" s="3" customFormat="1" ht="12.2" customHeight="1" x14ac:dyDescent="0.2">
      <c r="A666" s="1" t="s">
        <v>131</v>
      </c>
      <c r="F666" s="182">
        <v>705.71</v>
      </c>
      <c r="G666" s="183">
        <v>561.87</v>
      </c>
      <c r="H666" s="183">
        <v>637.88</v>
      </c>
      <c r="I666" s="13">
        <f>SUM(F666:H666)</f>
        <v>1905.46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28007.97</v>
      </c>
      <c r="G668" s="13">
        <f>ROUND(G665/G666,2)</f>
        <v>25348.21</v>
      </c>
      <c r="H668" s="13">
        <f>ROUND(H665/H666,2)</f>
        <v>25413.05</v>
      </c>
      <c r="I668" s="13">
        <f>ROUND(I665/I666,2)</f>
        <v>26354.99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-5.27</v>
      </c>
      <c r="I671" s="13">
        <f>SUM(F671:H671)</f>
        <v>-5.27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28007.97</v>
      </c>
      <c r="G673" s="13">
        <f>ROUND((G665+G670)/(G666+G671),2)</f>
        <v>25348.21</v>
      </c>
      <c r="H673" s="13">
        <f>ROUND((H665+H670)/(H666+H671),2)</f>
        <v>25624.76</v>
      </c>
      <c r="I673" s="13">
        <f>ROUND((I665+I670)/(I666+I671),2)</f>
        <v>26428.09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7" zoomScaleNormal="100" workbookViewId="0">
      <selection activeCell="E7" sqref="E7"/>
    </sheetView>
  </sheetViews>
  <sheetFormatPr defaultColWidth="9.1640625" defaultRowHeight="15" x14ac:dyDescent="0.25"/>
  <cols>
    <col min="1" max="2" width="9.1640625" style="258"/>
    <col min="3" max="3" width="154.5" style="258" customWidth="1"/>
    <col min="4" max="4" width="9.1640625" style="258"/>
    <col min="5" max="5" width="14.1640625" style="258" customWidth="1"/>
    <col min="6" max="6" width="13.1640625" style="258" customWidth="1"/>
    <col min="7" max="7" width="9.1640625" style="258"/>
    <col min="8" max="8" width="23.1640625" style="258" customWidth="1"/>
    <col min="9" max="9" width="14.1640625" style="258" customWidth="1"/>
    <col min="10" max="16384" width="9.1640625" style="258"/>
  </cols>
  <sheetData>
    <row r="2" spans="2:8" x14ac:dyDescent="0.25">
      <c r="C2" s="321" t="s">
        <v>1611</v>
      </c>
      <c r="D2" s="321"/>
      <c r="E2" s="321"/>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189028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38212+93740+17830</f>
        <v>149782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31896</f>
        <v>31896</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7350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71"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85" zoomScaleNormal="85" workbookViewId="0">
      <selection activeCell="B36" sqref="B36"/>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2" t="s">
        <v>1547</v>
      </c>
      <c r="B1" s="322"/>
      <c r="C1" s="322"/>
      <c r="D1" s="322"/>
      <c r="E1" s="322"/>
      <c r="F1" s="322"/>
      <c r="G1" s="322"/>
      <c r="H1" s="322"/>
    </row>
    <row r="2" spans="1:9" ht="15" x14ac:dyDescent="0.2">
      <c r="A2" s="322" t="s">
        <v>1787</v>
      </c>
      <c r="B2" s="322"/>
      <c r="C2" s="322"/>
      <c r="D2" s="322"/>
      <c r="E2" s="322"/>
      <c r="F2" s="322"/>
      <c r="G2" s="322"/>
      <c r="H2" s="322"/>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3" t="str">
        <f>'DOE25'!A2</f>
        <v>Contoocook Valley</v>
      </c>
      <c r="C5" s="324"/>
      <c r="D5" s="324"/>
      <c r="E5" s="324"/>
      <c r="F5" s="324"/>
    </row>
    <row r="8" spans="1:9" ht="18" x14ac:dyDescent="0.25">
      <c r="A8" s="239" t="s">
        <v>1548</v>
      </c>
      <c r="F8" s="246" t="s">
        <v>1566</v>
      </c>
    </row>
    <row r="9" spans="1:9" ht="15" x14ac:dyDescent="0.2">
      <c r="A9" s="237" t="s">
        <v>1549</v>
      </c>
      <c r="B9" s="240">
        <f>'DOE25'!G97</f>
        <v>525221</v>
      </c>
      <c r="F9" s="237" t="s">
        <v>1562</v>
      </c>
    </row>
    <row r="10" spans="1:9" ht="15" x14ac:dyDescent="0.2">
      <c r="A10" s="237" t="s">
        <v>1550</v>
      </c>
      <c r="B10" s="240">
        <f>'DOE25'!G112-'DOE25'!G97</f>
        <v>0</v>
      </c>
      <c r="F10" s="237" t="s">
        <v>1563</v>
      </c>
    </row>
    <row r="11" spans="1:9" ht="15" x14ac:dyDescent="0.2">
      <c r="A11" s="237" t="s">
        <v>1551</v>
      </c>
      <c r="B11" s="240">
        <f>'DOE25'!G140</f>
        <v>13114</v>
      </c>
      <c r="F11" s="237" t="s">
        <v>1564</v>
      </c>
    </row>
    <row r="12" spans="1:9" ht="15" x14ac:dyDescent="0.2">
      <c r="A12" s="237" t="s">
        <v>1552</v>
      </c>
      <c r="B12" s="240">
        <f>'DOE25'!G170</f>
        <v>512138</v>
      </c>
      <c r="F12" s="237" t="s">
        <v>1565</v>
      </c>
    </row>
    <row r="13" spans="1:9" ht="15" x14ac:dyDescent="0.2">
      <c r="A13" s="237" t="s">
        <v>1553</v>
      </c>
      <c r="B13" s="240">
        <f>'DOE25'!G193-'DOE25'!G180</f>
        <v>0</v>
      </c>
      <c r="F13" s="237" t="s">
        <v>1575</v>
      </c>
    </row>
    <row r="14" spans="1:9" ht="18" x14ac:dyDescent="0.25">
      <c r="A14" s="239" t="s">
        <v>732</v>
      </c>
      <c r="B14" s="241">
        <f>SUM(B9:B13)</f>
        <v>1050473</v>
      </c>
    </row>
    <row r="16" spans="1:9" ht="18" x14ac:dyDescent="0.25">
      <c r="A16" s="239" t="s">
        <v>783</v>
      </c>
      <c r="F16" s="246" t="s">
        <v>1567</v>
      </c>
    </row>
    <row r="17" spans="1:6" ht="15" x14ac:dyDescent="0.2">
      <c r="A17" s="237" t="s">
        <v>1554</v>
      </c>
      <c r="B17" s="240">
        <f>'DOE25'!L363-'DOE25'!L362</f>
        <v>1268574</v>
      </c>
      <c r="F17" s="237" t="s">
        <v>1568</v>
      </c>
    </row>
    <row r="18" spans="1:6" ht="15" x14ac:dyDescent="0.2">
      <c r="A18" s="237" t="s">
        <v>1555</v>
      </c>
      <c r="B18" s="250"/>
      <c r="F18" s="246" t="s">
        <v>1592</v>
      </c>
    </row>
    <row r="19" spans="1:6" ht="18" x14ac:dyDescent="0.25">
      <c r="A19" s="239" t="s">
        <v>725</v>
      </c>
      <c r="B19" s="241">
        <f>SUM(B17:B18)</f>
        <v>1268574</v>
      </c>
    </row>
    <row r="21" spans="1:6" ht="18.75" thickBot="1" x14ac:dyDescent="0.3">
      <c r="A21" s="239" t="s">
        <v>1556</v>
      </c>
    </row>
    <row r="22" spans="1:6" ht="18.75" thickTop="1" x14ac:dyDescent="0.25">
      <c r="A22" s="239" t="s">
        <v>1557</v>
      </c>
      <c r="B22" s="245">
        <f>B14-B19</f>
        <v>-218101</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-218101</v>
      </c>
      <c r="F33" s="237" t="s">
        <v>1573</v>
      </c>
    </row>
    <row r="36" spans="1:6" ht="15" x14ac:dyDescent="0.2">
      <c r="A36" s="237" t="s">
        <v>1559</v>
      </c>
      <c r="B36" s="251">
        <v>89965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5" zoomScaleNormal="100" workbookViewId="0">
      <selection activeCell="D25" sqref="D25"/>
    </sheetView>
  </sheetViews>
  <sheetFormatPr defaultColWidth="8.6640625" defaultRowHeight="11.25" x14ac:dyDescent="0.2"/>
  <cols>
    <col min="1" max="1" width="26.6640625" customWidth="1"/>
    <col min="2" max="2" width="33.6640625" customWidth="1"/>
    <col min="3" max="3" width="29.5" customWidth="1"/>
  </cols>
  <sheetData>
    <row r="1" spans="1:3" x14ac:dyDescent="0.2">
      <c r="A1" s="170" t="s">
        <v>778</v>
      </c>
      <c r="B1" s="169" t="str">
        <f>'DOE25'!A2</f>
        <v>Contoocook Valley</v>
      </c>
      <c r="C1" s="174" t="s">
        <v>820</v>
      </c>
    </row>
    <row r="2" spans="1:3" x14ac:dyDescent="0.2">
      <c r="A2" s="170"/>
      <c r="B2" s="169"/>
    </row>
    <row r="3" spans="1:3" x14ac:dyDescent="0.2">
      <c r="A3" s="321" t="s">
        <v>777</v>
      </c>
      <c r="B3" s="321"/>
      <c r="C3" s="321"/>
    </row>
    <row r="4" spans="1:3" x14ac:dyDescent="0.2">
      <c r="A4" s="173"/>
      <c r="B4" s="24" t="str">
        <f>'DOE25'!H1</f>
        <v>DOE 25  2023-2024</v>
      </c>
      <c r="C4" s="173"/>
    </row>
    <row r="5" spans="1:3" x14ac:dyDescent="0.2">
      <c r="A5" s="170"/>
      <c r="B5" s="169"/>
    </row>
    <row r="6" spans="1:3" x14ac:dyDescent="0.2">
      <c r="A6" s="164"/>
      <c r="B6" s="327" t="s">
        <v>776</v>
      </c>
      <c r="C6" s="327"/>
    </row>
    <row r="7" spans="1:3" x14ac:dyDescent="0.2">
      <c r="A7" s="175" t="s">
        <v>779</v>
      </c>
      <c r="B7" s="325" t="s">
        <v>775</v>
      </c>
      <c r="C7" s="326"/>
    </row>
    <row r="8" spans="1:3" x14ac:dyDescent="0.2">
      <c r="B8" s="165" t="s">
        <v>54</v>
      </c>
      <c r="C8" s="165" t="s">
        <v>769</v>
      </c>
    </row>
    <row r="9" spans="1:3" x14ac:dyDescent="0.2">
      <c r="A9" s="32" t="s">
        <v>770</v>
      </c>
      <c r="B9" s="166">
        <f>'DOE25'!F198+'DOE25'!F216+'DOE25'!F234+'DOE25'!F277+'DOE25'!F296+'DOE25'!F315</f>
        <v>11651538.709999999</v>
      </c>
      <c r="C9" s="166">
        <f>'DOE25'!G198+'DOE25'!G216+'DOE25'!G234+'DOE25'!G277+'DOE25'!G296+'DOE25'!G315</f>
        <v>5047872.2</v>
      </c>
    </row>
    <row r="10" spans="1:3" x14ac:dyDescent="0.2">
      <c r="A10" t="s">
        <v>772</v>
      </c>
      <c r="B10" s="176">
        <f>10270688+29800</f>
        <v>10300488</v>
      </c>
      <c r="C10" s="176">
        <v>4461459.87</v>
      </c>
    </row>
    <row r="11" spans="1:3" x14ac:dyDescent="0.2">
      <c r="A11" t="s">
        <v>773</v>
      </c>
      <c r="B11" s="176">
        <v>246819</v>
      </c>
      <c r="C11" s="176">
        <v>107215.11</v>
      </c>
    </row>
    <row r="12" spans="1:3" x14ac:dyDescent="0.2">
      <c r="A12" t="s">
        <v>774</v>
      </c>
      <c r="B12" s="176">
        <f>1103155.71+1076</f>
        <v>1104231.71</v>
      </c>
      <c r="C12" s="176">
        <v>479197.22</v>
      </c>
    </row>
    <row r="13" spans="1:3" x14ac:dyDescent="0.2">
      <c r="A13" t="str">
        <f>IF(B9=B13,IF(C9=C13,"Check Total OK","Check Total Error"),"Check Total Error")</f>
        <v>Check Total OK</v>
      </c>
      <c r="B13" s="168">
        <f>SUM(B10:B12)</f>
        <v>11651538.710000001</v>
      </c>
      <c r="C13" s="168">
        <f>SUM(C10:C12)</f>
        <v>5047872.2</v>
      </c>
    </row>
    <row r="14" spans="1:3" x14ac:dyDescent="0.2">
      <c r="B14" s="167"/>
      <c r="C14" s="167"/>
    </row>
    <row r="15" spans="1:3" x14ac:dyDescent="0.2">
      <c r="B15" s="327" t="s">
        <v>776</v>
      </c>
      <c r="C15" s="327"/>
    </row>
    <row r="16" spans="1:3" x14ac:dyDescent="0.2">
      <c r="A16" s="175" t="s">
        <v>780</v>
      </c>
      <c r="B16" s="325" t="s">
        <v>703</v>
      </c>
      <c r="C16" s="326"/>
    </row>
    <row r="17" spans="1:3" x14ac:dyDescent="0.2">
      <c r="B17" s="165" t="s">
        <v>54</v>
      </c>
      <c r="C17" s="165" t="s">
        <v>769</v>
      </c>
    </row>
    <row r="18" spans="1:3" x14ac:dyDescent="0.2">
      <c r="A18" s="32" t="s">
        <v>770</v>
      </c>
      <c r="B18" s="166">
        <f>'DOE25'!F199+'DOE25'!F217+'DOE25'!F235+'DOE25'!F278+'DOE25'!F297+'DOE25'!F316</f>
        <v>7204827.54</v>
      </c>
      <c r="C18" s="166">
        <f>'DOE25'!G199+'DOE25'!G217+'DOE25'!G235+'DOE25'!G278+'DOE25'!G297+'DOE25'!G316</f>
        <v>3527175.9700000007</v>
      </c>
    </row>
    <row r="19" spans="1:3" x14ac:dyDescent="0.2">
      <c r="A19" t="s">
        <v>772</v>
      </c>
      <c r="B19" s="176">
        <f>4147115</f>
        <v>4147115</v>
      </c>
      <c r="C19" s="176">
        <v>2030324.85</v>
      </c>
    </row>
    <row r="20" spans="1:3" x14ac:dyDescent="0.2">
      <c r="A20" t="s">
        <v>773</v>
      </c>
      <c r="B20" s="176">
        <v>2447637</v>
      </c>
      <c r="C20" s="176">
        <v>1198302.58</v>
      </c>
    </row>
    <row r="21" spans="1:3" x14ac:dyDescent="0.2">
      <c r="A21" t="s">
        <v>774</v>
      </c>
      <c r="B21" s="176">
        <f>609809.54+266</f>
        <v>610075.54</v>
      </c>
      <c r="C21" s="176">
        <v>298548.53999999998</v>
      </c>
    </row>
    <row r="22" spans="1:3" x14ac:dyDescent="0.2">
      <c r="A22" t="str">
        <f>IF(B18=B22,IF(C18=C22,"Check Total OK","Check Total Error"),"Check Total Error")</f>
        <v>Check Total OK</v>
      </c>
      <c r="B22" s="168">
        <f>SUM(B19:B21)</f>
        <v>7204827.54</v>
      </c>
      <c r="C22" s="168">
        <f>SUM(C19:C21)</f>
        <v>3527175.97</v>
      </c>
    </row>
    <row r="23" spans="1:3" x14ac:dyDescent="0.2">
      <c r="B23" s="167"/>
      <c r="C23" s="167"/>
    </row>
    <row r="24" spans="1:3" x14ac:dyDescent="0.2">
      <c r="B24" s="327" t="s">
        <v>776</v>
      </c>
      <c r="C24" s="327"/>
    </row>
    <row r="25" spans="1:3" x14ac:dyDescent="0.2">
      <c r="A25" s="175" t="s">
        <v>781</v>
      </c>
      <c r="B25" s="325" t="s">
        <v>704</v>
      </c>
      <c r="C25" s="326"/>
    </row>
    <row r="26" spans="1:3" x14ac:dyDescent="0.2">
      <c r="B26" s="165" t="s">
        <v>54</v>
      </c>
      <c r="C26" s="165" t="s">
        <v>769</v>
      </c>
    </row>
    <row r="27" spans="1:3" x14ac:dyDescent="0.2">
      <c r="A27" s="32" t="s">
        <v>770</v>
      </c>
      <c r="B27" s="171">
        <f>'DOE25'!F200+'DOE25'!F218+'DOE25'!F236+'DOE25'!F279+'DOE25'!F298+'DOE25'!F317</f>
        <v>618856.28</v>
      </c>
      <c r="C27" s="171">
        <f>'DOE25'!G200+'DOE25'!G218+'DOE25'!G236+'DOE25'!G279+'DOE25'!G298+'DOE25'!G317</f>
        <v>253182.8</v>
      </c>
    </row>
    <row r="28" spans="1:3" x14ac:dyDescent="0.2">
      <c r="A28" t="s">
        <v>772</v>
      </c>
      <c r="B28" s="176">
        <v>491924</v>
      </c>
      <c r="C28" s="176">
        <v>201089</v>
      </c>
    </row>
    <row r="29" spans="1:3" x14ac:dyDescent="0.2">
      <c r="A29" t="s">
        <v>773</v>
      </c>
      <c r="B29" s="176"/>
      <c r="C29" s="176"/>
    </row>
    <row r="30" spans="1:3" x14ac:dyDescent="0.2">
      <c r="A30" t="s">
        <v>774</v>
      </c>
      <c r="B30" s="176">
        <f>127438.28-506</f>
        <v>126932.28</v>
      </c>
      <c r="C30" s="176">
        <v>52093.8</v>
      </c>
    </row>
    <row r="31" spans="1:3" x14ac:dyDescent="0.2">
      <c r="A31" t="str">
        <f>IF(B27=B31,IF(C27=C31,"Check Total OK","Check Total Error"),"Check Total Error")</f>
        <v>Check Total OK</v>
      </c>
      <c r="B31" s="168">
        <f>SUM(B28:B30)</f>
        <v>618856.28</v>
      </c>
      <c r="C31" s="168">
        <f>SUM(C28:C30)</f>
        <v>253182.8</v>
      </c>
    </row>
    <row r="33" spans="1:3" x14ac:dyDescent="0.2">
      <c r="B33" s="327" t="s">
        <v>776</v>
      </c>
      <c r="C33" s="327"/>
    </row>
    <row r="34" spans="1:3" x14ac:dyDescent="0.2">
      <c r="A34" s="175" t="s">
        <v>782</v>
      </c>
      <c r="B34" s="325" t="s">
        <v>705</v>
      </c>
      <c r="C34" s="326"/>
    </row>
    <row r="35" spans="1:3" x14ac:dyDescent="0.2">
      <c r="B35" s="165" t="s">
        <v>54</v>
      </c>
      <c r="C35" s="165" t="s">
        <v>769</v>
      </c>
    </row>
    <row r="36" spans="1:3" x14ac:dyDescent="0.2">
      <c r="A36" s="32" t="s">
        <v>770</v>
      </c>
      <c r="B36" s="172">
        <f>'DOE25'!F201+'DOE25'!F219+'DOE25'!F237+'DOE25'!F280+'DOE25'!F299+'DOE25'!F318</f>
        <v>506493.16</v>
      </c>
      <c r="C36" s="172">
        <f>'DOE25'!G201+'DOE25'!G219+'DOE25'!G237+'DOE25'!G280+'DOE25'!G299+'DOE25'!G318</f>
        <v>123133.95999999999</v>
      </c>
    </row>
    <row r="37" spans="1:3" x14ac:dyDescent="0.2">
      <c r="A37" t="s">
        <v>772</v>
      </c>
      <c r="B37" s="176"/>
      <c r="C37" s="176"/>
    </row>
    <row r="38" spans="1:3" x14ac:dyDescent="0.2">
      <c r="A38" t="s">
        <v>773</v>
      </c>
      <c r="B38" s="176"/>
      <c r="C38" s="176"/>
    </row>
    <row r="39" spans="1:3" x14ac:dyDescent="0.2">
      <c r="A39" t="s">
        <v>774</v>
      </c>
      <c r="B39" s="176">
        <v>506493.16</v>
      </c>
      <c r="C39" s="176">
        <v>123133.96</v>
      </c>
    </row>
    <row r="40" spans="1:3" x14ac:dyDescent="0.2">
      <c r="A40" t="str">
        <f>IF(B36=B40,IF(C36=C40,"Check Total OK","Check Total Error"),"Check Total Error")</f>
        <v>Check Total OK</v>
      </c>
      <c r="B40" s="168">
        <f>SUM(B37:B39)</f>
        <v>506493.16</v>
      </c>
      <c r="C40" s="168">
        <f>SUM(C37:C39)</f>
        <v>123133.96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45" zoomScaleNormal="145" workbookViewId="0">
      <pane ySplit="4" topLeftCell="A19" activePane="bottomLeft" state="frozen"/>
      <selection activeCell="F46" sqref="F46"/>
      <selection pane="bottomLeft" activeCell="F42" sqref="F42"/>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7" t="s">
        <v>886</v>
      </c>
      <c r="B1" s="330"/>
      <c r="C1" s="330"/>
      <c r="D1" s="330"/>
      <c r="E1" s="330"/>
      <c r="F1" s="330"/>
      <c r="G1" s="330"/>
      <c r="H1" s="330"/>
      <c r="I1" s="130"/>
    </row>
    <row r="2" spans="1:9" x14ac:dyDescent="0.2">
      <c r="A2" s="32" t="s">
        <v>713</v>
      </c>
      <c r="B2" s="195" t="str">
        <f>'DOE25'!A2</f>
        <v>Contoocook Valley</v>
      </c>
      <c r="C2" s="207"/>
      <c r="D2" s="130" t="s">
        <v>784</v>
      </c>
      <c r="E2" s="130" t="s">
        <v>786</v>
      </c>
      <c r="F2" s="328" t="s">
        <v>885</v>
      </c>
      <c r="G2" s="329"/>
      <c r="H2" s="329"/>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32488766.859999999</v>
      </c>
      <c r="D5" s="19">
        <f>SUM('DOE25'!L198:L201)+SUM('DOE25'!L216:L219)+SUM('DOE25'!L234:L237)-F5-G5-H5</f>
        <v>31903915.550000001</v>
      </c>
      <c r="E5" s="179"/>
      <c r="F5" s="180"/>
      <c r="G5" s="19">
        <f>SUM('DOE25'!J198:J201)+SUM('DOE25'!J216:J219)+SUM('DOE25'!J234:J237)</f>
        <v>521761.63</v>
      </c>
      <c r="H5" s="19">
        <f>SUM('DOE25'!K198:K201)+SUM('DOE25'!K216:K219)+SUM('DOE25'!K234:K237)</f>
        <v>63089.68</v>
      </c>
      <c r="I5" s="191"/>
    </row>
    <row r="6" spans="1:9" x14ac:dyDescent="0.2">
      <c r="A6" s="31">
        <v>2100</v>
      </c>
      <c r="B6" t="s">
        <v>793</v>
      </c>
      <c r="C6" s="205">
        <f t="shared" si="0"/>
        <v>3231426.5799999996</v>
      </c>
      <c r="D6" s="19">
        <f>'DOE25'!L203+'DOE25'!L221+'DOE25'!L239-F6-G6-H6</f>
        <v>3182889.55</v>
      </c>
      <c r="E6" s="179"/>
      <c r="F6" s="180"/>
      <c r="G6" s="19">
        <f>'DOE25'!J203+'DOE25'!J221+'DOE25'!J239</f>
        <v>33149.03</v>
      </c>
      <c r="H6" s="19">
        <f>'DOE25'!K203+'DOE25'!K221+'DOE25'!K239</f>
        <v>15388</v>
      </c>
      <c r="I6" s="191"/>
    </row>
    <row r="7" spans="1:9" x14ac:dyDescent="0.2">
      <c r="A7" s="31">
        <v>2200</v>
      </c>
      <c r="B7" t="s">
        <v>817</v>
      </c>
      <c r="C7" s="205">
        <f t="shared" si="0"/>
        <v>1170812.42</v>
      </c>
      <c r="D7" s="19">
        <f>'DOE25'!L204+'DOE25'!L222+'DOE25'!L240-F7-G7-H7</f>
        <v>1166343.6199999999</v>
      </c>
      <c r="E7" s="179"/>
      <c r="F7" s="180"/>
      <c r="G7" s="19">
        <f>'DOE25'!J204+'DOE25'!J222+'DOE25'!J240</f>
        <v>4468.8</v>
      </c>
      <c r="H7" s="19">
        <f>'DOE25'!K204+'DOE25'!K222+'DOE25'!K240</f>
        <v>0</v>
      </c>
      <c r="I7" s="191"/>
    </row>
    <row r="8" spans="1:9" x14ac:dyDescent="0.2">
      <c r="A8" s="31">
        <v>2300</v>
      </c>
      <c r="B8" t="s">
        <v>794</v>
      </c>
      <c r="C8" s="205">
        <f t="shared" si="0"/>
        <v>3541550.46</v>
      </c>
      <c r="D8" s="179"/>
      <c r="E8" s="19">
        <f>'DOE25'!L205+'DOE25'!L223+'DOE25'!L241-F8-G8-H8-D9-D11</f>
        <v>3507458.52</v>
      </c>
      <c r="F8" s="180"/>
      <c r="G8" s="19">
        <f>'DOE25'!J205+'DOE25'!J223+'DOE25'!J241</f>
        <v>525</v>
      </c>
      <c r="H8" s="19">
        <f>'DOE25'!K205+'DOE25'!K223+'DOE25'!K241</f>
        <v>33566.94</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3907338.49</v>
      </c>
      <c r="D12" s="19">
        <f>'DOE25'!L206+'DOE25'!L224+'DOE25'!L242-F12-G12-H12</f>
        <v>3861863.14</v>
      </c>
      <c r="E12" s="179"/>
      <c r="F12" s="180"/>
      <c r="G12" s="19">
        <f>'DOE25'!J206+'DOE25'!J224+'DOE25'!J242</f>
        <v>0</v>
      </c>
      <c r="H12" s="19">
        <f>'DOE25'!K206+'DOE25'!K224+'DOE25'!K242</f>
        <v>45475.35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4620098.7200000007</v>
      </c>
      <c r="D14" s="19">
        <f>'DOE25'!L208+'DOE25'!L226+'DOE25'!L244-F14-G14-H14</f>
        <v>4608955.6700000009</v>
      </c>
      <c r="E14" s="179"/>
      <c r="F14" s="180"/>
      <c r="G14" s="19">
        <f>'DOE25'!J208+'DOE25'!J226+'DOE25'!J244</f>
        <v>11143.05</v>
      </c>
      <c r="H14" s="19">
        <f>'DOE25'!K208+'DOE25'!K226+'DOE25'!K244</f>
        <v>0</v>
      </c>
      <c r="I14" s="191"/>
    </row>
    <row r="15" spans="1:9" x14ac:dyDescent="0.2">
      <c r="A15" s="31">
        <v>2700</v>
      </c>
      <c r="B15" t="s">
        <v>796</v>
      </c>
      <c r="C15" s="205">
        <f t="shared" si="0"/>
        <v>2952903.62</v>
      </c>
      <c r="D15" s="19">
        <f>'DOE25'!L209+'DOE25'!L227+'DOE25'!L245-F15-G15-H15</f>
        <v>2952903.62</v>
      </c>
      <c r="E15" s="179"/>
      <c r="F15" s="180"/>
      <c r="G15" s="19">
        <f>'DOE25'!J209+'DOE25'!J227+'DOE25'!J245</f>
        <v>0</v>
      </c>
      <c r="H15" s="19">
        <f>'DOE25'!K209+'DOE25'!K227+'DOE25'!K245</f>
        <v>0</v>
      </c>
      <c r="I15" s="191"/>
    </row>
    <row r="16" spans="1:9" x14ac:dyDescent="0.2">
      <c r="A16" s="31">
        <v>2800</v>
      </c>
      <c r="B16" t="s">
        <v>797</v>
      </c>
      <c r="C16" s="205">
        <f t="shared" si="0"/>
        <v>4927</v>
      </c>
      <c r="D16" s="179"/>
      <c r="E16" s="19">
        <f>'DOE25'!L210+'DOE25'!L228+'DOE25'!L246-F16-G16-H16</f>
        <v>4927</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1431259</v>
      </c>
      <c r="D22" s="179"/>
      <c r="E22" s="179"/>
      <c r="F22" s="179"/>
      <c r="G22" s="19">
        <f>'DOE25'!L256+'DOE25'!L337</f>
        <v>1431259</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184590</v>
      </c>
      <c r="D25" s="179"/>
      <c r="E25" s="179"/>
      <c r="F25" s="190"/>
      <c r="G25" s="179"/>
      <c r="H25" s="179"/>
      <c r="I25" s="189">
        <f>'DOE25'!L261+'DOE25'!L262+'DOE25'!L342+'DOE25'!L343</f>
        <v>184590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1173574</v>
      </c>
      <c r="D29" s="211">
        <f>'DOE25'!L359+'DOE25'!L360+'DOE25'!L361-'DOE25'!I368-F29-G29-H29-F39</f>
        <v>1173574</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3109863.1900000009</v>
      </c>
      <c r="D31" s="19">
        <f>'DOE25'!L291+'DOE25'!L310+'DOE25'!L329+'DOE25'!L334+'DOE25'!L335+'DOE25'!L336-F31-G31-H31</f>
        <v>2542657.0800000005</v>
      </c>
      <c r="E31" s="179"/>
      <c r="F31" s="180"/>
      <c r="G31" s="19">
        <f>'DOE25'!J291+'DOE25'!J310+'DOE25'!J329+'DOE25'!J334+'DOE25'!J335+'DOE25'!J336</f>
        <v>554174.92999999993</v>
      </c>
      <c r="H31" s="19">
        <f>'DOE25'!K291+'DOE25'!K310+'DOE25'!K329+'DOE25'!K334+'DOE25'!K335+'DOE25'!K336</f>
        <v>13031.18</v>
      </c>
      <c r="I31" s="191"/>
    </row>
    <row r="32" spans="1:9" ht="12" thickBot="1" x14ac:dyDescent="0.25">
      <c r="C32" s="206"/>
      <c r="G32" s="187"/>
      <c r="H32" s="187"/>
      <c r="I32" s="193"/>
    </row>
    <row r="33" spans="1:9" ht="12" thickTop="1" x14ac:dyDescent="0.2">
      <c r="B33" t="s">
        <v>806</v>
      </c>
      <c r="D33" s="181">
        <f t="shared" ref="D33:I33" si="1">SUM(D5:D31)</f>
        <v>51393102.229999997</v>
      </c>
      <c r="E33" s="181">
        <f t="shared" si="1"/>
        <v>3512385.52</v>
      </c>
      <c r="F33" s="181">
        <f t="shared" si="1"/>
        <v>0</v>
      </c>
      <c r="G33" s="181">
        <f t="shared" si="1"/>
        <v>2556481.4400000004</v>
      </c>
      <c r="H33" s="181">
        <f t="shared" si="1"/>
        <v>170551.15</v>
      </c>
      <c r="I33" s="181">
        <f t="shared" si="1"/>
        <v>184590</v>
      </c>
    </row>
    <row r="34" spans="1:9" ht="12" thickBot="1" x14ac:dyDescent="0.25"/>
    <row r="35" spans="1:9" ht="12" thickBot="1" x14ac:dyDescent="0.25">
      <c r="B35" s="187" t="s">
        <v>827</v>
      </c>
      <c r="D35" s="188">
        <f>E33</f>
        <v>3512385.52</v>
      </c>
      <c r="E35" s="184"/>
      <c r="F35" s="294" t="s">
        <v>1596</v>
      </c>
      <c r="G35" s="295"/>
      <c r="H35" s="295"/>
      <c r="I35" s="296"/>
    </row>
    <row r="36" spans="1:9" ht="12" thickTop="1" x14ac:dyDescent="0.2">
      <c r="B36" t="s">
        <v>807</v>
      </c>
      <c r="D36" s="19">
        <f>D33</f>
        <v>51393102.229999997</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320"/>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1" t="s">
        <v>1774</v>
      </c>
      <c r="C54" s="331"/>
      <c r="D54" s="331"/>
      <c r="E54" s="331"/>
      <c r="F54" s="331"/>
      <c r="G54" s="331"/>
      <c r="H54" s="331"/>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9" zoomScaleNormal="100" workbookViewId="0">
      <selection activeCell="A40" sqref="A40"/>
    </sheetView>
  </sheetViews>
  <sheetFormatPr defaultColWidth="8.6640625" defaultRowHeight="11.25" x14ac:dyDescent="0.2"/>
  <cols>
    <col min="1" max="1" width="41.5" customWidth="1"/>
    <col min="2" max="2" width="22.1640625" customWidth="1"/>
    <col min="3" max="3" width="28.1640625" customWidth="1"/>
    <col min="4" max="4" width="19.1640625" customWidth="1"/>
    <col min="5" max="5" width="18" customWidth="1"/>
    <col min="6" max="6" width="20.1640625" customWidth="1"/>
    <col min="7" max="7" width="23.6640625" customWidth="1"/>
    <col min="8" max="8" width="19.1640625" customWidth="1"/>
    <col min="9" max="9" width="26.6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2" ht="51.75" customHeight="1" x14ac:dyDescent="0.25">
      <c r="A1" t="s">
        <v>893</v>
      </c>
      <c r="B1" t="s">
        <v>894</v>
      </c>
      <c r="D1" s="32" t="s">
        <v>1546</v>
      </c>
      <c r="J1" s="314" t="s">
        <v>1797</v>
      </c>
      <c r="K1" s="314"/>
      <c r="L1" s="314"/>
      <c r="M1" s="314"/>
      <c r="N1" s="314"/>
      <c r="O1" s="332" t="s">
        <v>1802</v>
      </c>
      <c r="P1" s="333"/>
      <c r="Q1" s="333"/>
      <c r="R1" s="333"/>
      <c r="S1" s="333"/>
      <c r="T1" s="333"/>
      <c r="U1" s="333"/>
      <c r="V1" s="333"/>
    </row>
    <row r="2" spans="1:22" ht="15.75" customHeight="1" thickBot="1" x14ac:dyDescent="0.25">
      <c r="A2" s="220" t="str">
        <f>'DOE25'!A2</f>
        <v>Contoocook Valley</v>
      </c>
      <c r="B2">
        <f>'DOE25'!B2</f>
        <v>112</v>
      </c>
      <c r="J2" s="223" t="s">
        <v>1799</v>
      </c>
      <c r="K2" s="308">
        <f>SUM('DOE25'!L198:L201)+SUM('DOE25'!L277:L280)</f>
        <v>13235403.02</v>
      </c>
      <c r="L2" s="308">
        <f>'DOE25'!L203+'DOE25'!L282</f>
        <v>1204121.0699999998</v>
      </c>
      <c r="M2" s="308">
        <f>'DOE25'!L204+'DOE25'!L283</f>
        <v>551197.88</v>
      </c>
      <c r="N2" s="308">
        <f>'DOE25'!L206+'DOE25'!L285</f>
        <v>2039446.1300000001</v>
      </c>
      <c r="O2" s="316">
        <f>'Salaries-Benefits'!B10+'Salaries-Benefits'!B12+'Salaries-Benefits'!B19+'Salaries-Benefits'!B21+'Salaries-Benefits'!B28+'Salaries-Benefits'!B30+'Salaries-Benefits'!B37+'Salaries-Benefits'!B39</f>
        <v>17287259.690000001</v>
      </c>
      <c r="P2" s="316">
        <f>'Salaries-Benefits'!B11+'Salaries-Benefits'!B20+'Salaries-Benefits'!B29+'Salaries-Benefits'!B38</f>
        <v>2694456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21471321.009999998</v>
      </c>
      <c r="G4" s="228">
        <f>'DOE25'!L212+'DOE25'!L291</f>
        <v>21471321.009999998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526248.06000000006</v>
      </c>
      <c r="E5" s="219"/>
      <c r="F5" s="231">
        <f>D5+E5</f>
        <v>526248.06000000006</v>
      </c>
      <c r="G5" s="222"/>
      <c r="H5" s="222"/>
      <c r="J5" s="71" t="s">
        <v>1798</v>
      </c>
      <c r="K5" s="20">
        <v>526248.06000000006</v>
      </c>
      <c r="L5" s="20"/>
      <c r="M5" s="20"/>
      <c r="N5" s="20"/>
      <c r="O5" s="20"/>
      <c r="P5" s="20"/>
      <c r="Q5" s="20"/>
    </row>
    <row r="6" spans="1:22" x14ac:dyDescent="0.2">
      <c r="A6" t="str" cm="1">
        <f t="array" ref="A6">IFERROR(INDEX('School Tables'!$A$4:$G$365,'School Tables'!$J4,3),"")</f>
        <v>Antrim Elementary School</v>
      </c>
      <c r="B6" s="229">
        <f>IFERROR(VLOOKUP(A6,'School Tables'!$C$3:$D$365,2,FALSE),"")</f>
        <v>22215</v>
      </c>
      <c r="C6" s="222" t="str">
        <f>IFERROR(INDEX('School Tables'!$B$3:$B$365,MATCH('School Level Expenditures'!B6,'School Tables'!$D$3:$D$365,0)),"")</f>
        <v>Contoocook Valley</v>
      </c>
      <c r="D6" s="219">
        <f>2393816+989039+32041</f>
        <v>3414896</v>
      </c>
      <c r="E6" s="219">
        <v>265499</v>
      </c>
      <c r="F6" s="231">
        <f t="shared" ref="F6:F20" si="2">D6+E6</f>
        <v>3680395</v>
      </c>
      <c r="G6" s="222"/>
      <c r="H6" s="222"/>
      <c r="J6" t="str">
        <f t="shared" ref="J6:J20" si="3">A6</f>
        <v>Antrim Elementary School</v>
      </c>
      <c r="K6" s="20">
        <f>1685808+773291.23-96467.72</f>
        <v>2362631.5099999998</v>
      </c>
      <c r="L6" s="20">
        <f>188776+31953.34</f>
        <v>220729.34</v>
      </c>
      <c r="M6" s="307">
        <f>59741+42353</f>
        <v>102094</v>
      </c>
      <c r="N6" s="20">
        <f>243314+16320</f>
        <v>259634</v>
      </c>
      <c r="O6" s="20">
        <f>904348+298209</f>
        <v>1202557</v>
      </c>
      <c r="P6" s="20">
        <f>215981+74688</f>
        <v>290669</v>
      </c>
      <c r="Q6" s="20">
        <v>2354.58</v>
      </c>
    </row>
    <row r="7" spans="1:22" x14ac:dyDescent="0.2">
      <c r="A7" t="str" cm="1">
        <f t="array" ref="A7">IFERROR(INDEX('School Tables'!$A$4:$G$365,'School Tables'!$J5,3),"")</f>
        <v>Dublin Consolidated School</v>
      </c>
      <c r="B7" s="229">
        <f>IFERROR(VLOOKUP(A7,'School Tables'!$C$3:$D$365,2,FALSE),"")</f>
        <v>22230</v>
      </c>
      <c r="C7" s="222" t="str">
        <f>IFERROR(INDEX('School Tables'!$B$3:$B$365,MATCH('School Level Expenditures'!B7,'School Tables'!$D$3:$D$365,0)),"")</f>
        <v>Contoocook Valley</v>
      </c>
      <c r="D7" s="219">
        <f>1258679+388794+12595.43</f>
        <v>1660068.43</v>
      </c>
      <c r="E7" s="219">
        <v>104368</v>
      </c>
      <c r="F7" s="231">
        <f t="shared" si="2"/>
        <v>1764436.43</v>
      </c>
      <c r="G7" s="222"/>
      <c r="H7" s="222"/>
      <c r="J7" t="str">
        <f t="shared" si="3"/>
        <v>Dublin Consolidated School</v>
      </c>
      <c r="K7" s="20">
        <f>771431+303983-37921.79</f>
        <v>1037492.21</v>
      </c>
      <c r="L7" s="20">
        <f>74208+12560.97</f>
        <v>86768.97</v>
      </c>
      <c r="M7" s="307">
        <f>25223+16648</f>
        <v>41871</v>
      </c>
      <c r="N7" s="20">
        <f>231781+6415</f>
        <v>238196</v>
      </c>
      <c r="O7" s="20">
        <f>419134+117227</f>
        <v>536361</v>
      </c>
      <c r="P7" s="20">
        <f>67606+29360</f>
        <v>96966</v>
      </c>
      <c r="Q7" s="20">
        <v>1481.46</v>
      </c>
    </row>
    <row r="8" spans="1:22" x14ac:dyDescent="0.2">
      <c r="A8" t="str" cm="1">
        <f t="array" ref="A8">IFERROR(INDEX('School Tables'!$A$4:$G$365,'School Tables'!$J6,3),"")</f>
        <v>Francestown Elementary School</v>
      </c>
      <c r="B8" s="229">
        <f>IFERROR(VLOOKUP(A8,'School Tables'!$C$3:$D$365,2,FALSE),"")</f>
        <v>22245</v>
      </c>
      <c r="C8" s="222" t="str">
        <f>IFERROR(INDEX('School Tables'!$B$3:$B$365,MATCH('School Level Expenditures'!B8,'School Tables'!$D$3:$D$365,0)),"")</f>
        <v>Contoocook Valley</v>
      </c>
      <c r="D8" s="219">
        <f>686157+306943+9943.76</f>
        <v>1003043.76</v>
      </c>
      <c r="E8" s="219">
        <v>82396</v>
      </c>
      <c r="F8" s="231">
        <f t="shared" si="2"/>
        <v>1085439.76</v>
      </c>
      <c r="G8" s="222"/>
      <c r="H8" s="222"/>
      <c r="J8" t="str">
        <f t="shared" si="3"/>
        <v>Francestown Elementary School</v>
      </c>
      <c r="K8" s="20">
        <f>317636+239986-29938.26</f>
        <v>527683.74</v>
      </c>
      <c r="L8" s="20">
        <f>58585+9916.55</f>
        <v>68501.55</v>
      </c>
      <c r="M8" s="307">
        <f>28699+13143</f>
        <v>41842</v>
      </c>
      <c r="N8" s="20">
        <f>195841+5064</f>
        <v>200905</v>
      </c>
      <c r="O8" s="20">
        <f>235345+92547</f>
        <v>327892</v>
      </c>
      <c r="P8" s="20">
        <f>23179+4</f>
        <v>23183</v>
      </c>
      <c r="Q8" s="20">
        <v>870.61</v>
      </c>
    </row>
    <row r="9" spans="1:22" x14ac:dyDescent="0.2">
      <c r="A9" t="str" cm="1">
        <f t="array" ref="A9">IFERROR(INDEX('School Tables'!$A$4:$G$365,'School Tables'!$J7,3),"")</f>
        <v>Greenfield Elementary School</v>
      </c>
      <c r="B9" s="229">
        <f>IFERROR(VLOOKUP(A9,'School Tables'!$C$3:$D$365,2,FALSE),"")</f>
        <v>22250</v>
      </c>
      <c r="C9" s="222" t="str">
        <f>IFERROR(INDEX('School Tables'!$B$3:$B$365,MATCH('School Level Expenditures'!B9,'School Tables'!$D$3:$D$365,0)),"")</f>
        <v>Contoocook Valley</v>
      </c>
      <c r="D9" s="219">
        <f>1558115+654812+21213.35</f>
        <v>2234140.35</v>
      </c>
      <c r="E9" s="219">
        <v>175779</v>
      </c>
      <c r="F9" s="231">
        <f t="shared" si="2"/>
        <v>2409919.35</v>
      </c>
      <c r="G9" s="222"/>
      <c r="H9" s="222"/>
      <c r="J9" t="str">
        <f t="shared" si="3"/>
        <v>Greenfield Elementary School</v>
      </c>
      <c r="K9" s="20">
        <f>1000141+511972-63868.29</f>
        <v>1448244.71</v>
      </c>
      <c r="L9" s="20">
        <f>124983+21155.32</f>
        <v>146138.32</v>
      </c>
      <c r="M9" s="307">
        <f>26729+28040</f>
        <v>54769</v>
      </c>
      <c r="N9" s="20">
        <f>242364+10805</f>
        <v>253169</v>
      </c>
      <c r="O9" s="20">
        <f>539270+197435</f>
        <v>736705</v>
      </c>
      <c r="P9" s="20">
        <f>147811+49448</f>
        <v>197259</v>
      </c>
      <c r="Q9" s="20">
        <v>2188.4299999999998</v>
      </c>
    </row>
    <row r="10" spans="1:22" x14ac:dyDescent="0.2">
      <c r="A10" t="str" cm="1">
        <f t="array" ref="A10">IFERROR(INDEX('School Tables'!$A$4:$G$365,'School Tables'!$J8,3),"")</f>
        <v>Hancock Elementary School</v>
      </c>
      <c r="B10" s="229">
        <f>IFERROR(VLOOKUP(A10,'School Tables'!$C$3:$D$365,2,FALSE),"")</f>
        <v>22260</v>
      </c>
      <c r="C10" s="222" t="str">
        <f>IFERROR(INDEX('School Tables'!$B$3:$B$365,MATCH('School Level Expenditures'!B10,'School Tables'!$D$3:$D$365,0)),"")</f>
        <v>Contoocook Valley</v>
      </c>
      <c r="D10" s="219">
        <f>1415579+600244+19445.57</f>
        <v>2035268.57</v>
      </c>
      <c r="E10" s="219">
        <v>161130</v>
      </c>
      <c r="F10" s="231">
        <f t="shared" si="2"/>
        <v>2196398.5700000003</v>
      </c>
      <c r="G10" s="222"/>
      <c r="H10" s="222"/>
      <c r="J10" t="str">
        <f t="shared" si="3"/>
        <v>Hancock Elementary School</v>
      </c>
      <c r="K10" s="20">
        <f>1067528+469307-58545.93</f>
        <v>1478289.07</v>
      </c>
      <c r="L10" s="20">
        <f>114567+19392.37</f>
        <v>133959.37</v>
      </c>
      <c r="M10" s="20">
        <f>29958+25703</f>
        <v>55661</v>
      </c>
      <c r="N10" s="20">
        <f>142524+9904</f>
        <v>152428</v>
      </c>
      <c r="O10" s="20">
        <f>523346+180982</f>
        <v>704328</v>
      </c>
      <c r="P10" s="20">
        <f>159165+45328</f>
        <v>204493</v>
      </c>
      <c r="Q10" s="20">
        <v>1868.65</v>
      </c>
    </row>
    <row r="11" spans="1:22" x14ac:dyDescent="0.2">
      <c r="A11" t="str" cm="1">
        <f t="array" ref="A11">IFERROR(INDEX('School Tables'!$A$4:$G$365,'School Tables'!$J9,3),"")</f>
        <v>Peterborough Elementary School</v>
      </c>
      <c r="B11" s="229">
        <f>IFERROR(VLOOKUP(A11,'School Tables'!$C$3:$D$365,2,FALSE),"")</f>
        <v>22310</v>
      </c>
      <c r="C11" s="222" t="str">
        <f>IFERROR(INDEX('School Tables'!$B$3:$B$365,MATCH('School Level Expenditures'!B11,'School Tables'!$D$3:$D$365,0)),"")</f>
        <v>Contoocook Valley</v>
      </c>
      <c r="D11" s="219">
        <f>4495280+1746166+56568.94</f>
        <v>6298014.9400000004</v>
      </c>
      <c r="E11" s="219">
        <v>468744</v>
      </c>
      <c r="F11" s="231">
        <f t="shared" si="2"/>
        <v>6766758.9400000004</v>
      </c>
      <c r="G11" s="222"/>
      <c r="H11" s="222"/>
      <c r="J11" t="str">
        <f t="shared" si="3"/>
        <v>Peterborough Elementary School</v>
      </c>
      <c r="K11" s="20">
        <f>3090695+1365259-170315.43</f>
        <v>4285638.57</v>
      </c>
      <c r="L11" s="20">
        <f>333328+56414.18</f>
        <v>389742.18</v>
      </c>
      <c r="M11" s="20">
        <f>95880+74774+4.88</f>
        <v>170658.88</v>
      </c>
      <c r="N11" s="20">
        <f>438695+28814+4.13</f>
        <v>467513.13</v>
      </c>
      <c r="O11" s="20">
        <f>1580876+526493+3.69+836</f>
        <v>2108208.69</v>
      </c>
      <c r="P11" s="20">
        <f>389640+131863</f>
        <v>521503</v>
      </c>
      <c r="Q11" s="20">
        <v>5746.55</v>
      </c>
    </row>
    <row r="12" spans="1:22" x14ac:dyDescent="0.2">
      <c r="A12" t="str" cm="1">
        <f t="array" ref="A12">IFERROR(INDEX('School Tables'!$A$4:$G$365,'School Tables'!$J10,3),"")</f>
        <v>Pierce Elementary School</v>
      </c>
      <c r="B12" s="229">
        <f>IFERROR(VLOOKUP(A12,'School Tables'!$C$3:$D$365,2,FALSE),"")</f>
        <v>22225</v>
      </c>
      <c r="C12" s="222" t="str">
        <f>IFERROR(INDEX('School Tables'!$B$3:$B$365,MATCH('School Level Expenditures'!B12,'School Tables'!$D$3:$D$365,0)),"")</f>
        <v>Contoocook Valley</v>
      </c>
      <c r="D12" s="219">
        <f>1150765+443362+14363.21+8617.94</f>
        <v>1617108.15</v>
      </c>
      <c r="E12" s="219">
        <v>119017</v>
      </c>
      <c r="F12" s="231">
        <f t="shared" si="2"/>
        <v>1736125.15</v>
      </c>
      <c r="G12" s="222"/>
      <c r="H12" s="222"/>
      <c r="J12" t="str">
        <f t="shared" si="3"/>
        <v>Pierce Elementary School</v>
      </c>
      <c r="K12" s="20">
        <f>618418+346647-43244.15</f>
        <v>921820.85</v>
      </c>
      <c r="L12" s="20">
        <f>84624+14323.91</f>
        <v>98947.91</v>
      </c>
      <c r="M12" s="20">
        <f>29172+18985</f>
        <v>48157</v>
      </c>
      <c r="N12" s="20">
        <f>224568+7316</f>
        <v>231884</v>
      </c>
      <c r="O12" s="315">
        <v>493673</v>
      </c>
      <c r="P12" s="20">
        <f>55899+33481</f>
        <v>89380</v>
      </c>
      <c r="Q12" s="20">
        <v>1715.79</v>
      </c>
    </row>
    <row r="13" spans="1:22" x14ac:dyDescent="0.2">
      <c r="A13" t="str" cm="1">
        <f t="array" ref="A13">IFERROR(INDEX('School Tables'!$A$4:$G$365,'School Tables'!$J11,3),"")</f>
        <v>Temple Elementary School</v>
      </c>
      <c r="B13" s="229">
        <f>IFERROR(VLOOKUP(A13,'School Tables'!$C$3:$D$365,2,FALSE),"")</f>
        <v>22330</v>
      </c>
      <c r="C13" s="222" t="str">
        <f>IFERROR(INDEX('School Tables'!$B$3:$B$365,MATCH('School Level Expenditures'!B13,'School Tables'!$D$3:$D$365,0)),"")</f>
        <v>Contoocook Valley</v>
      </c>
      <c r="D13" s="219">
        <f>968168+266021.75</f>
        <v>1234189.75</v>
      </c>
      <c r="E13" s="219">
        <v>71410</v>
      </c>
      <c r="F13" s="231">
        <f t="shared" si="2"/>
        <v>1305599.75</v>
      </c>
      <c r="G13" s="222"/>
      <c r="H13" s="222"/>
      <c r="J13" t="str">
        <f t="shared" si="3"/>
        <v>Temple Elementary School</v>
      </c>
      <c r="K13" s="20">
        <f>465309+207988+3.79-25946.49</f>
        <v>647354.30000000005</v>
      </c>
      <c r="L13" s="20">
        <f>50739.07+8594.36</f>
        <v>59333.43</v>
      </c>
      <c r="M13" s="20">
        <f>24754+11391</f>
        <v>36145</v>
      </c>
      <c r="N13" s="20">
        <f>231328+4389</f>
        <v>235717</v>
      </c>
      <c r="O13" s="20">
        <f>283721+80208</f>
        <v>363929</v>
      </c>
      <c r="P13" s="20">
        <f>37834+20088</f>
        <v>57922</v>
      </c>
      <c r="Q13" s="20">
        <v>1187.1600000000001</v>
      </c>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20022978.009999998</v>
      </c>
      <c r="E21" s="261">
        <f>SUM(E5:E20)</f>
        <v>1448343</v>
      </c>
      <c r="F21" s="216"/>
      <c r="G21" s="216"/>
      <c r="H21" s="216"/>
      <c r="K21" s="262">
        <f t="shared" ref="K21:Q21" si="4">SUM(K5:K20)</f>
        <v>13235403.020000001</v>
      </c>
      <c r="L21" s="262">
        <f t="shared" si="4"/>
        <v>1204121.0699999998</v>
      </c>
      <c r="M21" s="262">
        <f t="shared" si="4"/>
        <v>551197.88</v>
      </c>
      <c r="N21" s="262">
        <f t="shared" si="4"/>
        <v>2039446.13</v>
      </c>
      <c r="O21" s="262">
        <f t="shared" si="4"/>
        <v>6473653.6899999995</v>
      </c>
      <c r="P21" s="262">
        <f t="shared" si="4"/>
        <v>1481375</v>
      </c>
      <c r="Q21" s="262">
        <f t="shared" si="4"/>
        <v>17413.23</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10360699.120000001</v>
      </c>
      <c r="L23" s="19">
        <f>'DOE25'!L221+'DOE25'!L301</f>
        <v>696900.96</v>
      </c>
      <c r="M23" s="19">
        <f>'DOE25'!L222+'DOE25'!L302</f>
        <v>383167.92000000004</v>
      </c>
      <c r="N23" s="19">
        <f>'DOE25'!L224+'DOE25'!L304</f>
        <v>929957.24</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15521493.42</v>
      </c>
      <c r="G25" s="228">
        <f>'DOE25'!L230+'DOE25'!L310</f>
        <v>15521493.420000002</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425040.12</v>
      </c>
      <c r="E26" s="219"/>
      <c r="F26" s="231">
        <f>D26+E26</f>
        <v>425040.12</v>
      </c>
      <c r="G26" s="222"/>
      <c r="H26" s="222"/>
      <c r="J26" s="71" t="s">
        <v>1798</v>
      </c>
      <c r="K26" s="315">
        <v>425040.12</v>
      </c>
      <c r="L26" s="315"/>
      <c r="M26" s="315"/>
      <c r="N26" s="315"/>
      <c r="O26" s="315"/>
      <c r="P26" s="315"/>
      <c r="Q26" s="315"/>
    </row>
    <row r="27" spans="1:17" x14ac:dyDescent="0.2">
      <c r="A27" t="str" cm="1">
        <f t="array" ref="A27">IFERROR(INDEX('School Tables'!$L$4:$R$100,'School Tables'!$U4,3),"")</f>
        <v>Great Brook School</v>
      </c>
      <c r="B27" s="229">
        <f>IFERROR(VLOOKUP(A27,'School Tables'!$N$4:$O$100,2,FALSE),"")</f>
        <v>22210</v>
      </c>
      <c r="C27" s="222" t="str">
        <f>IFERROR(INDEX('School Tables'!$M$4:$M$100,MATCH('School Level Expenditures'!A27,'School Tables'!$N$4:$N$100,0)),"")</f>
        <v>Contoocook Valley</v>
      </c>
      <c r="D27" s="219">
        <f>4257994+1827472-229044.22-8270.58</f>
        <v>5848151.2000000002</v>
      </c>
      <c r="E27" s="219">
        <v>275845</v>
      </c>
      <c r="F27" s="231">
        <f t="shared" ref="F27:F33" si="6">D27+E27</f>
        <v>6123996.2000000002</v>
      </c>
      <c r="G27" s="222"/>
      <c r="H27" s="222"/>
      <c r="J27" t="str">
        <f t="shared" ref="J27:J33" si="7">A27</f>
        <v>Great Brook School</v>
      </c>
      <c r="K27" s="20">
        <f>2853583+1145939+17807+336-163363.25</f>
        <v>3854301.75</v>
      </c>
      <c r="L27" s="20">
        <f>189153.4+56070+9302.37</f>
        <v>254525.77</v>
      </c>
      <c r="M27" s="307">
        <f>132528+62924</f>
        <v>195452</v>
      </c>
      <c r="N27" s="319">
        <f>467680+8180.46</f>
        <v>475860.46</v>
      </c>
      <c r="O27" s="315">
        <f>1586901+112417+454512</f>
        <v>2153830</v>
      </c>
      <c r="P27" s="20">
        <f>110415</f>
        <v>110415</v>
      </c>
      <c r="Q27" s="20">
        <v>14370.22</v>
      </c>
    </row>
    <row r="28" spans="1:17" x14ac:dyDescent="0.2">
      <c r="A28" t="str" cm="1">
        <f t="array" ref="A28">IFERROR(INDEX('School Tables'!$L$4:$R$100,'School Tables'!$U5,3),"")</f>
        <v>South Meadow School</v>
      </c>
      <c r="B28" s="229">
        <f>IFERROR(VLOOKUP(A28,'School Tables'!$N$4:$O$100,2,FALSE),"")</f>
        <v>22295</v>
      </c>
      <c r="C28" s="222" t="str">
        <f>IFERROR(INDEX('School Tables'!$M$4:$M$100,MATCH('School Level Expenditures'!A28,'School Tables'!$N$4:$N$100,0)),"")</f>
        <v>Contoocook Valley</v>
      </c>
      <c r="D28" s="219">
        <f>2927263+5960410-343821-13247.9</f>
        <v>8530604.0999999996</v>
      </c>
      <c r="E28" s="219">
        <v>441853</v>
      </c>
      <c r="F28" s="231">
        <f t="shared" si="6"/>
        <v>8972457.0999999996</v>
      </c>
      <c r="G28" s="222"/>
      <c r="H28" s="222"/>
      <c r="J28" t="str">
        <f t="shared" si="7"/>
        <v>South Meadow School</v>
      </c>
      <c r="K28" s="20">
        <f>4494963+1835571.12+12000+500-261676.87</f>
        <v>6081357.25</v>
      </c>
      <c r="L28" s="20">
        <f>420782.5+0.06+6692+14900.63</f>
        <v>442375.19</v>
      </c>
      <c r="M28" s="20">
        <f>86921+100793.34+1.58</f>
        <v>187715.91999999998</v>
      </c>
      <c r="N28" s="20">
        <f>440993+13103.54+0.24</f>
        <v>454096.77999999997</v>
      </c>
      <c r="O28" s="20">
        <f>2340318+123205+728042</f>
        <v>3191565</v>
      </c>
      <c r="P28" s="20">
        <f>355274</f>
        <v>355274</v>
      </c>
      <c r="Q28" s="20">
        <v>12122.09</v>
      </c>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14803795.42</v>
      </c>
      <c r="E34" s="261">
        <f>SUM(E26:E33)</f>
        <v>717698</v>
      </c>
      <c r="F34" s="216"/>
      <c r="G34" s="216"/>
      <c r="H34" s="216"/>
      <c r="K34" s="262">
        <f t="shared" ref="K34:Q34" si="8">SUM(K26:K33)</f>
        <v>10360699.120000001</v>
      </c>
      <c r="L34" s="262">
        <f t="shared" si="8"/>
        <v>696900.96</v>
      </c>
      <c r="M34" s="262">
        <f t="shared" si="8"/>
        <v>383167.92</v>
      </c>
      <c r="N34" s="262">
        <f t="shared" si="8"/>
        <v>929957.24</v>
      </c>
      <c r="O34" s="262">
        <f t="shared" si="8"/>
        <v>5345395</v>
      </c>
      <c r="P34" s="262">
        <f t="shared" si="8"/>
        <v>465689</v>
      </c>
      <c r="Q34" s="262">
        <f t="shared" si="8"/>
        <v>26492.309999999998</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11398109.720000001</v>
      </c>
      <c r="L36" s="19">
        <f>'DOE25'!L239+'DOE25'!L320</f>
        <v>1401738.9599999997</v>
      </c>
      <c r="M36" s="19">
        <f>'DOE25'!L240+'DOE25'!L321</f>
        <v>397382.61</v>
      </c>
      <c r="N36" s="19">
        <f>'DOE25'!L242+'DOE25'!L323</f>
        <v>1073330.3</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18034872.91</v>
      </c>
      <c r="G38" s="228">
        <f>'DOE25'!L248+'DOE25'!L329</f>
        <v>18034872.91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445286.82</v>
      </c>
      <c r="E39" s="219"/>
      <c r="F39" s="231">
        <f t="shared" ref="F39:F44" si="10">D39+E39</f>
        <v>445286.82</v>
      </c>
      <c r="G39" s="222"/>
      <c r="H39" s="222"/>
      <c r="J39" s="71" t="s">
        <v>1798</v>
      </c>
      <c r="K39" s="315">
        <v>445286.82</v>
      </c>
      <c r="L39" s="315"/>
      <c r="M39" s="315"/>
      <c r="N39" s="315"/>
      <c r="O39" s="315"/>
      <c r="P39" s="315"/>
      <c r="Q39" s="315"/>
    </row>
    <row r="40" spans="1:17" x14ac:dyDescent="0.2">
      <c r="A40" t="str" cm="1">
        <f t="array" ref="A40">IFERROR(INDEX('School Tables'!$W$4:$AC$120,'School Tables'!$AF4,3),"")</f>
        <v>Conval Regional High School</v>
      </c>
      <c r="B40" s="229">
        <f>IFERROR(VLOOKUP(A40,'School Tables'!$Y$4:$Z$120,2,FALSE),"")</f>
        <v>22290</v>
      </c>
      <c r="C40" s="222" t="str">
        <f>IFERROR(INDEX('School Tables'!$X$4:$X$120,MATCH('School Level Expenditures'!A40,'School Tables'!$Y$4:$Y$120,0)),"")</f>
        <v>Contoocook Valley</v>
      </c>
      <c r="D40" s="318">
        <f>16520501.07+89044.02</f>
        <v>16609545.09</v>
      </c>
      <c r="E40" s="219">
        <v>980041</v>
      </c>
      <c r="F40" s="231">
        <f t="shared" si="10"/>
        <v>17589586.09</v>
      </c>
      <c r="G40" s="222"/>
      <c r="H40" s="222"/>
      <c r="J40" t="str">
        <f>A40</f>
        <v>Conval Regional High School</v>
      </c>
      <c r="K40" s="20">
        <f>11395515.72+2594-445286.82</f>
        <v>10952822.9</v>
      </c>
      <c r="L40" s="20">
        <v>1401738.96</v>
      </c>
      <c r="M40" s="307">
        <v>397382.61</v>
      </c>
      <c r="N40" s="20">
        <v>1073330.3</v>
      </c>
      <c r="O40" s="20">
        <f>3491592+596630+1379989</f>
        <v>5468211</v>
      </c>
      <c r="P40" s="20">
        <f>747392</f>
        <v>747392</v>
      </c>
      <c r="Q40" s="20">
        <v>34471.18</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17054831.91</v>
      </c>
      <c r="E45" s="262">
        <f>SUM(E39:E44)</f>
        <v>980041</v>
      </c>
      <c r="K45" s="262">
        <f t="shared" ref="K45:Q45" si="11">SUM(K39:K44)</f>
        <v>11398109.720000001</v>
      </c>
      <c r="L45" s="262">
        <f t="shared" si="11"/>
        <v>1401738.96</v>
      </c>
      <c r="M45" s="262">
        <f t="shared" si="11"/>
        <v>397382.61</v>
      </c>
      <c r="N45" s="262">
        <f t="shared" si="11"/>
        <v>1073330.3</v>
      </c>
      <c r="O45" s="262">
        <f t="shared" si="11"/>
        <v>5468211</v>
      </c>
      <c r="P45" s="262">
        <f t="shared" si="11"/>
        <v>747392</v>
      </c>
      <c r="Q45" s="262">
        <f t="shared" si="11"/>
        <v>34471.18</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1"/>
      <c r="B60" s="331"/>
      <c r="C60" s="331"/>
      <c r="D60" s="331"/>
      <c r="E60" s="331"/>
      <c r="F60" s="331"/>
      <c r="G60" s="331"/>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209" zoomScaleNormal="209" workbookViewId="0">
      <selection activeCell="A121" sqref="A121:XFD121"/>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Contoocook Valley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5257664</v>
      </c>
      <c r="D8" s="73">
        <f>'DOE25'!G9</f>
        <v>0</v>
      </c>
      <c r="E8" s="73">
        <f>'DOE25'!H9</f>
        <v>0</v>
      </c>
      <c r="F8" s="73">
        <f>'DOE25'!I9</f>
        <v>0</v>
      </c>
      <c r="G8" s="73">
        <f>'DOE25'!J9</f>
        <v>0</v>
      </c>
      <c r="H8" s="13">
        <f>SUM(C8:G8)</f>
        <v>5257664</v>
      </c>
      <c r="I8" s="90"/>
    </row>
    <row r="9" spans="1:9" x14ac:dyDescent="0.2">
      <c r="A9" s="1" t="s">
        <v>140</v>
      </c>
      <c r="B9" s="6">
        <v>110</v>
      </c>
      <c r="C9" s="73">
        <f>'DOE25'!F10</f>
        <v>6227</v>
      </c>
      <c r="D9" s="73">
        <f>'DOE25'!G10</f>
        <v>0</v>
      </c>
      <c r="E9" s="73">
        <f>'DOE25'!H10</f>
        <v>0</v>
      </c>
      <c r="F9" s="73">
        <f>'DOE25'!I10</f>
        <v>0</v>
      </c>
      <c r="G9" s="73">
        <f>'DOE25'!J10</f>
        <v>0</v>
      </c>
      <c r="H9" s="13">
        <f t="shared" ref="H9:H18" si="0">SUM(C9:G9)</f>
        <v>6227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1262479</v>
      </c>
      <c r="D11" s="73">
        <f>'DOE25'!G12</f>
        <v>0</v>
      </c>
      <c r="E11" s="73">
        <f>'DOE25'!H12</f>
        <v>0</v>
      </c>
      <c r="F11" s="73">
        <f>'DOE25'!I12</f>
        <v>0</v>
      </c>
      <c r="G11" s="73">
        <f>'DOE25'!J12</f>
        <v>0</v>
      </c>
      <c r="H11" s="13">
        <f t="shared" si="0"/>
        <v>1262479</v>
      </c>
      <c r="I11" s="90"/>
    </row>
    <row r="12" spans="1:9" x14ac:dyDescent="0.2">
      <c r="A12" s="1" t="s">
        <v>143</v>
      </c>
      <c r="B12" s="6">
        <v>140</v>
      </c>
      <c r="C12" s="73">
        <f>'DOE25'!F13</f>
        <v>136577</v>
      </c>
      <c r="D12" s="73">
        <f>'DOE25'!G13</f>
        <v>64533</v>
      </c>
      <c r="E12" s="73">
        <f>'DOE25'!H13</f>
        <v>0</v>
      </c>
      <c r="F12" s="73">
        <f>'DOE25'!I13</f>
        <v>0</v>
      </c>
      <c r="G12" s="73">
        <f>'DOE25'!J13</f>
        <v>3710117</v>
      </c>
      <c r="H12" s="13">
        <f t="shared" si="0"/>
        <v>3911227</v>
      </c>
      <c r="I12" s="90"/>
    </row>
    <row r="13" spans="1:9" x14ac:dyDescent="0.2">
      <c r="A13" s="1" t="s">
        <v>144</v>
      </c>
      <c r="B13" s="6">
        <v>150</v>
      </c>
      <c r="C13" s="73">
        <f>'DOE25'!F14</f>
        <v>67793</v>
      </c>
      <c r="D13" s="73">
        <f>'DOE25'!G14</f>
        <v>0</v>
      </c>
      <c r="E13" s="73">
        <f>'DOE25'!H14</f>
        <v>1047429</v>
      </c>
      <c r="F13" s="73">
        <f>'DOE25'!I14</f>
        <v>0</v>
      </c>
      <c r="G13" s="73">
        <f>'DOE25'!J14</f>
        <v>0</v>
      </c>
      <c r="H13" s="13">
        <f t="shared" si="0"/>
        <v>1115222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2709</v>
      </c>
      <c r="D16" s="73">
        <f>'DOE25'!G17</f>
        <v>0</v>
      </c>
      <c r="E16" s="73">
        <f>'DOE25'!H17</f>
        <v>0</v>
      </c>
      <c r="F16" s="73">
        <f>'DOE25'!I17</f>
        <v>0</v>
      </c>
      <c r="G16" s="73">
        <f>'DOE25'!J17</f>
        <v>0</v>
      </c>
      <c r="H16" s="13">
        <f t="shared" si="0"/>
        <v>2709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6733449</v>
      </c>
      <c r="D18" s="38">
        <f>SUM(D8:D17)</f>
        <v>64533</v>
      </c>
      <c r="E18" s="38">
        <f>SUM(E8:E17)</f>
        <v>1047429</v>
      </c>
      <c r="F18" s="38">
        <f>SUM(F8:F17)</f>
        <v>0</v>
      </c>
      <c r="G18" s="38">
        <f>SUM(G8:G17)</f>
        <v>3710117</v>
      </c>
      <c r="H18" s="38">
        <f t="shared" si="0"/>
        <v>11555528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48904</v>
      </c>
      <c r="F22" s="73">
        <f>'DOE25'!I23</f>
        <v>0</v>
      </c>
      <c r="G22" s="73">
        <f>'DOE25'!J23</f>
        <v>0</v>
      </c>
      <c r="H22" s="13">
        <f t="shared" si="1"/>
        <v>48904</v>
      </c>
      <c r="I22" s="90"/>
    </row>
    <row r="23" spans="1:9" x14ac:dyDescent="0.2">
      <c r="A23" s="1" t="s">
        <v>152</v>
      </c>
      <c r="B23" s="6">
        <v>420</v>
      </c>
      <c r="C23" s="73">
        <f>'DOE25'!F24</f>
        <v>413563</v>
      </c>
      <c r="D23" s="73">
        <f>'DOE25'!G24</f>
        <v>267095</v>
      </c>
      <c r="E23" s="73">
        <f>'DOE25'!H24</f>
        <v>995384</v>
      </c>
      <c r="F23" s="73">
        <f>'DOE25'!I24</f>
        <v>0</v>
      </c>
      <c r="G23" s="73">
        <f>'DOE25'!J24</f>
        <v>0</v>
      </c>
      <c r="H23" s="13">
        <f t="shared" si="1"/>
        <v>1676042</v>
      </c>
      <c r="I23" s="90"/>
    </row>
    <row r="24" spans="1:9" x14ac:dyDescent="0.2">
      <c r="A24" s="1" t="s">
        <v>153</v>
      </c>
      <c r="B24" s="6">
        <v>430</v>
      </c>
      <c r="C24" s="73">
        <f>'DOE25'!F25</f>
        <v>4705</v>
      </c>
      <c r="D24" s="73">
        <f>'DOE25'!G25</f>
        <v>0</v>
      </c>
      <c r="E24" s="73">
        <f>'DOE25'!H25</f>
        <v>0</v>
      </c>
      <c r="F24" s="73">
        <f>'DOE25'!I25</f>
        <v>0</v>
      </c>
      <c r="G24" s="23" t="s">
        <v>288</v>
      </c>
      <c r="H24" s="13">
        <f t="shared" si="1"/>
        <v>4705</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3245675</v>
      </c>
      <c r="D28" s="73">
        <f>'DOE25'!G29</f>
        <v>0</v>
      </c>
      <c r="E28" s="73">
        <f>'DOE25'!H29</f>
        <v>0</v>
      </c>
      <c r="F28" s="73">
        <f>'DOE25'!I29</f>
        <v>0</v>
      </c>
      <c r="G28" s="23" t="s">
        <v>288</v>
      </c>
      <c r="H28" s="13">
        <f t="shared" si="1"/>
        <v>3245675</v>
      </c>
      <c r="I28" s="90"/>
    </row>
    <row r="29" spans="1:9" x14ac:dyDescent="0.2">
      <c r="A29" s="1" t="s">
        <v>158</v>
      </c>
      <c r="B29" s="6">
        <v>480</v>
      </c>
      <c r="C29" s="73">
        <f>'DOE25'!F30</f>
        <v>34481</v>
      </c>
      <c r="D29" s="73">
        <f>'DOE25'!G30</f>
        <v>15539</v>
      </c>
      <c r="E29" s="73">
        <f>'DOE25'!H30</f>
        <v>3141</v>
      </c>
      <c r="F29" s="73">
        <f>'DOE25'!I30</f>
        <v>0</v>
      </c>
      <c r="G29" s="23" t="s">
        <v>288</v>
      </c>
      <c r="H29" s="13">
        <f t="shared" si="1"/>
        <v>53161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3698424</v>
      </c>
      <c r="D31" s="38">
        <f>SUM(D21:D30)</f>
        <v>282634</v>
      </c>
      <c r="E31" s="38">
        <f>SUM(E21:E30)</f>
        <v>1047429</v>
      </c>
      <c r="F31" s="38">
        <f>SUM(F21:F30)</f>
        <v>0</v>
      </c>
      <c r="G31" s="38">
        <f>SUM(G21:G30)</f>
        <v>0</v>
      </c>
      <c r="H31" s="38">
        <f t="shared" si="1"/>
        <v>5028487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2709</v>
      </c>
      <c r="D35" s="73">
        <f>'DOE25'!G36</f>
        <v>0</v>
      </c>
      <c r="E35" s="73">
        <f>'DOE25'!H36</f>
        <v>0</v>
      </c>
      <c r="F35" s="73">
        <f>'DOE25'!I36</f>
        <v>0</v>
      </c>
      <c r="G35" s="23" t="s">
        <v>288</v>
      </c>
      <c r="H35" s="13">
        <f t="shared" si="2"/>
        <v>2709</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1200000</v>
      </c>
      <c r="D43" s="73">
        <f>'DOE25'!G44</f>
        <v>0</v>
      </c>
      <c r="E43" s="73">
        <f>'DOE25'!H44</f>
        <v>0</v>
      </c>
      <c r="F43" s="73">
        <f>'DOE25'!I44</f>
        <v>0</v>
      </c>
      <c r="G43" s="23" t="s">
        <v>288</v>
      </c>
      <c r="H43" s="13">
        <f t="shared" si="2"/>
        <v>1200000</v>
      </c>
      <c r="I43" s="90"/>
    </row>
    <row r="44" spans="1:9" x14ac:dyDescent="0.2">
      <c r="A44" s="1" t="s">
        <v>860</v>
      </c>
      <c r="B44" s="6">
        <v>753</v>
      </c>
      <c r="C44" s="73">
        <f>'DOE25'!F45</f>
        <v>0</v>
      </c>
      <c r="D44" s="73">
        <f>'DOE25'!G45</f>
        <v>-218101</v>
      </c>
      <c r="E44" s="73">
        <f>'DOE25'!H45</f>
        <v>0</v>
      </c>
      <c r="F44" s="73">
        <f>'DOE25'!I45</f>
        <v>0</v>
      </c>
      <c r="G44" s="73">
        <f>'DOE25'!J45</f>
        <v>3773957</v>
      </c>
      <c r="H44" s="13">
        <f t="shared" si="2"/>
        <v>3555856</v>
      </c>
      <c r="I44" s="90"/>
    </row>
    <row r="45" spans="1:9" x14ac:dyDescent="0.2">
      <c r="A45" s="1" t="s">
        <v>876</v>
      </c>
      <c r="B45" s="6"/>
      <c r="C45" s="73">
        <f>'DOE25'!F46</f>
        <v>603007</v>
      </c>
      <c r="D45" s="23" t="s">
        <v>288</v>
      </c>
      <c r="E45" s="23" t="s">
        <v>288</v>
      </c>
      <c r="F45" s="23" t="s">
        <v>288</v>
      </c>
      <c r="G45" s="23" t="s">
        <v>288</v>
      </c>
      <c r="H45" s="13">
        <f t="shared" si="2"/>
        <v>603007</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-63840</v>
      </c>
      <c r="H47" s="13">
        <f t="shared" si="2"/>
        <v>-63840</v>
      </c>
      <c r="I47" s="90"/>
    </row>
    <row r="48" spans="1:9" x14ac:dyDescent="0.2">
      <c r="A48" s="1" t="s">
        <v>878</v>
      </c>
      <c r="B48" s="6">
        <v>753</v>
      </c>
      <c r="C48" s="73">
        <f>'DOE25'!F49</f>
        <v>729309</v>
      </c>
      <c r="D48" s="73">
        <f>'DOE25'!G49</f>
        <v>0</v>
      </c>
      <c r="E48" s="73">
        <f>'DOE25'!H49</f>
        <v>0</v>
      </c>
      <c r="F48" s="73">
        <f>'DOE25'!I49</f>
        <v>0</v>
      </c>
      <c r="G48" s="73">
        <f>'DOE25'!J49</f>
        <v>0</v>
      </c>
      <c r="H48" s="13">
        <f t="shared" si="2"/>
        <v>729309</v>
      </c>
      <c r="I48" s="90"/>
    </row>
    <row r="49" spans="1:9" ht="12" thickBot="1" x14ac:dyDescent="0.25">
      <c r="A49" s="28" t="s">
        <v>879</v>
      </c>
      <c r="B49" s="56">
        <v>770</v>
      </c>
      <c r="C49" s="73">
        <f>'DOE25'!F50</f>
        <v>500000</v>
      </c>
      <c r="D49" s="23" t="s">
        <v>288</v>
      </c>
      <c r="E49" s="23" t="s">
        <v>288</v>
      </c>
      <c r="F49" s="23" t="s">
        <v>288</v>
      </c>
      <c r="G49" s="23" t="s">
        <v>288</v>
      </c>
      <c r="H49" s="13">
        <f t="shared" si="2"/>
        <v>500000</v>
      </c>
      <c r="I49" s="90"/>
    </row>
    <row r="50" spans="1:9" ht="12.75" thickTop="1" thickBot="1" x14ac:dyDescent="0.25">
      <c r="A50" s="35" t="s">
        <v>880</v>
      </c>
      <c r="B50" s="44"/>
      <c r="C50" s="38">
        <f>SUM(C34:C49)</f>
        <v>3035025</v>
      </c>
      <c r="D50" s="38">
        <f>SUM(D34:D49)</f>
        <v>-218101</v>
      </c>
      <c r="E50" s="38">
        <f>SUM(E34:E49)</f>
        <v>0</v>
      </c>
      <c r="F50" s="38">
        <f>SUM(F34:F49)</f>
        <v>0</v>
      </c>
      <c r="G50" s="38">
        <f>SUM(G34:G49)</f>
        <v>3710117</v>
      </c>
      <c r="H50" s="38">
        <f t="shared" si="2"/>
        <v>6527041</v>
      </c>
      <c r="I50" s="90"/>
    </row>
    <row r="51" spans="1:9" ht="12" thickTop="1" x14ac:dyDescent="0.2">
      <c r="A51" s="35" t="s">
        <v>881</v>
      </c>
      <c r="B51" s="2"/>
      <c r="C51" s="38">
        <f>C50+C31</f>
        <v>6733449</v>
      </c>
      <c r="D51" s="38">
        <f>D50+D31</f>
        <v>64533</v>
      </c>
      <c r="E51" s="38">
        <f>E50+E31</f>
        <v>1047429</v>
      </c>
      <c r="F51" s="38">
        <f>F50+F31</f>
        <v>0</v>
      </c>
      <c r="G51" s="38">
        <f>G50+G31</f>
        <v>3710117</v>
      </c>
      <c r="H51" s="38">
        <f t="shared" si="2"/>
        <v>11555528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39322315</v>
      </c>
      <c r="D56" s="73">
        <f>'DOE25'!G60</f>
        <v>0</v>
      </c>
      <c r="E56" s="73">
        <f>'DOE25'!H60</f>
        <v>0</v>
      </c>
      <c r="F56" s="73">
        <f>'DOE25'!I60</f>
        <v>0</v>
      </c>
      <c r="G56" s="73">
        <f>'DOE25'!J60</f>
        <v>0</v>
      </c>
      <c r="H56" s="13">
        <f t="shared" ref="H56:H63" si="3">SUM(C56:G56)</f>
        <v>39322315</v>
      </c>
      <c r="I56"/>
    </row>
    <row r="57" spans="1:9" x14ac:dyDescent="0.2">
      <c r="A57" s="1" t="s">
        <v>164</v>
      </c>
      <c r="B57" s="6" t="s">
        <v>165</v>
      </c>
      <c r="C57" s="73">
        <f>'DOE25'!F79</f>
        <v>210457</v>
      </c>
      <c r="D57" s="23" t="s">
        <v>288</v>
      </c>
      <c r="E57" s="73">
        <f>'DOE25'!H79</f>
        <v>0</v>
      </c>
      <c r="F57" s="23" t="s">
        <v>288</v>
      </c>
      <c r="G57" s="23" t="s">
        <v>288</v>
      </c>
      <c r="H57" s="13">
        <f t="shared" si="3"/>
        <v>210457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240722</v>
      </c>
      <c r="D59" s="73">
        <f>'DOE25'!G96</f>
        <v>0</v>
      </c>
      <c r="E59" s="73">
        <f>'DOE25'!H96</f>
        <v>0</v>
      </c>
      <c r="F59" s="73">
        <f>'DOE25'!I96</f>
        <v>0</v>
      </c>
      <c r="G59" s="73">
        <f>'DOE25'!J96</f>
        <v>139877.18</v>
      </c>
      <c r="H59" s="13">
        <f t="shared" si="3"/>
        <v>380599.18</v>
      </c>
      <c r="I59"/>
    </row>
    <row r="60" spans="1:9" x14ac:dyDescent="0.2">
      <c r="A60" s="1" t="s">
        <v>170</v>
      </c>
      <c r="B60" s="22" t="s">
        <v>171</v>
      </c>
      <c r="C60" s="23" t="s">
        <v>288</v>
      </c>
      <c r="D60" s="73">
        <f>'DOE25'!G97</f>
        <v>525221</v>
      </c>
      <c r="E60" s="23" t="s">
        <v>288</v>
      </c>
      <c r="F60" s="23" t="s">
        <v>288</v>
      </c>
      <c r="G60" s="23" t="s">
        <v>288</v>
      </c>
      <c r="H60" s="13">
        <f t="shared" si="3"/>
        <v>525221</v>
      </c>
      <c r="I60"/>
    </row>
    <row r="61" spans="1:9" ht="12" thickBot="1" x14ac:dyDescent="0.25">
      <c r="A61" s="1" t="s">
        <v>172</v>
      </c>
      <c r="B61" s="22" t="s">
        <v>173</v>
      </c>
      <c r="C61" s="73">
        <f>SUM('DOE25'!F98:F110)</f>
        <v>43416</v>
      </c>
      <c r="D61" s="73">
        <f>SUM('DOE25'!G98:G110)</f>
        <v>0</v>
      </c>
      <c r="E61" s="73">
        <f>SUM('DOE25'!H98:H110)</f>
        <v>0</v>
      </c>
      <c r="F61" s="73">
        <f>SUM('DOE25'!I98:I110)</f>
        <v>0</v>
      </c>
      <c r="G61" s="73">
        <f>SUM('DOE25'!J98:J110)</f>
        <v>0</v>
      </c>
      <c r="H61" s="13">
        <f t="shared" si="3"/>
        <v>43416</v>
      </c>
      <c r="I61"/>
    </row>
    <row r="62" spans="1:9" ht="12.75" thickTop="1" thickBot="1" x14ac:dyDescent="0.25">
      <c r="A62" s="28" t="s">
        <v>174</v>
      </c>
      <c r="B62" s="6"/>
      <c r="C62" s="93">
        <f>SUM(C57:C61)</f>
        <v>494595</v>
      </c>
      <c r="D62" s="93">
        <f>SUM(D57:D61)</f>
        <v>525221</v>
      </c>
      <c r="E62" s="93">
        <f>SUM(E57:E61)</f>
        <v>0</v>
      </c>
      <c r="F62" s="93">
        <f>SUM(F57:F61)</f>
        <v>0</v>
      </c>
      <c r="G62" s="93">
        <f>SUM(G57:G61)</f>
        <v>139877.18</v>
      </c>
      <c r="H62" s="13">
        <f t="shared" si="3"/>
        <v>1159693.18</v>
      </c>
      <c r="I62"/>
    </row>
    <row r="63" spans="1:9" ht="12" thickTop="1" x14ac:dyDescent="0.2">
      <c r="A63" s="28" t="s">
        <v>175</v>
      </c>
      <c r="B63" s="6"/>
      <c r="C63" s="21">
        <f>C56+C62</f>
        <v>39816910</v>
      </c>
      <c r="D63" s="21">
        <f>D56+D62</f>
        <v>525221</v>
      </c>
      <c r="E63" s="21">
        <f>E56+E62</f>
        <v>0</v>
      </c>
      <c r="F63" s="21">
        <f>F56+F62</f>
        <v>0</v>
      </c>
      <c r="G63" s="21">
        <f>G56+G62</f>
        <v>139877.18</v>
      </c>
      <c r="H63" s="13">
        <f t="shared" si="3"/>
        <v>40482008.18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7952946</v>
      </c>
      <c r="D66" s="23" t="s">
        <v>288</v>
      </c>
      <c r="E66" s="23" t="s">
        <v>288</v>
      </c>
      <c r="F66" s="23" t="s">
        <v>288</v>
      </c>
      <c r="G66" s="23" t="s">
        <v>288</v>
      </c>
      <c r="H66" s="13">
        <f t="shared" ref="H66:H81" si="4">SUM(C66:G66)</f>
        <v>7952946</v>
      </c>
      <c r="I66"/>
    </row>
    <row r="67" spans="1:9" x14ac:dyDescent="0.2">
      <c r="A67" s="1" t="s">
        <v>767</v>
      </c>
      <c r="B67" s="6">
        <v>3112</v>
      </c>
      <c r="C67" s="73">
        <f>'DOE25'!F118</f>
        <v>4178500</v>
      </c>
      <c r="D67" s="23"/>
      <c r="E67" s="23"/>
      <c r="F67" s="23"/>
      <c r="G67" s="23"/>
      <c r="H67" s="13">
        <f t="shared" si="4"/>
        <v>4178500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25839</v>
      </c>
      <c r="D69" s="73">
        <f>'DOE25'!G120</f>
        <v>0</v>
      </c>
      <c r="E69" s="73">
        <f>'DOE25'!H120</f>
        <v>0</v>
      </c>
      <c r="F69" s="73">
        <f>'DOE25'!I120</f>
        <v>0</v>
      </c>
      <c r="G69" s="73">
        <f>'DOE25'!J120</f>
        <v>0</v>
      </c>
      <c r="H69" s="13">
        <f t="shared" si="4"/>
        <v>25839</v>
      </c>
      <c r="I69"/>
    </row>
    <row r="70" spans="1:9" ht="12" thickTop="1" x14ac:dyDescent="0.2">
      <c r="A70" s="28" t="s">
        <v>252</v>
      </c>
      <c r="B70" s="2"/>
      <c r="C70" s="97">
        <f>SUM(C66:C69)</f>
        <v>12157285</v>
      </c>
      <c r="D70" s="97">
        <f>D69</f>
        <v>0</v>
      </c>
      <c r="E70" s="97">
        <f>E69</f>
        <v>0</v>
      </c>
      <c r="F70" s="97">
        <f>F69</f>
        <v>0</v>
      </c>
      <c r="G70" s="97">
        <f>G69</f>
        <v>0</v>
      </c>
      <c r="H70" s="13">
        <f t="shared" si="4"/>
        <v>12157285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162883.51</v>
      </c>
      <c r="D75" s="23" t="s">
        <v>288</v>
      </c>
      <c r="E75" s="23" t="s">
        <v>288</v>
      </c>
      <c r="F75" s="23" t="s">
        <v>288</v>
      </c>
      <c r="G75" s="23" t="s">
        <v>288</v>
      </c>
      <c r="H75" s="13">
        <f t="shared" si="4"/>
        <v>162883.51</v>
      </c>
      <c r="I75"/>
    </row>
    <row r="76" spans="1:9" x14ac:dyDescent="0.2">
      <c r="A76" s="1" t="s">
        <v>257</v>
      </c>
      <c r="B76" s="6" t="s">
        <v>179</v>
      </c>
      <c r="C76" s="73">
        <f>SUM('DOE25'!F127:F130)</f>
        <v>82535.66</v>
      </c>
      <c r="D76" s="23" t="s">
        <v>288</v>
      </c>
      <c r="E76" s="73">
        <f>SUM('DOE25'!H127:H130)</f>
        <v>10434.19</v>
      </c>
      <c r="F76" s="73">
        <f>SUM('DOE25'!I127:I130)</f>
        <v>0</v>
      </c>
      <c r="G76" s="23" t="s">
        <v>288</v>
      </c>
      <c r="H76" s="13">
        <f t="shared" si="4"/>
        <v>92969.85</v>
      </c>
      <c r="I76"/>
    </row>
    <row r="77" spans="1:9" ht="12" thickBot="1" x14ac:dyDescent="0.25">
      <c r="A77" s="1" t="s">
        <v>258</v>
      </c>
      <c r="B77" s="6" t="s">
        <v>180</v>
      </c>
      <c r="C77" s="73">
        <f>SUM('DOE25'!F131:F135)</f>
        <v>0</v>
      </c>
      <c r="D77" s="73">
        <f>SUM('DOE25'!G131:G135)</f>
        <v>13114</v>
      </c>
      <c r="E77" s="73">
        <f>SUM('DOE25'!H131:H135)</f>
        <v>40700</v>
      </c>
      <c r="F77" s="73">
        <f>SUM('DOE25'!I131:I135)</f>
        <v>0</v>
      </c>
      <c r="G77" s="73">
        <f>SUM('DOE25'!J131:J135)</f>
        <v>0</v>
      </c>
      <c r="H77" s="13">
        <f t="shared" si="4"/>
        <v>53814</v>
      </c>
      <c r="I77"/>
    </row>
    <row r="78" spans="1:9" ht="12.75" thickTop="1" thickBot="1" x14ac:dyDescent="0.25">
      <c r="A78" s="28" t="s">
        <v>259</v>
      </c>
      <c r="B78" s="6"/>
      <c r="C78" s="93">
        <f>SUM(C72:C77)</f>
        <v>245419.17</v>
      </c>
      <c r="D78" s="93">
        <f>SUM(D72:D77)</f>
        <v>13114</v>
      </c>
      <c r="E78" s="93">
        <f>SUM(E72:E77)</f>
        <v>51134.19</v>
      </c>
      <c r="F78" s="93">
        <f>SUM(F72:F77)</f>
        <v>0</v>
      </c>
      <c r="G78" s="93">
        <f>SUM(G72:G77)</f>
        <v>0</v>
      </c>
      <c r="H78" s="13">
        <f t="shared" si="4"/>
        <v>309667.36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12402704.17</v>
      </c>
      <c r="D81" s="93">
        <f>SUM(D79:D80)+D78+D70</f>
        <v>13114</v>
      </c>
      <c r="E81" s="93">
        <f>SUM(E79:E80)+E78+E70</f>
        <v>51134.19</v>
      </c>
      <c r="F81" s="93">
        <f>SUM(F79:F80)+F78+F70</f>
        <v>0</v>
      </c>
      <c r="G81" s="93">
        <f>SUM(G79:G80)+G78+G70</f>
        <v>0</v>
      </c>
      <c r="H81" s="93">
        <f t="shared" si="4"/>
        <v>12466952.359999999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57829</v>
      </c>
      <c r="D88" s="252">
        <f>SUM('DOE25'!G153:G162)</f>
        <v>512138</v>
      </c>
      <c r="E88" s="252">
        <f>SUM('DOE25'!H153:H162)</f>
        <v>3058729</v>
      </c>
      <c r="F88" s="252">
        <f>SUM('DOE25'!I153:I162)</f>
        <v>0</v>
      </c>
      <c r="G88" s="23" t="s">
        <v>288</v>
      </c>
      <c r="H88" s="13">
        <f t="shared" si="5"/>
        <v>3628696</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57829</v>
      </c>
      <c r="D91" s="94">
        <f>SUM(D85:D90)</f>
        <v>512138</v>
      </c>
      <c r="E91" s="94">
        <f>SUM(E85:E90)</f>
        <v>3058729</v>
      </c>
      <c r="F91" s="94">
        <f>SUM(F85:F90)</f>
        <v>0</v>
      </c>
      <c r="G91" s="23" t="s">
        <v>288</v>
      </c>
      <c r="H91" s="13">
        <f t="shared" si="5"/>
        <v>3628696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1000000</v>
      </c>
      <c r="H96" s="13">
        <f t="shared" si="5"/>
        <v>1000000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1203718</v>
      </c>
      <c r="D100" s="73">
        <f>SUM('DOE25'!G187:G188)</f>
        <v>0</v>
      </c>
      <c r="E100" s="73">
        <f>SUM('DOE25'!H187:H188)</f>
        <v>0</v>
      </c>
      <c r="F100" s="73">
        <f>SUM('DOE25'!I187:I188)</f>
        <v>0</v>
      </c>
      <c r="G100" s="23" t="s">
        <v>288</v>
      </c>
      <c r="H100" s="13">
        <f t="shared" si="5"/>
        <v>1203718</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1203718</v>
      </c>
      <c r="D103" s="68">
        <f>SUM(D93:D102)</f>
        <v>0</v>
      </c>
      <c r="E103" s="68">
        <f>SUM(E93:E102)</f>
        <v>0</v>
      </c>
      <c r="F103" s="68">
        <f>SUM(F93:F102)</f>
        <v>0</v>
      </c>
      <c r="G103" s="68">
        <f>SUM(G93:G102)</f>
        <v>1000000</v>
      </c>
      <c r="H103" s="68">
        <f t="shared" si="5"/>
        <v>2203718</v>
      </c>
    </row>
    <row r="104" spans="1:8" ht="12.75" thickTop="1" thickBot="1" x14ac:dyDescent="0.25">
      <c r="A104" s="32" t="s">
        <v>758</v>
      </c>
      <c r="C104" s="68">
        <f>C63+C81+C91+C103</f>
        <v>53481161.170000002</v>
      </c>
      <c r="D104" s="68">
        <f>D63+D81+D91+D103</f>
        <v>1050473</v>
      </c>
      <c r="E104" s="68">
        <f>E63+E81+E91+E103</f>
        <v>3109863.19</v>
      </c>
      <c r="F104" s="68">
        <f>F63+F81+F91+F103</f>
        <v>0</v>
      </c>
      <c r="G104" s="68">
        <f>G63+G81+G103</f>
        <v>1139877.18</v>
      </c>
      <c r="H104" s="68">
        <f t="shared" si="5"/>
        <v>58781374.539999999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16935923.420000002</v>
      </c>
      <c r="D109" s="23" t="s">
        <v>288</v>
      </c>
      <c r="E109" s="73">
        <f>('DOE25'!L277)+('DOE25'!L296)+('DOE25'!L315)</f>
        <v>1379273.86</v>
      </c>
      <c r="F109" s="23" t="s">
        <v>288</v>
      </c>
      <c r="G109" s="23" t="s">
        <v>288</v>
      </c>
      <c r="H109" s="13">
        <f t="shared" ref="H109:H115" si="6">SUM(C109:G109)</f>
        <v>18315197.280000001</v>
      </c>
    </row>
    <row r="110" spans="1:8" x14ac:dyDescent="0.2">
      <c r="A110" t="s">
        <v>198</v>
      </c>
      <c r="B110" s="31" t="s">
        <v>199</v>
      </c>
      <c r="C110" s="73">
        <f>('DOE25'!L199)+('DOE25'!L217)+('DOE25'!L235)</f>
        <v>13689306.469999999</v>
      </c>
      <c r="D110" s="23" t="s">
        <v>288</v>
      </c>
      <c r="E110" s="73">
        <f>('DOE25'!L278)+('DOE25'!L297)+('DOE25'!L316)</f>
        <v>864794.38</v>
      </c>
      <c r="F110" s="23" t="s">
        <v>288</v>
      </c>
      <c r="G110" s="23" t="s">
        <v>288</v>
      </c>
      <c r="H110" s="13">
        <f t="shared" si="6"/>
        <v>14554100.85</v>
      </c>
    </row>
    <row r="111" spans="1:8" x14ac:dyDescent="0.2">
      <c r="A111" t="s">
        <v>200</v>
      </c>
      <c r="B111" s="31" t="s">
        <v>165</v>
      </c>
      <c r="C111" s="73">
        <f>('DOE25'!L200)+('DOE25'!L218)+('DOE25'!L236)</f>
        <v>1011674.8200000002</v>
      </c>
      <c r="D111" s="23" t="s">
        <v>288</v>
      </c>
      <c r="E111" s="73">
        <f>('DOE25'!L279)+('DOE25'!L298)+('DOE25'!L317)</f>
        <v>193739.04</v>
      </c>
      <c r="F111" s="23" t="s">
        <v>288</v>
      </c>
      <c r="G111" s="23" t="s">
        <v>288</v>
      </c>
      <c r="H111" s="13">
        <f t="shared" si="6"/>
        <v>1205413.8600000001</v>
      </c>
    </row>
    <row r="112" spans="1:8" x14ac:dyDescent="0.2">
      <c r="A112" t="s">
        <v>201</v>
      </c>
      <c r="B112" s="31" t="s">
        <v>167</v>
      </c>
      <c r="C112" s="73">
        <f>('DOE25'!L201)+('DOE25'!L219)+('DOE25'!L237)</f>
        <v>851862.14999999991</v>
      </c>
      <c r="D112" s="23" t="s">
        <v>288</v>
      </c>
      <c r="E112" s="73">
        <f>+('DOE25'!L280)+('DOE25'!L299)+('DOE25'!L318)</f>
        <v>67637.72</v>
      </c>
      <c r="F112" s="23" t="s">
        <v>288</v>
      </c>
      <c r="G112" s="23" t="s">
        <v>288</v>
      </c>
      <c r="H112" s="13">
        <f t="shared" si="6"/>
        <v>919499.86999999988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32488766.859999999</v>
      </c>
      <c r="D115" s="68">
        <f>SUM(D109:D114)</f>
        <v>0</v>
      </c>
      <c r="E115" s="68">
        <f>SUM(E109:E114)</f>
        <v>2505445.0000000005</v>
      </c>
      <c r="F115" s="68">
        <f>SUM(F109:F114)</f>
        <v>0</v>
      </c>
      <c r="G115" s="68">
        <f>SUM(G109:G114)</f>
        <v>0</v>
      </c>
      <c r="H115" s="68">
        <f t="shared" si="6"/>
        <v>34994211.859999999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3231426.5799999996</v>
      </c>
      <c r="D118" s="23" t="s">
        <v>288</v>
      </c>
      <c r="E118" s="73">
        <f>+('DOE25'!L282)+('DOE25'!L301)+('DOE25'!L320)</f>
        <v>71334.41</v>
      </c>
      <c r="F118" s="23" t="s">
        <v>288</v>
      </c>
      <c r="G118" s="23" t="s">
        <v>288</v>
      </c>
      <c r="H118" s="13">
        <f t="shared" ref="H118:H145" si="7">SUM(C118:G118)</f>
        <v>3302760.9899999998</v>
      </c>
    </row>
    <row r="119" spans="1:8" x14ac:dyDescent="0.2">
      <c r="A119" t="s">
        <v>208</v>
      </c>
      <c r="B119" s="31" t="s">
        <v>209</v>
      </c>
      <c r="C119" s="73">
        <f>('DOE25'!L204)+('DOE25'!L222)+('DOE25'!L240)</f>
        <v>1170812.42</v>
      </c>
      <c r="D119" s="23" t="s">
        <v>288</v>
      </c>
      <c r="E119" s="73">
        <f>+('DOE25'!L283)+('DOE25'!L302)+('DOE25'!L321)</f>
        <v>160935.99</v>
      </c>
      <c r="F119" s="23" t="s">
        <v>288</v>
      </c>
      <c r="G119" s="23" t="s">
        <v>288</v>
      </c>
      <c r="H119" s="13">
        <f t="shared" si="7"/>
        <v>1331748.4099999999</v>
      </c>
    </row>
    <row r="120" spans="1:8" x14ac:dyDescent="0.2">
      <c r="A120" t="s">
        <v>210</v>
      </c>
      <c r="B120" s="31" t="s">
        <v>211</v>
      </c>
      <c r="C120" s="73">
        <f>('DOE25'!L205)+('DOE25'!L223)+('DOE25'!L241)</f>
        <v>3541550.46</v>
      </c>
      <c r="D120" s="23" t="s">
        <v>288</v>
      </c>
      <c r="E120" s="73">
        <f>+('DOE25'!L284)+('DOE25'!L303)+('DOE25'!L322)</f>
        <v>41402.22</v>
      </c>
      <c r="F120" s="23" t="s">
        <v>288</v>
      </c>
      <c r="G120" s="23" t="s">
        <v>288</v>
      </c>
      <c r="H120" s="13">
        <f t="shared" si="7"/>
        <v>3582952.68</v>
      </c>
    </row>
    <row r="121" spans="1:8" x14ac:dyDescent="0.2">
      <c r="A121" t="s">
        <v>212</v>
      </c>
      <c r="B121" s="31" t="s">
        <v>213</v>
      </c>
      <c r="C121" s="73">
        <f>('DOE25'!L206)+('DOE25'!L224)+('DOE25'!L242)</f>
        <v>3907338.49</v>
      </c>
      <c r="D121" s="23" t="s">
        <v>288</v>
      </c>
      <c r="E121" s="73">
        <f>+('DOE25'!L285)+('DOE25'!L304)+('DOE25'!L323)</f>
        <v>135395.18</v>
      </c>
      <c r="F121" s="23" t="s">
        <v>288</v>
      </c>
      <c r="G121" s="23" t="s">
        <v>288</v>
      </c>
      <c r="H121" s="13">
        <f t="shared" si="7"/>
        <v>4042733.6700000004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4620098.7200000007</v>
      </c>
      <c r="D123" s="23" t="s">
        <v>288</v>
      </c>
      <c r="E123" s="73">
        <f>+('DOE25'!L287)+('DOE25'!L306)+('DOE25'!L325)</f>
        <v>100614.04000000001</v>
      </c>
      <c r="F123" s="23" t="s">
        <v>288</v>
      </c>
      <c r="G123" s="23" t="s">
        <v>288</v>
      </c>
      <c r="H123" s="13">
        <f t="shared" si="7"/>
        <v>4720712.7600000007</v>
      </c>
    </row>
    <row r="124" spans="1:8" x14ac:dyDescent="0.2">
      <c r="A124" t="s">
        <v>218</v>
      </c>
      <c r="B124" s="31" t="s">
        <v>219</v>
      </c>
      <c r="C124" s="73">
        <f>('DOE25'!L209)+('DOE25'!L227)+('DOE25'!L245+'DOE25'!L255)</f>
        <v>2952903.62</v>
      </c>
      <c r="D124" s="23" t="s">
        <v>288</v>
      </c>
      <c r="E124" s="73">
        <f>+('DOE25'!L288)+('DOE25'!L307)+('DOE25'!L326)</f>
        <v>77952.789999999994</v>
      </c>
      <c r="F124" s="23" t="s">
        <v>288</v>
      </c>
      <c r="G124" s="23" t="s">
        <v>288</v>
      </c>
      <c r="H124" s="13">
        <f t="shared" si="7"/>
        <v>3030856.41</v>
      </c>
    </row>
    <row r="125" spans="1:8" x14ac:dyDescent="0.2">
      <c r="A125" t="s">
        <v>220</v>
      </c>
      <c r="B125" s="31" t="s">
        <v>221</v>
      </c>
      <c r="C125" s="73">
        <f>('DOE25'!L210)+('DOE25'!L228)+('DOE25'!L246)</f>
        <v>4927</v>
      </c>
      <c r="D125" s="23" t="s">
        <v>288</v>
      </c>
      <c r="E125" s="73">
        <f>+('DOE25'!L289)+('DOE25'!L308)+('DOE25'!L327)</f>
        <v>16783.559999999998</v>
      </c>
      <c r="F125" s="23" t="s">
        <v>288</v>
      </c>
      <c r="G125" s="23" t="s">
        <v>288</v>
      </c>
      <c r="H125" s="13">
        <f t="shared" si="7"/>
        <v>21710.559999999998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1268574</v>
      </c>
      <c r="E127" s="23" t="s">
        <v>288</v>
      </c>
      <c r="F127" s="23" t="s">
        <v>288</v>
      </c>
      <c r="G127" s="23" t="s">
        <v>288</v>
      </c>
      <c r="H127" s="13">
        <f t="shared" si="7"/>
        <v>1268574</v>
      </c>
    </row>
    <row r="128" spans="1:8" ht="12.75" thickTop="1" thickBot="1" x14ac:dyDescent="0.25">
      <c r="A128" s="32" t="s">
        <v>226</v>
      </c>
      <c r="C128" s="68">
        <f>SUM(C118:C127)</f>
        <v>19429057.289999999</v>
      </c>
      <c r="D128" s="68">
        <f>SUM(D118:D127)</f>
        <v>1268574</v>
      </c>
      <c r="E128" s="68">
        <f>SUM(E118:E127)</f>
        <v>604418.18999999994</v>
      </c>
      <c r="F128" s="68">
        <f>SUM(F118:F127)</f>
        <v>0</v>
      </c>
      <c r="G128" s="68">
        <f>SUM(G118:G127)</f>
        <v>0</v>
      </c>
      <c r="H128" s="68">
        <f t="shared" si="7"/>
        <v>21302049.48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1431259</v>
      </c>
      <c r="D130" s="23" t="s">
        <v>288</v>
      </c>
      <c r="E130" s="92">
        <f>'DOE25'!L337</f>
        <v>0</v>
      </c>
      <c r="F130" s="92">
        <f>SUM('DOE25'!L375:'DOE25'!L381)</f>
        <v>0</v>
      </c>
      <c r="G130" s="23" t="s">
        <v>288</v>
      </c>
      <c r="H130" s="13">
        <f t="shared" si="7"/>
        <v>1431259</v>
      </c>
    </row>
    <row r="131" spans="1:8" x14ac:dyDescent="0.2">
      <c r="A131" t="s">
        <v>229</v>
      </c>
      <c r="B131" s="31">
        <v>5110</v>
      </c>
      <c r="C131" s="73">
        <f>'DOE25'!L261</f>
        <v>180000</v>
      </c>
      <c r="D131" s="23" t="s">
        <v>288</v>
      </c>
      <c r="E131" s="92">
        <f>'DOE25'!L342</f>
        <v>0</v>
      </c>
      <c r="F131" s="23" t="s">
        <v>288</v>
      </c>
      <c r="G131" s="23" t="s">
        <v>288</v>
      </c>
      <c r="H131" s="13">
        <f t="shared" si="7"/>
        <v>180000</v>
      </c>
    </row>
    <row r="132" spans="1:8" x14ac:dyDescent="0.2">
      <c r="A132" t="s">
        <v>230</v>
      </c>
      <c r="B132" s="31">
        <v>5120</v>
      </c>
      <c r="C132" s="73">
        <f>'DOE25'!L262</f>
        <v>4590</v>
      </c>
      <c r="D132" s="23" t="s">
        <v>288</v>
      </c>
      <c r="E132" s="92">
        <f>'DOE25'!L343</f>
        <v>0</v>
      </c>
      <c r="F132" s="23" t="s">
        <v>288</v>
      </c>
      <c r="G132" s="23" t="s">
        <v>288</v>
      </c>
      <c r="H132" s="13">
        <f t="shared" si="7"/>
        <v>4590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1139877.18</v>
      </c>
      <c r="D138" s="23" t="s">
        <v>288</v>
      </c>
      <c r="E138" s="23" t="s">
        <v>288</v>
      </c>
      <c r="F138" s="23" t="s">
        <v>288</v>
      </c>
      <c r="G138" s="23" t="s">
        <v>288</v>
      </c>
      <c r="H138" s="13">
        <f t="shared" si="7"/>
        <v>1139877.18</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-139877.17999999993</v>
      </c>
      <c r="D141" s="23" t="s">
        <v>288</v>
      </c>
      <c r="E141" s="23" t="s">
        <v>288</v>
      </c>
      <c r="F141" s="23" t="s">
        <v>288</v>
      </c>
      <c r="G141" s="23" t="s">
        <v>288</v>
      </c>
      <c r="H141" s="13">
        <f t="shared" si="7"/>
        <v>-139877.17999999993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2615849</v>
      </c>
      <c r="D144" s="98">
        <f>SUM(D130:D143)</f>
        <v>0</v>
      </c>
      <c r="E144" s="98">
        <f>SUM(E130:E143)</f>
        <v>0</v>
      </c>
      <c r="F144" s="98">
        <f>SUM(F130:F143)</f>
        <v>0</v>
      </c>
      <c r="G144" s="98">
        <f>SUM(G130:G143)</f>
        <v>0</v>
      </c>
      <c r="H144" s="98">
        <f t="shared" si="7"/>
        <v>2615849</v>
      </c>
    </row>
    <row r="145" spans="1:9" ht="12.75" thickTop="1" thickBot="1" x14ac:dyDescent="0.25">
      <c r="A145" s="32" t="s">
        <v>244</v>
      </c>
      <c r="C145" s="68">
        <f>(C115+C128+C144)</f>
        <v>54533673.149999999</v>
      </c>
      <c r="D145" s="68">
        <f>(D115+D128+D144)</f>
        <v>1268574</v>
      </c>
      <c r="E145" s="68">
        <f>(E115+E128+E144)</f>
        <v>3109863.1900000004</v>
      </c>
      <c r="F145" s="68">
        <f>(F115+F128+F144)</f>
        <v>0</v>
      </c>
      <c r="G145" s="68">
        <f>(G115+G128+G144)</f>
        <v>0</v>
      </c>
      <c r="H145" s="68">
        <f t="shared" si="7"/>
        <v>58912110.339999996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4</v>
      </c>
      <c r="C151" s="110">
        <f>'DOE25'!G491</f>
        <v>0</v>
      </c>
      <c r="D151" s="110">
        <f>'DOE25'!H491</f>
        <v>0</v>
      </c>
      <c r="E151" s="110">
        <f>'DOE25'!I491</f>
        <v>0</v>
      </c>
      <c r="F151" s="110">
        <f>'DOE25'!J491</f>
        <v>0</v>
      </c>
      <c r="G151" s="23" t="s">
        <v>288</v>
      </c>
    </row>
    <row r="152" spans="1:9" x14ac:dyDescent="0.2">
      <c r="A152" s="21" t="s">
        <v>28</v>
      </c>
      <c r="B152" s="109" t="str">
        <f>'DOE25'!F492</f>
        <v>05/15/2018</v>
      </c>
      <c r="C152" s="109">
        <f>'DOE25'!G492</f>
        <v>0</v>
      </c>
      <c r="D152" s="109">
        <f>'DOE25'!H492</f>
        <v>0</v>
      </c>
      <c r="E152" s="109">
        <f>'DOE25'!I492</f>
        <v>0</v>
      </c>
      <c r="F152" s="109">
        <f>'DOE25'!J492</f>
        <v>0</v>
      </c>
      <c r="G152" s="23" t="s">
        <v>288</v>
      </c>
    </row>
    <row r="153" spans="1:9" x14ac:dyDescent="0.2">
      <c r="A153" s="21" t="s">
        <v>29</v>
      </c>
      <c r="B153" s="109" t="str">
        <f>'DOE25'!F493</f>
        <v>8/15/2023</v>
      </c>
      <c r="C153" s="109">
        <f>'DOE25'!G493</f>
        <v>0</v>
      </c>
      <c r="D153" s="109">
        <f>'DOE25'!H493</f>
        <v>0</v>
      </c>
      <c r="E153" s="109">
        <f>'DOE25'!I493</f>
        <v>0</v>
      </c>
      <c r="F153" s="109">
        <f>'DOE25'!J493</f>
        <v>0</v>
      </c>
      <c r="G153" s="23" t="s">
        <v>288</v>
      </c>
    </row>
    <row r="154" spans="1:9" x14ac:dyDescent="0.2">
      <c r="A154" s="21" t="s">
        <v>30</v>
      </c>
      <c r="B154" s="19">
        <f>'DOE25'!F494</f>
        <v>920000</v>
      </c>
      <c r="C154" s="19">
        <f>'DOE25'!G494</f>
        <v>0</v>
      </c>
      <c r="D154" s="19">
        <f>'DOE25'!H494</f>
        <v>0</v>
      </c>
      <c r="E154" s="19">
        <f>'DOE25'!I494</f>
        <v>0</v>
      </c>
      <c r="F154" s="19">
        <f>'DOE25'!J494</f>
        <v>0</v>
      </c>
      <c r="G154" s="23" t="s">
        <v>288</v>
      </c>
    </row>
    <row r="155" spans="1:9" x14ac:dyDescent="0.2">
      <c r="A155" s="21" t="s">
        <v>31</v>
      </c>
      <c r="B155" s="19">
        <f>'DOE25'!F495</f>
        <v>2.2200000000000002</v>
      </c>
      <c r="C155" s="19">
        <f>'DOE25'!G495</f>
        <v>0</v>
      </c>
      <c r="D155" s="19">
        <f>'DOE25'!H495</f>
        <v>0</v>
      </c>
      <c r="E155" s="19">
        <f>'DOE25'!I495</f>
        <v>0</v>
      </c>
      <c r="F155" s="19">
        <f>'DOE25'!J495</f>
        <v>0</v>
      </c>
      <c r="G155" s="23" t="s">
        <v>288</v>
      </c>
    </row>
    <row r="156" spans="1:9" x14ac:dyDescent="0.2">
      <c r="A156" s="21" t="s">
        <v>32</v>
      </c>
      <c r="B156" s="19">
        <f>'DOE25'!F496</f>
        <v>185000</v>
      </c>
      <c r="C156" s="19">
        <f>'DOE25'!G496</f>
        <v>0</v>
      </c>
      <c r="D156" s="19">
        <f>'DOE25'!H496</f>
        <v>0</v>
      </c>
      <c r="E156" s="19">
        <f>'DOE25'!I496</f>
        <v>0</v>
      </c>
      <c r="F156" s="19">
        <f>'DOE25'!J496</f>
        <v>0</v>
      </c>
      <c r="G156" s="96">
        <f>SUM(B156:F156)</f>
        <v>185000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185000</v>
      </c>
      <c r="C158" s="19">
        <f>'DOE25'!G498</f>
        <v>0</v>
      </c>
      <c r="D158" s="19">
        <f>'DOE25'!H498</f>
        <v>0</v>
      </c>
      <c r="E158" s="19">
        <f>'DOE25'!I498</f>
        <v>0</v>
      </c>
      <c r="F158" s="19">
        <f>'DOE25'!J498</f>
        <v>0</v>
      </c>
      <c r="G158" s="96">
        <f t="shared" si="8"/>
        <v>185000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34" t="s">
        <v>736</v>
      </c>
      <c r="B1" s="334"/>
      <c r="C1" s="334"/>
      <c r="D1" s="334"/>
    </row>
    <row r="2" spans="1:4" x14ac:dyDescent="0.2">
      <c r="A2" s="135" t="s">
        <v>713</v>
      </c>
      <c r="B2" s="134" t="str">
        <f>'DOE25'!A2</f>
        <v>Contoocook Valley</v>
      </c>
    </row>
    <row r="3" spans="1:4" x14ac:dyDescent="0.2">
      <c r="B3" s="136" t="s">
        <v>1792</v>
      </c>
    </row>
    <row r="4" spans="1:4" x14ac:dyDescent="0.2">
      <c r="B4" t="s">
        <v>61</v>
      </c>
      <c r="C4" s="128">
        <f>IF('DOE25'!F666+'DOE25'!F671=0,0,ROUND('DOE25'!F673,0))</f>
        <v>28008</v>
      </c>
    </row>
    <row r="5" spans="1:4" x14ac:dyDescent="0.2">
      <c r="B5" t="s">
        <v>700</v>
      </c>
      <c r="C5" s="128">
        <f>IF('DOE25'!G666+'DOE25'!G671=0,0,ROUND('DOE25'!G673,0))</f>
        <v>25348</v>
      </c>
    </row>
    <row r="6" spans="1:4" x14ac:dyDescent="0.2">
      <c r="B6" t="s">
        <v>62</v>
      </c>
      <c r="C6" s="128">
        <f>IF('DOE25'!H666+'DOE25'!H671=0,0,ROUND('DOE25'!H673,0))</f>
        <v>25625</v>
      </c>
    </row>
    <row r="7" spans="1:4" x14ac:dyDescent="0.2">
      <c r="B7" t="s">
        <v>701</v>
      </c>
      <c r="C7" s="128">
        <f>IF('DOE25'!I666+'DOE25'!I671=0,0,ROUND('DOE25'!I673,0))</f>
        <v>26428</v>
      </c>
    </row>
    <row r="9" spans="1:4" x14ac:dyDescent="0.2">
      <c r="A9" s="135" t="s">
        <v>94</v>
      </c>
      <c r="B9" s="136" t="s">
        <v>1793</v>
      </c>
      <c r="C9" s="130" t="s">
        <v>720</v>
      </c>
      <c r="D9" s="130" t="s">
        <v>721</v>
      </c>
    </row>
    <row r="10" spans="1:4" x14ac:dyDescent="0.2">
      <c r="A10">
        <v>1100</v>
      </c>
      <c r="B10" t="s">
        <v>702</v>
      </c>
      <c r="C10" s="128">
        <f>ROUND('DOE25'!L198+'DOE25'!L216+'DOE25'!L234+'DOE25'!L277+'DOE25'!L296+'DOE25'!L315,0)</f>
        <v>18315197</v>
      </c>
      <c r="D10" s="131">
        <f>ROUND((C10/$C$28)*100,1)</f>
        <v>32.799999999999997</v>
      </c>
    </row>
    <row r="11" spans="1:4" x14ac:dyDescent="0.2">
      <c r="A11">
        <v>1200</v>
      </c>
      <c r="B11" t="s">
        <v>703</v>
      </c>
      <c r="C11" s="128">
        <f>ROUND('DOE25'!L199+'DOE25'!L217+'DOE25'!L235+'DOE25'!L278+'DOE25'!L297+'DOE25'!L316,0)</f>
        <v>14554101</v>
      </c>
      <c r="D11" s="131">
        <f>ROUND((C11/$C$28)*100,1)</f>
        <v>26.1</v>
      </c>
    </row>
    <row r="12" spans="1:4" x14ac:dyDescent="0.2">
      <c r="A12">
        <v>1300</v>
      </c>
      <c r="B12" t="s">
        <v>704</v>
      </c>
      <c r="C12" s="128">
        <f>ROUND('DOE25'!L200+'DOE25'!L218+'DOE25'!L236+'DOE25'!L279+'DOE25'!L298+'DOE25'!L317,0)</f>
        <v>1205414</v>
      </c>
      <c r="D12" s="131">
        <f>ROUND((C12/$C$28)*100,1)</f>
        <v>2.2000000000000002</v>
      </c>
    </row>
    <row r="13" spans="1:4" x14ac:dyDescent="0.2">
      <c r="A13">
        <v>1400</v>
      </c>
      <c r="B13" t="s">
        <v>705</v>
      </c>
      <c r="C13" s="128">
        <f>ROUND('DOE25'!L201+'DOE25'!L219+'DOE25'!L237+'DOE25'!L280+'DOE25'!L299+'DOE25'!L318,0)</f>
        <v>919500</v>
      </c>
      <c r="D13" s="131">
        <f>ROUND((C13/$C$28)*100,1)</f>
        <v>1.6</v>
      </c>
    </row>
    <row r="14" spans="1:4" x14ac:dyDescent="0.2">
      <c r="D14" s="131"/>
    </row>
    <row r="15" spans="1:4" x14ac:dyDescent="0.2">
      <c r="A15">
        <v>2100</v>
      </c>
      <c r="B15" t="s">
        <v>706</v>
      </c>
      <c r="C15" s="128">
        <f>ROUND('DOE25'!L203+'DOE25'!L221+'DOE25'!L239+'DOE25'!L282+'DOE25'!L301+'DOE25'!L320,0)</f>
        <v>3302761</v>
      </c>
      <c r="D15" s="131">
        <f t="shared" ref="D15:D27" si="0">ROUND((C15/$C$28)*100,1)</f>
        <v>5.9</v>
      </c>
    </row>
    <row r="16" spans="1:4" x14ac:dyDescent="0.2">
      <c r="A16">
        <v>2200</v>
      </c>
      <c r="B16" t="s">
        <v>707</v>
      </c>
      <c r="C16" s="128">
        <f>ROUND('DOE25'!L204+'DOE25'!L222+'DOE25'!L240+'DOE25'!L283+'DOE25'!L302+'DOE25'!L321,0)</f>
        <v>1331748</v>
      </c>
      <c r="D16" s="131">
        <f t="shared" si="0"/>
        <v>2.4</v>
      </c>
    </row>
    <row r="17" spans="1:4" x14ac:dyDescent="0.2">
      <c r="A17" s="132" t="s">
        <v>723</v>
      </c>
      <c r="B17" t="s">
        <v>738</v>
      </c>
      <c r="C17" s="128">
        <f>ROUND('DOE25'!L205+'DOE25'!L210+'DOE25'!L223+'DOE25'!L228+'DOE25'!L241+'DOE25'!L246+'DOE25'!L284+'DOE25'!L289+'DOE25'!L303+'DOE25'!L308+'DOE25'!L322+'DOE25'!L327,0)</f>
        <v>3604663</v>
      </c>
      <c r="D17" s="131">
        <f t="shared" si="0"/>
        <v>6.5</v>
      </c>
    </row>
    <row r="18" spans="1:4" x14ac:dyDescent="0.2">
      <c r="A18">
        <v>2400</v>
      </c>
      <c r="B18" t="s">
        <v>711</v>
      </c>
      <c r="C18" s="128">
        <f>ROUND('DOE25'!L206+'DOE25'!L224+'DOE25'!L242+'DOE25'!L285+'DOE25'!L304+'DOE25'!L323,0)</f>
        <v>4042734</v>
      </c>
      <c r="D18" s="131">
        <f t="shared" si="0"/>
        <v>7.2</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4720713</v>
      </c>
      <c r="D20" s="131">
        <f t="shared" si="0"/>
        <v>8.5</v>
      </c>
    </row>
    <row r="21" spans="1:4" x14ac:dyDescent="0.2">
      <c r="A21">
        <v>2700</v>
      </c>
      <c r="B21" t="s">
        <v>710</v>
      </c>
      <c r="C21" s="128">
        <f>ROUND('DOE25'!L209+'DOE25'!L227+'DOE25'!L245+'DOE25'!L288+'DOE25'!L307+'DOE25'!L326,0)</f>
        <v>3030856</v>
      </c>
      <c r="D21" s="131">
        <f t="shared" si="0"/>
        <v>5.4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4590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743353</v>
      </c>
      <c r="D27" s="131">
        <f t="shared" si="0"/>
        <v>1.3</v>
      </c>
    </row>
    <row r="28" spans="1:4" x14ac:dyDescent="0.2">
      <c r="B28" s="135" t="s">
        <v>719</v>
      </c>
      <c r="C28" s="129">
        <f>SUM(C10:C27)</f>
        <v>55775630</v>
      </c>
      <c r="D28" s="133">
        <f>ROUND(SUM(D10:D27),0)</f>
        <v>100</v>
      </c>
    </row>
    <row r="29" spans="1:4" x14ac:dyDescent="0.2">
      <c r="A29">
        <v>4000</v>
      </c>
      <c r="B29" t="s">
        <v>724</v>
      </c>
      <c r="C29" s="128">
        <f>ROUND('DOE25'!L256+'DOE25'!L337+'DOE25'!L375+'DOE25'!L376+'DOE25'!L377+'DOE25'!L378+'DOE25'!L379+'DOE25'!L380+'DOE25'!L381,0)</f>
        <v>1431259</v>
      </c>
    </row>
    <row r="30" spans="1:4" x14ac:dyDescent="0.2">
      <c r="B30" s="135" t="s">
        <v>725</v>
      </c>
      <c r="C30" s="129">
        <f>SUM(C28:C29)</f>
        <v>57206889</v>
      </c>
    </row>
    <row r="31" spans="1:4" x14ac:dyDescent="0.2">
      <c r="B31" s="32"/>
      <c r="C31" s="129"/>
    </row>
    <row r="32" spans="1:4" x14ac:dyDescent="0.2">
      <c r="A32">
        <v>5100</v>
      </c>
      <c r="B32" s="32" t="s">
        <v>726</v>
      </c>
      <c r="C32" s="129">
        <f>ROUND('DOE25'!L261+'DOE25'!L342,0)</f>
        <v>180000</v>
      </c>
    </row>
    <row r="34" spans="1:4" x14ac:dyDescent="0.2">
      <c r="A34" s="135" t="s">
        <v>94</v>
      </c>
      <c r="B34" s="136" t="s">
        <v>1794</v>
      </c>
      <c r="C34" s="130" t="s">
        <v>720</v>
      </c>
      <c r="D34" s="130" t="s">
        <v>721</v>
      </c>
    </row>
    <row r="35" spans="1:4" x14ac:dyDescent="0.2">
      <c r="A35">
        <v>1100</v>
      </c>
      <c r="B35" s="71" t="s">
        <v>727</v>
      </c>
      <c r="C35" s="128">
        <f>ROUND('DOE25'!F60+'DOE25'!G60+'DOE25'!H60+'DOE25'!I60+'DOE25'!J60,0)</f>
        <v>39322315</v>
      </c>
      <c r="D35" s="131">
        <f t="shared" ref="D35:D40" si="1">ROUND((C35/$C$41)*100,1)</f>
        <v>70.2</v>
      </c>
    </row>
    <row r="36" spans="1:4" x14ac:dyDescent="0.2">
      <c r="B36" s="71" t="s">
        <v>739</v>
      </c>
      <c r="C36" s="128">
        <f>SUM('DOE25'!F112:J112)-SUM('DOE25'!G97:G110)+('DOE25'!F175+'DOE25'!F176+'DOE25'!I175+'DOE25'!I176)-C35</f>
        <v>634472.1799999997</v>
      </c>
      <c r="D36" s="131">
        <f t="shared" si="1"/>
        <v>1.1000000000000001</v>
      </c>
    </row>
    <row r="37" spans="1:4" x14ac:dyDescent="0.2">
      <c r="A37" s="132" t="s">
        <v>831</v>
      </c>
      <c r="B37" s="71" t="s">
        <v>728</v>
      </c>
      <c r="C37" s="128">
        <f>ROUND('DOE25'!F117+'DOE25'!F118,0)</f>
        <v>12131446</v>
      </c>
      <c r="D37" s="131">
        <f t="shared" si="1"/>
        <v>21.6</v>
      </c>
    </row>
    <row r="38" spans="1:4" x14ac:dyDescent="0.2">
      <c r="A38" s="132" t="s">
        <v>734</v>
      </c>
      <c r="B38" s="71" t="s">
        <v>729</v>
      </c>
      <c r="C38" s="128">
        <f>ROUND(SUM('DOE25'!F140:J140)-SUM('DOE25'!F117:F119),0)</f>
        <v>335506</v>
      </c>
      <c r="D38" s="131">
        <f t="shared" si="1"/>
        <v>0.6</v>
      </c>
    </row>
    <row r="39" spans="1:4" x14ac:dyDescent="0.2">
      <c r="A39">
        <v>4000</v>
      </c>
      <c r="B39" s="71" t="s">
        <v>730</v>
      </c>
      <c r="C39" s="128">
        <f>ROUND('DOE25'!F170+'DOE25'!G170+'DOE25'!H170+'DOE25'!I170,0)</f>
        <v>3628696</v>
      </c>
      <c r="D39" s="131">
        <f t="shared" si="1"/>
        <v>6.5</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56052435.18</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topLeftCell="A13" zoomScale="279" zoomScaleNormal="279" workbookViewId="0">
      <selection activeCell="C14" sqref="C14:M14"/>
    </sheetView>
  </sheetViews>
  <sheetFormatPr defaultColWidth="8.6640625" defaultRowHeight="11.25" x14ac:dyDescent="0.2"/>
  <cols>
    <col min="1" max="1" width="10.1640625" customWidth="1"/>
    <col min="14" max="14" width="6.1640625" customWidth="1"/>
  </cols>
  <sheetData>
    <row r="1" spans="1:13" ht="16.5" thickTop="1" x14ac:dyDescent="0.25">
      <c r="A1" s="342" t="s">
        <v>763</v>
      </c>
      <c r="B1" s="343"/>
      <c r="C1" s="343"/>
      <c r="D1" s="343"/>
      <c r="E1" s="343"/>
      <c r="F1" s="343"/>
      <c r="G1" s="343"/>
      <c r="H1" s="343"/>
      <c r="I1" s="343"/>
      <c r="J1" s="154"/>
      <c r="K1" s="154"/>
      <c r="L1" s="154"/>
      <c r="M1" s="155"/>
    </row>
    <row r="2" spans="1:13" ht="12.75" x14ac:dyDescent="0.2">
      <c r="A2" s="347" t="s">
        <v>760</v>
      </c>
      <c r="B2" s="348"/>
      <c r="C2" s="348"/>
      <c r="D2" s="348"/>
      <c r="E2" s="348"/>
      <c r="F2" s="345" t="str">
        <f>'DOE25'!A2</f>
        <v>Contoocook Valley</v>
      </c>
      <c r="G2" s="346"/>
      <c r="H2" s="346"/>
      <c r="I2" s="346"/>
      <c r="M2" s="156"/>
    </row>
    <row r="3" spans="1:13" x14ac:dyDescent="0.2">
      <c r="A3" s="157" t="s">
        <v>761</v>
      </c>
      <c r="B3" s="130" t="s">
        <v>762</v>
      </c>
      <c r="C3" s="327" t="s">
        <v>764</v>
      </c>
      <c r="D3" s="327"/>
      <c r="E3" s="327"/>
      <c r="F3" s="327"/>
      <c r="G3" s="327"/>
      <c r="H3" s="327"/>
      <c r="I3" s="327"/>
      <c r="J3" s="327"/>
      <c r="K3" s="327"/>
      <c r="L3" s="327"/>
      <c r="M3" s="344"/>
    </row>
    <row r="4" spans="1:13" x14ac:dyDescent="0.2">
      <c r="A4" s="158"/>
      <c r="B4" s="149"/>
      <c r="C4" s="335" t="s">
        <v>1846</v>
      </c>
      <c r="D4" s="335"/>
      <c r="E4" s="335"/>
      <c r="F4" s="335"/>
      <c r="G4" s="335"/>
      <c r="H4" s="335"/>
      <c r="I4" s="335"/>
      <c r="J4" s="335"/>
      <c r="K4" s="335"/>
      <c r="L4" s="335"/>
      <c r="M4" s="336"/>
    </row>
    <row r="5" spans="1:13" x14ac:dyDescent="0.2">
      <c r="A5" s="158">
        <v>19</v>
      </c>
      <c r="B5" s="149">
        <v>1</v>
      </c>
      <c r="C5" s="335" t="s">
        <v>1849</v>
      </c>
      <c r="D5" s="335"/>
      <c r="E5" s="335"/>
      <c r="F5" s="335"/>
      <c r="G5" s="335"/>
      <c r="H5" s="335"/>
      <c r="I5" s="335"/>
      <c r="J5" s="335"/>
      <c r="K5" s="335"/>
      <c r="L5" s="335"/>
      <c r="M5" s="336"/>
    </row>
    <row r="6" spans="1:13" x14ac:dyDescent="0.2">
      <c r="A6" s="158"/>
      <c r="B6" s="149"/>
      <c r="C6" s="335" t="s">
        <v>1842</v>
      </c>
      <c r="D6" s="335"/>
      <c r="E6" s="335"/>
      <c r="F6" s="335"/>
      <c r="G6" s="335"/>
      <c r="H6" s="335"/>
      <c r="I6" s="335"/>
      <c r="J6" s="335"/>
      <c r="K6" s="335"/>
      <c r="L6" s="335"/>
      <c r="M6" s="336"/>
    </row>
    <row r="7" spans="1:13" x14ac:dyDescent="0.2">
      <c r="A7" s="158"/>
      <c r="B7" s="149"/>
      <c r="C7" s="335" t="s">
        <v>1844</v>
      </c>
      <c r="D7" s="335"/>
      <c r="E7" s="335"/>
      <c r="F7" s="335"/>
      <c r="G7" s="335"/>
      <c r="H7" s="335"/>
      <c r="I7" s="335"/>
      <c r="J7" s="335"/>
      <c r="K7" s="335"/>
      <c r="L7" s="335"/>
      <c r="M7" s="336"/>
    </row>
    <row r="8" spans="1:13" x14ac:dyDescent="0.2">
      <c r="A8" s="158"/>
      <c r="B8" s="149"/>
      <c r="C8" s="335" t="s">
        <v>1843</v>
      </c>
      <c r="D8" s="335"/>
      <c r="E8" s="335"/>
      <c r="F8" s="335"/>
      <c r="G8" s="335"/>
      <c r="H8" s="335"/>
      <c r="I8" s="335"/>
      <c r="J8" s="335"/>
      <c r="K8" s="335"/>
      <c r="L8" s="335"/>
      <c r="M8" s="336"/>
    </row>
    <row r="9" spans="1:13" x14ac:dyDescent="0.2">
      <c r="A9" s="158"/>
      <c r="B9" s="149"/>
      <c r="C9" s="335"/>
      <c r="D9" s="335"/>
      <c r="E9" s="335"/>
      <c r="F9" s="335"/>
      <c r="G9" s="335"/>
      <c r="H9" s="335"/>
      <c r="I9" s="335"/>
      <c r="J9" s="335"/>
      <c r="K9" s="335"/>
      <c r="L9" s="335"/>
      <c r="M9" s="336"/>
    </row>
    <row r="10" spans="1:13" x14ac:dyDescent="0.2">
      <c r="A10" s="158"/>
      <c r="B10" s="149"/>
      <c r="C10" s="335" t="s">
        <v>1848</v>
      </c>
      <c r="D10" s="335"/>
      <c r="E10" s="335"/>
      <c r="F10" s="335"/>
      <c r="G10" s="335"/>
      <c r="H10" s="335"/>
      <c r="I10" s="335"/>
      <c r="J10" s="335"/>
      <c r="K10" s="335"/>
      <c r="L10" s="335"/>
      <c r="M10" s="336"/>
    </row>
    <row r="11" spans="1:13" x14ac:dyDescent="0.2">
      <c r="A11" s="158"/>
      <c r="B11" s="149"/>
      <c r="C11" s="335"/>
      <c r="D11" s="335"/>
      <c r="E11" s="335"/>
      <c r="F11" s="335"/>
      <c r="G11" s="335"/>
      <c r="H11" s="335"/>
      <c r="I11" s="335"/>
      <c r="J11" s="335"/>
      <c r="K11" s="335"/>
      <c r="L11" s="335"/>
      <c r="M11" s="336"/>
    </row>
    <row r="12" spans="1:13" x14ac:dyDescent="0.2">
      <c r="A12" s="158"/>
      <c r="B12" s="149"/>
      <c r="C12" s="335"/>
      <c r="D12" s="335"/>
      <c r="E12" s="335"/>
      <c r="F12" s="335"/>
      <c r="G12" s="335"/>
      <c r="H12" s="335"/>
      <c r="I12" s="335"/>
      <c r="J12" s="335"/>
      <c r="K12" s="335"/>
      <c r="L12" s="335"/>
      <c r="M12" s="336"/>
    </row>
    <row r="13" spans="1:13" x14ac:dyDescent="0.2">
      <c r="A13" s="158"/>
      <c r="B13" s="149"/>
      <c r="C13" s="335"/>
      <c r="D13" s="335"/>
      <c r="E13" s="335"/>
      <c r="F13" s="335"/>
      <c r="G13" s="335"/>
      <c r="H13" s="335"/>
      <c r="I13" s="335"/>
      <c r="J13" s="335"/>
      <c r="K13" s="335"/>
      <c r="L13" s="335"/>
      <c r="M13" s="336"/>
    </row>
    <row r="14" spans="1:13" x14ac:dyDescent="0.2">
      <c r="A14" s="158">
        <v>4</v>
      </c>
      <c r="B14" s="149">
        <v>2</v>
      </c>
      <c r="C14" s="335" t="s">
        <v>1850</v>
      </c>
      <c r="D14" s="335"/>
      <c r="E14" s="335"/>
      <c r="F14" s="335"/>
      <c r="G14" s="335"/>
      <c r="H14" s="335"/>
      <c r="I14" s="335"/>
      <c r="J14" s="335"/>
      <c r="K14" s="335"/>
      <c r="L14" s="335"/>
      <c r="M14" s="336"/>
    </row>
    <row r="15" spans="1:13" x14ac:dyDescent="0.2">
      <c r="A15" s="158"/>
      <c r="B15" s="149"/>
      <c r="C15" s="335" t="s">
        <v>1845</v>
      </c>
      <c r="D15" s="335"/>
      <c r="E15" s="335"/>
      <c r="F15" s="335"/>
      <c r="G15" s="335"/>
      <c r="H15" s="335"/>
      <c r="I15" s="335"/>
      <c r="J15" s="335"/>
      <c r="K15" s="335"/>
      <c r="L15" s="335"/>
      <c r="M15" s="336"/>
    </row>
    <row r="16" spans="1:13" x14ac:dyDescent="0.2">
      <c r="A16" s="158"/>
      <c r="B16" s="149"/>
      <c r="C16" s="335"/>
      <c r="D16" s="335"/>
      <c r="E16" s="335"/>
      <c r="F16" s="335"/>
      <c r="G16" s="335"/>
      <c r="H16" s="335"/>
      <c r="I16" s="335"/>
      <c r="J16" s="335"/>
      <c r="K16" s="335"/>
      <c r="L16" s="335"/>
      <c r="M16" s="336"/>
    </row>
    <row r="17" spans="1:256" x14ac:dyDescent="0.2">
      <c r="A17" s="158"/>
      <c r="B17" s="149"/>
      <c r="C17" s="335"/>
      <c r="D17" s="335"/>
      <c r="E17" s="335"/>
      <c r="F17" s="335"/>
      <c r="G17" s="335"/>
      <c r="H17" s="335"/>
      <c r="I17" s="335"/>
      <c r="J17" s="335"/>
      <c r="K17" s="335"/>
      <c r="L17" s="335"/>
      <c r="M17" s="336"/>
    </row>
    <row r="18" spans="1:256" x14ac:dyDescent="0.2">
      <c r="A18" s="158"/>
      <c r="B18" s="149"/>
      <c r="C18" s="335"/>
      <c r="D18" s="335"/>
      <c r="E18" s="335"/>
      <c r="F18" s="335"/>
      <c r="G18" s="335"/>
      <c r="H18" s="335"/>
      <c r="I18" s="335"/>
      <c r="J18" s="335"/>
      <c r="K18" s="335"/>
      <c r="L18" s="335"/>
      <c r="M18" s="336"/>
    </row>
    <row r="19" spans="1:256" x14ac:dyDescent="0.2">
      <c r="A19" s="158"/>
      <c r="B19" s="149"/>
      <c r="C19" s="335"/>
      <c r="D19" s="335"/>
      <c r="E19" s="335"/>
      <c r="F19" s="335"/>
      <c r="G19" s="335"/>
      <c r="H19" s="335"/>
      <c r="I19" s="335"/>
      <c r="J19" s="335"/>
      <c r="K19" s="335"/>
      <c r="L19" s="335"/>
      <c r="M19" s="336"/>
    </row>
    <row r="20" spans="1:256" x14ac:dyDescent="0.2">
      <c r="A20" s="158"/>
      <c r="B20" s="149"/>
      <c r="C20" s="335"/>
      <c r="D20" s="335"/>
      <c r="E20" s="335"/>
      <c r="F20" s="335"/>
      <c r="G20" s="335"/>
      <c r="H20" s="335"/>
      <c r="I20" s="335"/>
      <c r="J20" s="335"/>
      <c r="K20" s="335"/>
      <c r="L20" s="335"/>
      <c r="M20" s="336"/>
    </row>
    <row r="21" spans="1:256" x14ac:dyDescent="0.2">
      <c r="A21" s="158"/>
      <c r="B21" s="149"/>
      <c r="C21" s="335"/>
      <c r="D21" s="335"/>
      <c r="E21" s="335"/>
      <c r="F21" s="335"/>
      <c r="G21" s="335"/>
      <c r="H21" s="335"/>
      <c r="I21" s="335"/>
      <c r="J21" s="335"/>
      <c r="K21" s="335"/>
      <c r="L21" s="335"/>
      <c r="M21" s="336"/>
    </row>
    <row r="22" spans="1:256" x14ac:dyDescent="0.2">
      <c r="A22" s="158"/>
      <c r="B22" s="149"/>
      <c r="C22" s="335"/>
      <c r="D22" s="335"/>
      <c r="E22" s="335"/>
      <c r="F22" s="335"/>
      <c r="G22" s="335"/>
      <c r="H22" s="335"/>
      <c r="I22" s="335"/>
      <c r="J22" s="335"/>
      <c r="K22" s="335"/>
      <c r="L22" s="335"/>
      <c r="M22" s="336"/>
    </row>
    <row r="23" spans="1:256" x14ac:dyDescent="0.2">
      <c r="A23" s="158"/>
      <c r="B23" s="149"/>
      <c r="C23" s="335"/>
      <c r="D23" s="335"/>
      <c r="E23" s="335"/>
      <c r="F23" s="335"/>
      <c r="G23" s="335"/>
      <c r="H23" s="335"/>
      <c r="I23" s="335"/>
      <c r="J23" s="335"/>
      <c r="K23" s="335"/>
      <c r="L23" s="335"/>
      <c r="M23" s="336"/>
    </row>
    <row r="24" spans="1:256" x14ac:dyDescent="0.2">
      <c r="A24" s="158"/>
      <c r="B24" s="149"/>
      <c r="C24" s="335"/>
      <c r="D24" s="335"/>
      <c r="E24" s="335"/>
      <c r="F24" s="335"/>
      <c r="G24" s="335"/>
      <c r="H24" s="335"/>
      <c r="I24" s="335"/>
      <c r="J24" s="335"/>
      <c r="K24" s="335"/>
      <c r="L24" s="335"/>
      <c r="M24" s="336"/>
    </row>
    <row r="25" spans="1:256" x14ac:dyDescent="0.2">
      <c r="A25" s="158"/>
      <c r="B25" s="149"/>
      <c r="C25" s="335"/>
      <c r="D25" s="335"/>
      <c r="E25" s="335"/>
      <c r="F25" s="335"/>
      <c r="G25" s="335"/>
      <c r="H25" s="335"/>
      <c r="I25" s="335"/>
      <c r="J25" s="335"/>
      <c r="K25" s="335"/>
      <c r="L25" s="335"/>
      <c r="M25" s="336"/>
    </row>
    <row r="26" spans="1:256" x14ac:dyDescent="0.2">
      <c r="A26" s="158"/>
      <c r="B26" s="149"/>
      <c r="C26" s="335"/>
      <c r="D26" s="335"/>
      <c r="E26" s="335"/>
      <c r="F26" s="335"/>
      <c r="G26" s="335"/>
      <c r="H26" s="335"/>
      <c r="I26" s="335"/>
      <c r="J26" s="335"/>
      <c r="K26" s="335"/>
      <c r="L26" s="335"/>
      <c r="M26" s="336"/>
    </row>
    <row r="27" spans="1:256" x14ac:dyDescent="0.2">
      <c r="A27" s="158"/>
      <c r="B27" s="149"/>
      <c r="C27" s="335"/>
      <c r="D27" s="335"/>
      <c r="E27" s="335"/>
      <c r="F27" s="335"/>
      <c r="G27" s="335"/>
      <c r="H27" s="335"/>
      <c r="I27" s="335"/>
      <c r="J27" s="335"/>
      <c r="K27" s="335"/>
      <c r="L27" s="335"/>
      <c r="M27" s="336"/>
    </row>
    <row r="28" spans="1:256" x14ac:dyDescent="0.2">
      <c r="A28" s="158"/>
      <c r="B28" s="149"/>
      <c r="C28" s="335"/>
      <c r="D28" s="335"/>
      <c r="E28" s="335"/>
      <c r="F28" s="335"/>
      <c r="G28" s="335"/>
      <c r="H28" s="335"/>
      <c r="I28" s="335"/>
      <c r="J28" s="335"/>
      <c r="K28" s="335"/>
      <c r="L28" s="335"/>
      <c r="M28" s="336"/>
    </row>
    <row r="29" spans="1:256" x14ac:dyDescent="0.2">
      <c r="A29" s="158"/>
      <c r="B29" s="149"/>
      <c r="C29" s="335"/>
      <c r="D29" s="335"/>
      <c r="E29" s="335"/>
      <c r="F29" s="335"/>
      <c r="G29" s="335"/>
      <c r="H29" s="335"/>
      <c r="I29" s="335"/>
      <c r="J29" s="335"/>
      <c r="K29" s="335"/>
      <c r="L29" s="335"/>
      <c r="M29" s="336"/>
      <c r="N29" s="152"/>
      <c r="O29" s="152"/>
      <c r="P29" s="340"/>
      <c r="Q29" s="340"/>
      <c r="R29" s="340"/>
      <c r="S29" s="340"/>
      <c r="T29" s="340"/>
      <c r="U29" s="340"/>
      <c r="V29" s="340"/>
      <c r="W29" s="340"/>
      <c r="X29" s="340"/>
      <c r="Y29" s="340"/>
      <c r="Z29" s="340"/>
      <c r="AA29" s="149"/>
      <c r="AB29" s="149"/>
      <c r="AC29" s="335"/>
      <c r="AD29" s="335"/>
      <c r="AE29" s="335"/>
      <c r="AF29" s="335"/>
      <c r="AG29" s="335"/>
      <c r="AH29" s="335"/>
      <c r="AI29" s="335"/>
      <c r="AJ29" s="335"/>
      <c r="AK29" s="335"/>
      <c r="AL29" s="335"/>
      <c r="AM29" s="335"/>
      <c r="AN29" s="149"/>
      <c r="AO29" s="149"/>
      <c r="AP29" s="335"/>
      <c r="AQ29" s="335"/>
      <c r="AR29" s="335"/>
      <c r="AS29" s="335"/>
      <c r="AT29" s="335"/>
      <c r="AU29" s="335"/>
      <c r="AV29" s="335"/>
      <c r="AW29" s="335"/>
      <c r="AX29" s="335"/>
      <c r="AY29" s="335"/>
      <c r="AZ29" s="335"/>
      <c r="BA29" s="149"/>
      <c r="BB29" s="149"/>
      <c r="BC29" s="335"/>
      <c r="BD29" s="335"/>
      <c r="BE29" s="335"/>
      <c r="BF29" s="335"/>
      <c r="BG29" s="335"/>
      <c r="BH29" s="335"/>
      <c r="BI29" s="335"/>
      <c r="BJ29" s="335"/>
      <c r="BK29" s="335"/>
      <c r="BL29" s="335"/>
      <c r="BM29" s="335"/>
      <c r="BN29" s="149"/>
      <c r="BO29" s="149"/>
      <c r="BP29" s="335"/>
      <c r="BQ29" s="335"/>
      <c r="BR29" s="335"/>
      <c r="BS29" s="335"/>
      <c r="BT29" s="335"/>
      <c r="BU29" s="335"/>
      <c r="BV29" s="335"/>
      <c r="BW29" s="335"/>
      <c r="BX29" s="335"/>
      <c r="BY29" s="335"/>
      <c r="BZ29" s="335"/>
      <c r="CA29" s="149"/>
      <c r="CB29" s="149"/>
      <c r="CC29" s="335"/>
      <c r="CD29" s="335"/>
      <c r="CE29" s="335"/>
      <c r="CF29" s="335"/>
      <c r="CG29" s="335"/>
      <c r="CH29" s="335"/>
      <c r="CI29" s="335"/>
      <c r="CJ29" s="335"/>
      <c r="CK29" s="335"/>
      <c r="CL29" s="335"/>
      <c r="CM29" s="335"/>
      <c r="CN29" s="149"/>
      <c r="CO29" s="149"/>
      <c r="CP29" s="335"/>
      <c r="CQ29" s="335"/>
      <c r="CR29" s="335"/>
      <c r="CS29" s="335"/>
      <c r="CT29" s="335"/>
      <c r="CU29" s="335"/>
      <c r="CV29" s="335"/>
      <c r="CW29" s="335"/>
      <c r="CX29" s="335"/>
      <c r="CY29" s="335"/>
      <c r="CZ29" s="335"/>
      <c r="DA29" s="149"/>
      <c r="DB29" s="149"/>
      <c r="DC29" s="335"/>
      <c r="DD29" s="335"/>
      <c r="DE29" s="335"/>
      <c r="DF29" s="335"/>
      <c r="DG29" s="335"/>
      <c r="DH29" s="335"/>
      <c r="DI29" s="335"/>
      <c r="DJ29" s="335"/>
      <c r="DK29" s="335"/>
      <c r="DL29" s="335"/>
      <c r="DM29" s="335"/>
      <c r="DN29" s="149"/>
      <c r="DO29" s="149"/>
      <c r="DP29" s="335"/>
      <c r="DQ29" s="335"/>
      <c r="DR29" s="335"/>
      <c r="DS29" s="335"/>
      <c r="DT29" s="335"/>
      <c r="DU29" s="335"/>
      <c r="DV29" s="335"/>
      <c r="DW29" s="335"/>
      <c r="DX29" s="335"/>
      <c r="DY29" s="335"/>
      <c r="DZ29" s="335"/>
      <c r="EA29" s="149"/>
      <c r="EB29" s="149"/>
      <c r="EC29" s="335"/>
      <c r="ED29" s="335"/>
      <c r="EE29" s="335"/>
      <c r="EF29" s="335"/>
      <c r="EG29" s="335"/>
      <c r="EH29" s="335"/>
      <c r="EI29" s="335"/>
      <c r="EJ29" s="335"/>
      <c r="EK29" s="335"/>
      <c r="EL29" s="335"/>
      <c r="EM29" s="335"/>
      <c r="EN29" s="149"/>
      <c r="EO29" s="149"/>
      <c r="EP29" s="335"/>
      <c r="EQ29" s="335"/>
      <c r="ER29" s="335"/>
      <c r="ES29" s="335"/>
      <c r="ET29" s="335"/>
      <c r="EU29" s="335"/>
      <c r="EV29" s="335"/>
      <c r="EW29" s="335"/>
      <c r="EX29" s="335"/>
      <c r="EY29" s="335"/>
      <c r="EZ29" s="335"/>
      <c r="FA29" s="149"/>
      <c r="FB29" s="149"/>
      <c r="FC29" s="335"/>
      <c r="FD29" s="335"/>
      <c r="FE29" s="335"/>
      <c r="FF29" s="335"/>
      <c r="FG29" s="335"/>
      <c r="FH29" s="335"/>
      <c r="FI29" s="335"/>
      <c r="FJ29" s="335"/>
      <c r="FK29" s="335"/>
      <c r="FL29" s="335"/>
      <c r="FM29" s="335"/>
      <c r="FN29" s="149"/>
      <c r="FO29" s="149"/>
      <c r="FP29" s="335"/>
      <c r="FQ29" s="335"/>
      <c r="FR29" s="335"/>
      <c r="FS29" s="335"/>
      <c r="FT29" s="335"/>
      <c r="FU29" s="335"/>
      <c r="FV29" s="335"/>
      <c r="FW29" s="335"/>
      <c r="FX29" s="335"/>
      <c r="FY29" s="335"/>
      <c r="FZ29" s="335"/>
      <c r="GA29" s="149"/>
      <c r="GB29" s="149"/>
      <c r="GC29" s="335"/>
      <c r="GD29" s="335"/>
      <c r="GE29" s="335"/>
      <c r="GF29" s="335"/>
      <c r="GG29" s="335"/>
      <c r="GH29" s="335"/>
      <c r="GI29" s="335"/>
      <c r="GJ29" s="335"/>
      <c r="GK29" s="335"/>
      <c r="GL29" s="335"/>
      <c r="GM29" s="335"/>
      <c r="GN29" s="149"/>
      <c r="GO29" s="149"/>
      <c r="GP29" s="335"/>
      <c r="GQ29" s="335"/>
      <c r="GR29" s="335"/>
      <c r="GS29" s="335"/>
      <c r="GT29" s="335"/>
      <c r="GU29" s="335"/>
      <c r="GV29" s="335"/>
      <c r="GW29" s="335"/>
      <c r="GX29" s="335"/>
      <c r="GY29" s="335"/>
      <c r="GZ29" s="335"/>
      <c r="HA29" s="149"/>
      <c r="HB29" s="149"/>
      <c r="HC29" s="335"/>
      <c r="HD29" s="335"/>
      <c r="HE29" s="335"/>
      <c r="HF29" s="335"/>
      <c r="HG29" s="335"/>
      <c r="HH29" s="335"/>
      <c r="HI29" s="335"/>
      <c r="HJ29" s="335"/>
      <c r="HK29" s="335"/>
      <c r="HL29" s="335"/>
      <c r="HM29" s="335"/>
      <c r="HN29" s="149"/>
      <c r="HO29" s="149"/>
      <c r="HP29" s="335"/>
      <c r="HQ29" s="335"/>
      <c r="HR29" s="335"/>
      <c r="HS29" s="335"/>
      <c r="HT29" s="335"/>
      <c r="HU29" s="335"/>
      <c r="HV29" s="335"/>
      <c r="HW29" s="335"/>
      <c r="HX29" s="335"/>
      <c r="HY29" s="335"/>
      <c r="HZ29" s="335"/>
      <c r="IA29" s="149"/>
      <c r="IB29" s="149"/>
      <c r="IC29" s="335"/>
      <c r="ID29" s="335"/>
      <c r="IE29" s="335"/>
      <c r="IF29" s="335"/>
      <c r="IG29" s="335"/>
      <c r="IH29" s="335"/>
      <c r="II29" s="335"/>
      <c r="IJ29" s="335"/>
      <c r="IK29" s="335"/>
      <c r="IL29" s="335"/>
      <c r="IM29" s="335"/>
      <c r="IN29" s="149"/>
      <c r="IO29" s="149"/>
      <c r="IP29" s="335"/>
      <c r="IQ29" s="335"/>
      <c r="IR29" s="335"/>
      <c r="IS29" s="335"/>
      <c r="IT29" s="335"/>
      <c r="IU29" s="335"/>
      <c r="IV29" s="335"/>
    </row>
    <row r="30" spans="1:256" x14ac:dyDescent="0.2">
      <c r="A30" s="158"/>
      <c r="B30" s="149"/>
      <c r="C30" s="335"/>
      <c r="D30" s="335"/>
      <c r="E30" s="335"/>
      <c r="F30" s="335"/>
      <c r="G30" s="335"/>
      <c r="H30" s="335"/>
      <c r="I30" s="335"/>
      <c r="J30" s="335"/>
      <c r="K30" s="335"/>
      <c r="L30" s="335"/>
      <c r="M30" s="336"/>
      <c r="N30" s="152"/>
      <c r="O30" s="152"/>
      <c r="P30" s="340"/>
      <c r="Q30" s="340"/>
      <c r="R30" s="340"/>
      <c r="S30" s="340"/>
      <c r="T30" s="340"/>
      <c r="U30" s="340"/>
      <c r="V30" s="340"/>
      <c r="W30" s="340"/>
      <c r="X30" s="340"/>
      <c r="Y30" s="340"/>
      <c r="Z30" s="340"/>
      <c r="AA30" s="149"/>
      <c r="AB30" s="149"/>
      <c r="AC30" s="335"/>
      <c r="AD30" s="335"/>
      <c r="AE30" s="335"/>
      <c r="AF30" s="335"/>
      <c r="AG30" s="335"/>
      <c r="AH30" s="335"/>
      <c r="AI30" s="335"/>
      <c r="AJ30" s="335"/>
      <c r="AK30" s="335"/>
      <c r="AL30" s="335"/>
      <c r="AM30" s="335"/>
      <c r="AN30" s="149"/>
      <c r="AO30" s="149"/>
      <c r="AP30" s="335"/>
      <c r="AQ30" s="335"/>
      <c r="AR30" s="335"/>
      <c r="AS30" s="335"/>
      <c r="AT30" s="335"/>
      <c r="AU30" s="335"/>
      <c r="AV30" s="335"/>
      <c r="AW30" s="335"/>
      <c r="AX30" s="335"/>
      <c r="AY30" s="335"/>
      <c r="AZ30" s="335"/>
      <c r="BA30" s="149"/>
      <c r="BB30" s="149"/>
      <c r="BC30" s="335"/>
      <c r="BD30" s="335"/>
      <c r="BE30" s="335"/>
      <c r="BF30" s="335"/>
      <c r="BG30" s="335"/>
      <c r="BH30" s="335"/>
      <c r="BI30" s="335"/>
      <c r="BJ30" s="335"/>
      <c r="BK30" s="335"/>
      <c r="BL30" s="335"/>
      <c r="BM30" s="335"/>
      <c r="BN30" s="149"/>
      <c r="BO30" s="149"/>
      <c r="BP30" s="335"/>
      <c r="BQ30" s="335"/>
      <c r="BR30" s="335"/>
      <c r="BS30" s="335"/>
      <c r="BT30" s="335"/>
      <c r="BU30" s="335"/>
      <c r="BV30" s="335"/>
      <c r="BW30" s="335"/>
      <c r="BX30" s="335"/>
      <c r="BY30" s="335"/>
      <c r="BZ30" s="335"/>
      <c r="CA30" s="149"/>
      <c r="CB30" s="149"/>
      <c r="CC30" s="335"/>
      <c r="CD30" s="335"/>
      <c r="CE30" s="335"/>
      <c r="CF30" s="335"/>
      <c r="CG30" s="335"/>
      <c r="CH30" s="335"/>
      <c r="CI30" s="335"/>
      <c r="CJ30" s="335"/>
      <c r="CK30" s="335"/>
      <c r="CL30" s="335"/>
      <c r="CM30" s="335"/>
      <c r="CN30" s="149"/>
      <c r="CO30" s="149"/>
      <c r="CP30" s="335"/>
      <c r="CQ30" s="335"/>
      <c r="CR30" s="335"/>
      <c r="CS30" s="335"/>
      <c r="CT30" s="335"/>
      <c r="CU30" s="335"/>
      <c r="CV30" s="335"/>
      <c r="CW30" s="335"/>
      <c r="CX30" s="335"/>
      <c r="CY30" s="335"/>
      <c r="CZ30" s="335"/>
      <c r="DA30" s="149"/>
      <c r="DB30" s="149"/>
      <c r="DC30" s="335"/>
      <c r="DD30" s="335"/>
      <c r="DE30" s="335"/>
      <c r="DF30" s="335"/>
      <c r="DG30" s="335"/>
      <c r="DH30" s="335"/>
      <c r="DI30" s="335"/>
      <c r="DJ30" s="335"/>
      <c r="DK30" s="335"/>
      <c r="DL30" s="335"/>
      <c r="DM30" s="335"/>
      <c r="DN30" s="149"/>
      <c r="DO30" s="149"/>
      <c r="DP30" s="335"/>
      <c r="DQ30" s="335"/>
      <c r="DR30" s="335"/>
      <c r="DS30" s="335"/>
      <c r="DT30" s="335"/>
      <c r="DU30" s="335"/>
      <c r="DV30" s="335"/>
      <c r="DW30" s="335"/>
      <c r="DX30" s="335"/>
      <c r="DY30" s="335"/>
      <c r="DZ30" s="335"/>
      <c r="EA30" s="149"/>
      <c r="EB30" s="149"/>
      <c r="EC30" s="335"/>
      <c r="ED30" s="335"/>
      <c r="EE30" s="335"/>
      <c r="EF30" s="335"/>
      <c r="EG30" s="335"/>
      <c r="EH30" s="335"/>
      <c r="EI30" s="335"/>
      <c r="EJ30" s="335"/>
      <c r="EK30" s="335"/>
      <c r="EL30" s="335"/>
      <c r="EM30" s="335"/>
      <c r="EN30" s="149"/>
      <c r="EO30" s="149"/>
      <c r="EP30" s="335"/>
      <c r="EQ30" s="335"/>
      <c r="ER30" s="335"/>
      <c r="ES30" s="335"/>
      <c r="ET30" s="335"/>
      <c r="EU30" s="335"/>
      <c r="EV30" s="335"/>
      <c r="EW30" s="335"/>
      <c r="EX30" s="335"/>
      <c r="EY30" s="335"/>
      <c r="EZ30" s="335"/>
      <c r="FA30" s="149"/>
      <c r="FB30" s="149"/>
      <c r="FC30" s="335"/>
      <c r="FD30" s="335"/>
      <c r="FE30" s="335"/>
      <c r="FF30" s="335"/>
      <c r="FG30" s="335"/>
      <c r="FH30" s="335"/>
      <c r="FI30" s="335"/>
      <c r="FJ30" s="335"/>
      <c r="FK30" s="335"/>
      <c r="FL30" s="335"/>
      <c r="FM30" s="335"/>
      <c r="FN30" s="149"/>
      <c r="FO30" s="149"/>
      <c r="FP30" s="335"/>
      <c r="FQ30" s="335"/>
      <c r="FR30" s="335"/>
      <c r="FS30" s="335"/>
      <c r="FT30" s="335"/>
      <c r="FU30" s="335"/>
      <c r="FV30" s="335"/>
      <c r="FW30" s="335"/>
      <c r="FX30" s="335"/>
      <c r="FY30" s="335"/>
      <c r="FZ30" s="335"/>
      <c r="GA30" s="149"/>
      <c r="GB30" s="149"/>
      <c r="GC30" s="335"/>
      <c r="GD30" s="335"/>
      <c r="GE30" s="335"/>
      <c r="GF30" s="335"/>
      <c r="GG30" s="335"/>
      <c r="GH30" s="335"/>
      <c r="GI30" s="335"/>
      <c r="GJ30" s="335"/>
      <c r="GK30" s="335"/>
      <c r="GL30" s="335"/>
      <c r="GM30" s="335"/>
      <c r="GN30" s="149"/>
      <c r="GO30" s="149"/>
      <c r="GP30" s="335"/>
      <c r="GQ30" s="335"/>
      <c r="GR30" s="335"/>
      <c r="GS30" s="335"/>
      <c r="GT30" s="335"/>
      <c r="GU30" s="335"/>
      <c r="GV30" s="335"/>
      <c r="GW30" s="335"/>
      <c r="GX30" s="335"/>
      <c r="GY30" s="335"/>
      <c r="GZ30" s="335"/>
      <c r="HA30" s="149"/>
      <c r="HB30" s="149"/>
      <c r="HC30" s="335"/>
      <c r="HD30" s="335"/>
      <c r="HE30" s="335"/>
      <c r="HF30" s="335"/>
      <c r="HG30" s="335"/>
      <c r="HH30" s="335"/>
      <c r="HI30" s="335"/>
      <c r="HJ30" s="335"/>
      <c r="HK30" s="335"/>
      <c r="HL30" s="335"/>
      <c r="HM30" s="335"/>
      <c r="HN30" s="149"/>
      <c r="HO30" s="149"/>
      <c r="HP30" s="335"/>
      <c r="HQ30" s="335"/>
      <c r="HR30" s="335"/>
      <c r="HS30" s="335"/>
      <c r="HT30" s="335"/>
      <c r="HU30" s="335"/>
      <c r="HV30" s="335"/>
      <c r="HW30" s="335"/>
      <c r="HX30" s="335"/>
      <c r="HY30" s="335"/>
      <c r="HZ30" s="335"/>
      <c r="IA30" s="149"/>
      <c r="IB30" s="149"/>
      <c r="IC30" s="335"/>
      <c r="ID30" s="335"/>
      <c r="IE30" s="335"/>
      <c r="IF30" s="335"/>
      <c r="IG30" s="335"/>
      <c r="IH30" s="335"/>
      <c r="II30" s="335"/>
      <c r="IJ30" s="335"/>
      <c r="IK30" s="335"/>
      <c r="IL30" s="335"/>
      <c r="IM30" s="335"/>
      <c r="IN30" s="149"/>
      <c r="IO30" s="149"/>
      <c r="IP30" s="335"/>
      <c r="IQ30" s="335"/>
      <c r="IR30" s="335"/>
      <c r="IS30" s="335"/>
      <c r="IT30" s="335"/>
      <c r="IU30" s="335"/>
      <c r="IV30" s="335"/>
    </row>
    <row r="31" spans="1:256" x14ac:dyDescent="0.2">
      <c r="A31" s="158"/>
      <c r="B31" s="149"/>
      <c r="C31" s="335"/>
      <c r="D31" s="335"/>
      <c r="E31" s="335"/>
      <c r="F31" s="335"/>
      <c r="G31" s="335"/>
      <c r="H31" s="335"/>
      <c r="I31" s="335"/>
      <c r="J31" s="335"/>
      <c r="K31" s="335"/>
      <c r="L31" s="335"/>
      <c r="M31" s="336"/>
      <c r="N31" s="152"/>
      <c r="O31" s="152"/>
      <c r="P31" s="340"/>
      <c r="Q31" s="340"/>
      <c r="R31" s="340"/>
      <c r="S31" s="340"/>
      <c r="T31" s="340"/>
      <c r="U31" s="340"/>
      <c r="V31" s="340"/>
      <c r="W31" s="340"/>
      <c r="X31" s="340"/>
      <c r="Y31" s="340"/>
      <c r="Z31" s="340"/>
      <c r="AA31" s="149"/>
      <c r="AB31" s="149"/>
      <c r="AC31" s="335"/>
      <c r="AD31" s="335"/>
      <c r="AE31" s="335"/>
      <c r="AF31" s="335"/>
      <c r="AG31" s="335"/>
      <c r="AH31" s="335"/>
      <c r="AI31" s="335"/>
      <c r="AJ31" s="335"/>
      <c r="AK31" s="335"/>
      <c r="AL31" s="335"/>
      <c r="AM31" s="335"/>
      <c r="AN31" s="149"/>
      <c r="AO31" s="149"/>
      <c r="AP31" s="335"/>
      <c r="AQ31" s="335"/>
      <c r="AR31" s="335"/>
      <c r="AS31" s="335"/>
      <c r="AT31" s="335"/>
      <c r="AU31" s="335"/>
      <c r="AV31" s="335"/>
      <c r="AW31" s="335"/>
      <c r="AX31" s="335"/>
      <c r="AY31" s="335"/>
      <c r="AZ31" s="335"/>
      <c r="BA31" s="149"/>
      <c r="BB31" s="149"/>
      <c r="BC31" s="335"/>
      <c r="BD31" s="335"/>
      <c r="BE31" s="335"/>
      <c r="BF31" s="335"/>
      <c r="BG31" s="335"/>
      <c r="BH31" s="335"/>
      <c r="BI31" s="335"/>
      <c r="BJ31" s="335"/>
      <c r="BK31" s="335"/>
      <c r="BL31" s="335"/>
      <c r="BM31" s="335"/>
      <c r="BN31" s="149"/>
      <c r="BO31" s="149"/>
      <c r="BP31" s="335"/>
      <c r="BQ31" s="335"/>
      <c r="BR31" s="335"/>
      <c r="BS31" s="335"/>
      <c r="BT31" s="335"/>
      <c r="BU31" s="335"/>
      <c r="BV31" s="335"/>
      <c r="BW31" s="335"/>
      <c r="BX31" s="335"/>
      <c r="BY31" s="335"/>
      <c r="BZ31" s="335"/>
      <c r="CA31" s="149"/>
      <c r="CB31" s="149"/>
      <c r="CC31" s="335"/>
      <c r="CD31" s="335"/>
      <c r="CE31" s="335"/>
      <c r="CF31" s="335"/>
      <c r="CG31" s="335"/>
      <c r="CH31" s="335"/>
      <c r="CI31" s="335"/>
      <c r="CJ31" s="335"/>
      <c r="CK31" s="335"/>
      <c r="CL31" s="335"/>
      <c r="CM31" s="335"/>
      <c r="CN31" s="149"/>
      <c r="CO31" s="149"/>
      <c r="CP31" s="335"/>
      <c r="CQ31" s="335"/>
      <c r="CR31" s="335"/>
      <c r="CS31" s="335"/>
      <c r="CT31" s="335"/>
      <c r="CU31" s="335"/>
      <c r="CV31" s="335"/>
      <c r="CW31" s="335"/>
      <c r="CX31" s="335"/>
      <c r="CY31" s="335"/>
      <c r="CZ31" s="335"/>
      <c r="DA31" s="149"/>
      <c r="DB31" s="149"/>
      <c r="DC31" s="335"/>
      <c r="DD31" s="335"/>
      <c r="DE31" s="335"/>
      <c r="DF31" s="335"/>
      <c r="DG31" s="335"/>
      <c r="DH31" s="335"/>
      <c r="DI31" s="335"/>
      <c r="DJ31" s="335"/>
      <c r="DK31" s="335"/>
      <c r="DL31" s="335"/>
      <c r="DM31" s="335"/>
      <c r="DN31" s="149"/>
      <c r="DO31" s="149"/>
      <c r="DP31" s="335"/>
      <c r="DQ31" s="335"/>
      <c r="DR31" s="335"/>
      <c r="DS31" s="335"/>
      <c r="DT31" s="335"/>
      <c r="DU31" s="335"/>
      <c r="DV31" s="335"/>
      <c r="DW31" s="335"/>
      <c r="DX31" s="335"/>
      <c r="DY31" s="335"/>
      <c r="DZ31" s="335"/>
      <c r="EA31" s="149"/>
      <c r="EB31" s="149"/>
      <c r="EC31" s="335"/>
      <c r="ED31" s="335"/>
      <c r="EE31" s="335"/>
      <c r="EF31" s="335"/>
      <c r="EG31" s="335"/>
      <c r="EH31" s="335"/>
      <c r="EI31" s="335"/>
      <c r="EJ31" s="335"/>
      <c r="EK31" s="335"/>
      <c r="EL31" s="335"/>
      <c r="EM31" s="335"/>
      <c r="EN31" s="149"/>
      <c r="EO31" s="149"/>
      <c r="EP31" s="335"/>
      <c r="EQ31" s="335"/>
      <c r="ER31" s="335"/>
      <c r="ES31" s="335"/>
      <c r="ET31" s="335"/>
      <c r="EU31" s="335"/>
      <c r="EV31" s="335"/>
      <c r="EW31" s="335"/>
      <c r="EX31" s="335"/>
      <c r="EY31" s="335"/>
      <c r="EZ31" s="335"/>
      <c r="FA31" s="149"/>
      <c r="FB31" s="149"/>
      <c r="FC31" s="335"/>
      <c r="FD31" s="335"/>
      <c r="FE31" s="335"/>
      <c r="FF31" s="335"/>
      <c r="FG31" s="335"/>
      <c r="FH31" s="335"/>
      <c r="FI31" s="335"/>
      <c r="FJ31" s="335"/>
      <c r="FK31" s="335"/>
      <c r="FL31" s="335"/>
      <c r="FM31" s="335"/>
      <c r="FN31" s="149"/>
      <c r="FO31" s="149"/>
      <c r="FP31" s="335"/>
      <c r="FQ31" s="335"/>
      <c r="FR31" s="335"/>
      <c r="FS31" s="335"/>
      <c r="FT31" s="335"/>
      <c r="FU31" s="335"/>
      <c r="FV31" s="335"/>
      <c r="FW31" s="335"/>
      <c r="FX31" s="335"/>
      <c r="FY31" s="335"/>
      <c r="FZ31" s="335"/>
      <c r="GA31" s="149"/>
      <c r="GB31" s="149"/>
      <c r="GC31" s="335"/>
      <c r="GD31" s="335"/>
      <c r="GE31" s="335"/>
      <c r="GF31" s="335"/>
      <c r="GG31" s="335"/>
      <c r="GH31" s="335"/>
      <c r="GI31" s="335"/>
      <c r="GJ31" s="335"/>
      <c r="GK31" s="335"/>
      <c r="GL31" s="335"/>
      <c r="GM31" s="335"/>
      <c r="GN31" s="149"/>
      <c r="GO31" s="149"/>
      <c r="GP31" s="335"/>
      <c r="GQ31" s="335"/>
      <c r="GR31" s="335"/>
      <c r="GS31" s="335"/>
      <c r="GT31" s="335"/>
      <c r="GU31" s="335"/>
      <c r="GV31" s="335"/>
      <c r="GW31" s="335"/>
      <c r="GX31" s="335"/>
      <c r="GY31" s="335"/>
      <c r="GZ31" s="335"/>
      <c r="HA31" s="149"/>
      <c r="HB31" s="149"/>
      <c r="HC31" s="335"/>
      <c r="HD31" s="335"/>
      <c r="HE31" s="335"/>
      <c r="HF31" s="335"/>
      <c r="HG31" s="335"/>
      <c r="HH31" s="335"/>
      <c r="HI31" s="335"/>
      <c r="HJ31" s="335"/>
      <c r="HK31" s="335"/>
      <c r="HL31" s="335"/>
      <c r="HM31" s="335"/>
      <c r="HN31" s="149"/>
      <c r="HO31" s="149"/>
      <c r="HP31" s="335"/>
      <c r="HQ31" s="335"/>
      <c r="HR31" s="335"/>
      <c r="HS31" s="335"/>
      <c r="HT31" s="335"/>
      <c r="HU31" s="335"/>
      <c r="HV31" s="335"/>
      <c r="HW31" s="335"/>
      <c r="HX31" s="335"/>
      <c r="HY31" s="335"/>
      <c r="HZ31" s="335"/>
      <c r="IA31" s="149"/>
      <c r="IB31" s="149"/>
      <c r="IC31" s="335"/>
      <c r="ID31" s="335"/>
      <c r="IE31" s="335"/>
      <c r="IF31" s="335"/>
      <c r="IG31" s="335"/>
      <c r="IH31" s="335"/>
      <c r="II31" s="335"/>
      <c r="IJ31" s="335"/>
      <c r="IK31" s="335"/>
      <c r="IL31" s="335"/>
      <c r="IM31" s="335"/>
      <c r="IN31" s="149"/>
      <c r="IO31" s="149"/>
      <c r="IP31" s="335"/>
      <c r="IQ31" s="335"/>
      <c r="IR31" s="335"/>
      <c r="IS31" s="335"/>
      <c r="IT31" s="335"/>
      <c r="IU31" s="335"/>
      <c r="IV31" s="335"/>
    </row>
    <row r="32" spans="1:256" x14ac:dyDescent="0.2">
      <c r="A32" s="158"/>
      <c r="B32" s="149"/>
      <c r="C32" s="335"/>
      <c r="D32" s="335"/>
      <c r="E32" s="335"/>
      <c r="F32" s="335"/>
      <c r="G32" s="335"/>
      <c r="H32" s="335"/>
      <c r="I32" s="335"/>
      <c r="J32" s="335"/>
      <c r="K32" s="335"/>
      <c r="L32" s="335"/>
      <c r="M32" s="336"/>
      <c r="N32" s="152"/>
      <c r="O32" s="152"/>
      <c r="P32" s="340"/>
      <c r="Q32" s="340"/>
      <c r="R32" s="340"/>
      <c r="S32" s="340"/>
      <c r="T32" s="340"/>
      <c r="U32" s="340"/>
      <c r="V32" s="340"/>
      <c r="W32" s="340"/>
      <c r="X32" s="340"/>
      <c r="Y32" s="340"/>
      <c r="Z32" s="341"/>
      <c r="AA32" s="158"/>
      <c r="AB32" s="149"/>
      <c r="AC32" s="335"/>
      <c r="AD32" s="335"/>
      <c r="AE32" s="335"/>
      <c r="AF32" s="335"/>
      <c r="AG32" s="335"/>
      <c r="AH32" s="335"/>
      <c r="AI32" s="335"/>
      <c r="AJ32" s="335"/>
      <c r="AK32" s="335"/>
      <c r="AL32" s="335"/>
      <c r="AM32" s="336"/>
      <c r="AN32" s="158"/>
      <c r="AO32" s="149"/>
      <c r="AP32" s="335"/>
      <c r="AQ32" s="335"/>
      <c r="AR32" s="335"/>
      <c r="AS32" s="335"/>
      <c r="AT32" s="335"/>
      <c r="AU32" s="335"/>
      <c r="AV32" s="335"/>
      <c r="AW32" s="335"/>
      <c r="AX32" s="335"/>
      <c r="AY32" s="335"/>
      <c r="AZ32" s="336"/>
      <c r="BA32" s="158"/>
      <c r="BB32" s="149"/>
      <c r="BC32" s="335"/>
      <c r="BD32" s="335"/>
      <c r="BE32" s="335"/>
      <c r="BF32" s="335"/>
      <c r="BG32" s="335"/>
      <c r="BH32" s="335"/>
      <c r="BI32" s="335"/>
      <c r="BJ32" s="335"/>
      <c r="BK32" s="335"/>
      <c r="BL32" s="335"/>
      <c r="BM32" s="336"/>
      <c r="BN32" s="158"/>
      <c r="BO32" s="149"/>
      <c r="BP32" s="335"/>
      <c r="BQ32" s="335"/>
      <c r="BR32" s="335"/>
      <c r="BS32" s="335"/>
      <c r="BT32" s="335"/>
      <c r="BU32" s="335"/>
      <c r="BV32" s="335"/>
      <c r="BW32" s="335"/>
      <c r="BX32" s="335"/>
      <c r="BY32" s="335"/>
      <c r="BZ32" s="336"/>
      <c r="CA32" s="158"/>
      <c r="CB32" s="149"/>
      <c r="CC32" s="335"/>
      <c r="CD32" s="335"/>
      <c r="CE32" s="335"/>
      <c r="CF32" s="335"/>
      <c r="CG32" s="335"/>
      <c r="CH32" s="335"/>
      <c r="CI32" s="335"/>
      <c r="CJ32" s="335"/>
      <c r="CK32" s="335"/>
      <c r="CL32" s="335"/>
      <c r="CM32" s="336"/>
      <c r="CN32" s="158"/>
      <c r="CO32" s="149"/>
      <c r="CP32" s="335"/>
      <c r="CQ32" s="335"/>
      <c r="CR32" s="335"/>
      <c r="CS32" s="335"/>
      <c r="CT32" s="335"/>
      <c r="CU32" s="335"/>
      <c r="CV32" s="335"/>
      <c r="CW32" s="335"/>
      <c r="CX32" s="335"/>
      <c r="CY32" s="335"/>
      <c r="CZ32" s="336"/>
      <c r="DA32" s="158"/>
      <c r="DB32" s="149"/>
      <c r="DC32" s="335"/>
      <c r="DD32" s="335"/>
      <c r="DE32" s="335"/>
      <c r="DF32" s="335"/>
      <c r="DG32" s="335"/>
      <c r="DH32" s="335"/>
      <c r="DI32" s="335"/>
      <c r="DJ32" s="335"/>
      <c r="DK32" s="335"/>
      <c r="DL32" s="335"/>
      <c r="DM32" s="336"/>
      <c r="DN32" s="158"/>
      <c r="DO32" s="149"/>
      <c r="DP32" s="335"/>
      <c r="DQ32" s="335"/>
      <c r="DR32" s="335"/>
      <c r="DS32" s="335"/>
      <c r="DT32" s="335"/>
      <c r="DU32" s="335"/>
      <c r="DV32" s="335"/>
      <c r="DW32" s="335"/>
      <c r="DX32" s="335"/>
      <c r="DY32" s="335"/>
      <c r="DZ32" s="336"/>
      <c r="EA32" s="158"/>
      <c r="EB32" s="149"/>
      <c r="EC32" s="335"/>
      <c r="ED32" s="335"/>
      <c r="EE32" s="335"/>
      <c r="EF32" s="335"/>
      <c r="EG32" s="335"/>
      <c r="EH32" s="335"/>
      <c r="EI32" s="335"/>
      <c r="EJ32" s="335"/>
      <c r="EK32" s="335"/>
      <c r="EL32" s="335"/>
      <c r="EM32" s="336"/>
      <c r="EN32" s="158"/>
      <c r="EO32" s="149"/>
      <c r="EP32" s="335"/>
      <c r="EQ32" s="335"/>
      <c r="ER32" s="335"/>
      <c r="ES32" s="335"/>
      <c r="ET32" s="335"/>
      <c r="EU32" s="335"/>
      <c r="EV32" s="335"/>
      <c r="EW32" s="335"/>
      <c r="EX32" s="335"/>
      <c r="EY32" s="335"/>
      <c r="EZ32" s="336"/>
      <c r="FA32" s="158"/>
      <c r="FB32" s="149"/>
      <c r="FC32" s="335"/>
      <c r="FD32" s="335"/>
      <c r="FE32" s="335"/>
      <c r="FF32" s="335"/>
      <c r="FG32" s="335"/>
      <c r="FH32" s="335"/>
      <c r="FI32" s="335"/>
      <c r="FJ32" s="335"/>
      <c r="FK32" s="335"/>
      <c r="FL32" s="335"/>
      <c r="FM32" s="336"/>
      <c r="FN32" s="158"/>
      <c r="FO32" s="149"/>
      <c r="FP32" s="335"/>
      <c r="FQ32" s="335"/>
      <c r="FR32" s="335"/>
      <c r="FS32" s="335"/>
      <c r="FT32" s="335"/>
      <c r="FU32" s="335"/>
      <c r="FV32" s="335"/>
      <c r="FW32" s="335"/>
      <c r="FX32" s="335"/>
      <c r="FY32" s="335"/>
      <c r="FZ32" s="336"/>
      <c r="GA32" s="158"/>
      <c r="GB32" s="149"/>
      <c r="GC32" s="335"/>
      <c r="GD32" s="335"/>
      <c r="GE32" s="335"/>
      <c r="GF32" s="335"/>
      <c r="GG32" s="335"/>
      <c r="GH32" s="335"/>
      <c r="GI32" s="335"/>
      <c r="GJ32" s="335"/>
      <c r="GK32" s="335"/>
      <c r="GL32" s="335"/>
      <c r="GM32" s="336"/>
      <c r="GN32" s="158"/>
      <c r="GO32" s="149"/>
      <c r="GP32" s="335"/>
      <c r="GQ32" s="335"/>
      <c r="GR32" s="335"/>
      <c r="GS32" s="335"/>
      <c r="GT32" s="335"/>
      <c r="GU32" s="335"/>
      <c r="GV32" s="335"/>
      <c r="GW32" s="335"/>
      <c r="GX32" s="335"/>
      <c r="GY32" s="335"/>
      <c r="GZ32" s="336"/>
      <c r="HA32" s="158"/>
      <c r="HB32" s="149"/>
      <c r="HC32" s="335"/>
      <c r="HD32" s="335"/>
      <c r="HE32" s="335"/>
      <c r="HF32" s="335"/>
      <c r="HG32" s="335"/>
      <c r="HH32" s="335"/>
      <c r="HI32" s="335"/>
      <c r="HJ32" s="335"/>
      <c r="HK32" s="335"/>
      <c r="HL32" s="335"/>
      <c r="HM32" s="336"/>
      <c r="HN32" s="158"/>
      <c r="HO32" s="149"/>
      <c r="HP32" s="335"/>
      <c r="HQ32" s="335"/>
      <c r="HR32" s="335"/>
      <c r="HS32" s="335"/>
      <c r="HT32" s="335"/>
      <c r="HU32" s="335"/>
      <c r="HV32" s="335"/>
      <c r="HW32" s="335"/>
      <c r="HX32" s="335"/>
      <c r="HY32" s="335"/>
      <c r="HZ32" s="336"/>
      <c r="IA32" s="158"/>
      <c r="IB32" s="149"/>
      <c r="IC32" s="335"/>
      <c r="ID32" s="335"/>
      <c r="IE32" s="335"/>
      <c r="IF32" s="335"/>
      <c r="IG32" s="335"/>
      <c r="IH32" s="335"/>
      <c r="II32" s="335"/>
      <c r="IJ32" s="335"/>
      <c r="IK32" s="335"/>
      <c r="IL32" s="335"/>
      <c r="IM32" s="336"/>
      <c r="IN32" s="158"/>
      <c r="IO32" s="149"/>
      <c r="IP32" s="335"/>
      <c r="IQ32" s="335"/>
      <c r="IR32" s="335"/>
      <c r="IS32" s="335"/>
      <c r="IT32" s="335"/>
      <c r="IU32" s="335"/>
      <c r="IV32" s="335"/>
    </row>
    <row r="33" spans="1:256" x14ac:dyDescent="0.2">
      <c r="A33" s="158"/>
      <c r="B33" s="149"/>
      <c r="C33" s="335"/>
      <c r="D33" s="335"/>
      <c r="E33" s="335"/>
      <c r="F33" s="335"/>
      <c r="G33" s="335"/>
      <c r="H33" s="335"/>
      <c r="I33" s="335"/>
      <c r="J33" s="335"/>
      <c r="K33" s="335"/>
      <c r="L33" s="335"/>
      <c r="M33" s="336"/>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5"/>
      <c r="D34" s="335"/>
      <c r="E34" s="335"/>
      <c r="F34" s="335"/>
      <c r="G34" s="335"/>
      <c r="H34" s="335"/>
      <c r="I34" s="335"/>
      <c r="J34" s="335"/>
      <c r="K34" s="335"/>
      <c r="L34" s="335"/>
      <c r="M34" s="336"/>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5"/>
      <c r="D35" s="335"/>
      <c r="E35" s="335"/>
      <c r="F35" s="335"/>
      <c r="G35" s="335"/>
      <c r="H35" s="335"/>
      <c r="I35" s="335"/>
      <c r="J35" s="335"/>
      <c r="K35" s="335"/>
      <c r="L35" s="335"/>
      <c r="M35" s="336"/>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5"/>
      <c r="D36" s="335"/>
      <c r="E36" s="335"/>
      <c r="F36" s="335"/>
      <c r="G36" s="335"/>
      <c r="H36" s="335"/>
      <c r="I36" s="335"/>
      <c r="J36" s="335"/>
      <c r="K36" s="335"/>
      <c r="L36" s="335"/>
      <c r="M36" s="336"/>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5"/>
      <c r="D37" s="335"/>
      <c r="E37" s="335"/>
      <c r="F37" s="335"/>
      <c r="G37" s="335"/>
      <c r="H37" s="335"/>
      <c r="I37" s="335"/>
      <c r="J37" s="335"/>
      <c r="K37" s="335"/>
      <c r="L37" s="335"/>
      <c r="M37" s="336"/>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5"/>
      <c r="D38" s="335"/>
      <c r="E38" s="335"/>
      <c r="F38" s="335"/>
      <c r="G38" s="335"/>
      <c r="H38" s="335"/>
      <c r="I38" s="335"/>
      <c r="J38" s="335"/>
      <c r="K38" s="335"/>
      <c r="L38" s="335"/>
      <c r="M38" s="336"/>
      <c r="N38" s="152"/>
      <c r="O38" s="152"/>
      <c r="P38" s="340"/>
      <c r="Q38" s="340"/>
      <c r="R38" s="340"/>
      <c r="S38" s="340"/>
      <c r="T38" s="340"/>
      <c r="U38" s="340"/>
      <c r="V38" s="340"/>
      <c r="W38" s="340"/>
      <c r="X38" s="340"/>
      <c r="Y38" s="340"/>
      <c r="Z38" s="340"/>
      <c r="AA38" s="149"/>
      <c r="AB38" s="149"/>
      <c r="AC38" s="335"/>
      <c r="AD38" s="335"/>
      <c r="AE38" s="335"/>
      <c r="AF38" s="335"/>
      <c r="AG38" s="335"/>
      <c r="AH38" s="335"/>
      <c r="AI38" s="335"/>
      <c r="AJ38" s="335"/>
      <c r="AK38" s="335"/>
      <c r="AL38" s="335"/>
      <c r="AM38" s="335"/>
      <c r="AN38" s="149"/>
      <c r="AO38" s="149"/>
      <c r="AP38" s="335"/>
      <c r="AQ38" s="335"/>
      <c r="AR38" s="335"/>
      <c r="AS38" s="335"/>
      <c r="AT38" s="335"/>
      <c r="AU38" s="335"/>
      <c r="AV38" s="335"/>
      <c r="AW38" s="335"/>
      <c r="AX38" s="335"/>
      <c r="AY38" s="335"/>
      <c r="AZ38" s="335"/>
      <c r="BA38" s="149"/>
      <c r="BB38" s="149"/>
      <c r="BC38" s="335"/>
      <c r="BD38" s="335"/>
      <c r="BE38" s="335"/>
      <c r="BF38" s="335"/>
      <c r="BG38" s="335"/>
      <c r="BH38" s="335"/>
      <c r="BI38" s="335"/>
      <c r="BJ38" s="335"/>
      <c r="BK38" s="335"/>
      <c r="BL38" s="335"/>
      <c r="BM38" s="335"/>
      <c r="BN38" s="149"/>
      <c r="BO38" s="149"/>
      <c r="BP38" s="335"/>
      <c r="BQ38" s="335"/>
      <c r="BR38" s="335"/>
      <c r="BS38" s="335"/>
      <c r="BT38" s="335"/>
      <c r="BU38" s="335"/>
      <c r="BV38" s="335"/>
      <c r="BW38" s="335"/>
      <c r="BX38" s="335"/>
      <c r="BY38" s="335"/>
      <c r="BZ38" s="335"/>
      <c r="CA38" s="149"/>
      <c r="CB38" s="149"/>
      <c r="CC38" s="335"/>
      <c r="CD38" s="335"/>
      <c r="CE38" s="335"/>
      <c r="CF38" s="335"/>
      <c r="CG38" s="335"/>
      <c r="CH38" s="335"/>
      <c r="CI38" s="335"/>
      <c r="CJ38" s="335"/>
      <c r="CK38" s="335"/>
      <c r="CL38" s="335"/>
      <c r="CM38" s="335"/>
      <c r="CN38" s="149"/>
      <c r="CO38" s="149"/>
      <c r="CP38" s="335"/>
      <c r="CQ38" s="335"/>
      <c r="CR38" s="335"/>
      <c r="CS38" s="335"/>
      <c r="CT38" s="335"/>
      <c r="CU38" s="335"/>
      <c r="CV38" s="335"/>
      <c r="CW38" s="335"/>
      <c r="CX38" s="335"/>
      <c r="CY38" s="335"/>
      <c r="CZ38" s="335"/>
      <c r="DA38" s="149"/>
      <c r="DB38" s="149"/>
      <c r="DC38" s="335"/>
      <c r="DD38" s="335"/>
      <c r="DE38" s="335"/>
      <c r="DF38" s="335"/>
      <c r="DG38" s="335"/>
      <c r="DH38" s="335"/>
      <c r="DI38" s="335"/>
      <c r="DJ38" s="335"/>
      <c r="DK38" s="335"/>
      <c r="DL38" s="335"/>
      <c r="DM38" s="335"/>
      <c r="DN38" s="149"/>
      <c r="DO38" s="149"/>
      <c r="DP38" s="335"/>
      <c r="DQ38" s="335"/>
      <c r="DR38" s="335"/>
      <c r="DS38" s="335"/>
      <c r="DT38" s="335"/>
      <c r="DU38" s="335"/>
      <c r="DV38" s="335"/>
      <c r="DW38" s="335"/>
      <c r="DX38" s="335"/>
      <c r="DY38" s="335"/>
      <c r="DZ38" s="335"/>
      <c r="EA38" s="149"/>
      <c r="EB38" s="149"/>
      <c r="EC38" s="335"/>
      <c r="ED38" s="335"/>
      <c r="EE38" s="335"/>
      <c r="EF38" s="335"/>
      <c r="EG38" s="335"/>
      <c r="EH38" s="335"/>
      <c r="EI38" s="335"/>
      <c r="EJ38" s="335"/>
      <c r="EK38" s="335"/>
      <c r="EL38" s="335"/>
      <c r="EM38" s="335"/>
      <c r="EN38" s="149"/>
      <c r="EO38" s="149"/>
      <c r="EP38" s="335"/>
      <c r="EQ38" s="335"/>
      <c r="ER38" s="335"/>
      <c r="ES38" s="335"/>
      <c r="ET38" s="335"/>
      <c r="EU38" s="335"/>
      <c r="EV38" s="335"/>
      <c r="EW38" s="335"/>
      <c r="EX38" s="335"/>
      <c r="EY38" s="335"/>
      <c r="EZ38" s="335"/>
      <c r="FA38" s="149"/>
      <c r="FB38" s="149"/>
      <c r="FC38" s="335"/>
      <c r="FD38" s="335"/>
      <c r="FE38" s="335"/>
      <c r="FF38" s="335"/>
      <c r="FG38" s="335"/>
      <c r="FH38" s="335"/>
      <c r="FI38" s="335"/>
      <c r="FJ38" s="335"/>
      <c r="FK38" s="335"/>
      <c r="FL38" s="335"/>
      <c r="FM38" s="335"/>
      <c r="FN38" s="149"/>
      <c r="FO38" s="149"/>
      <c r="FP38" s="335"/>
      <c r="FQ38" s="335"/>
      <c r="FR38" s="335"/>
      <c r="FS38" s="335"/>
      <c r="FT38" s="335"/>
      <c r="FU38" s="335"/>
      <c r="FV38" s="335"/>
      <c r="FW38" s="335"/>
      <c r="FX38" s="335"/>
      <c r="FY38" s="335"/>
      <c r="FZ38" s="335"/>
      <c r="GA38" s="149"/>
      <c r="GB38" s="149"/>
      <c r="GC38" s="335"/>
      <c r="GD38" s="335"/>
      <c r="GE38" s="335"/>
      <c r="GF38" s="335"/>
      <c r="GG38" s="335"/>
      <c r="GH38" s="335"/>
      <c r="GI38" s="335"/>
      <c r="GJ38" s="335"/>
      <c r="GK38" s="335"/>
      <c r="GL38" s="335"/>
      <c r="GM38" s="335"/>
      <c r="GN38" s="149"/>
      <c r="GO38" s="149"/>
      <c r="GP38" s="335"/>
      <c r="GQ38" s="335"/>
      <c r="GR38" s="335"/>
      <c r="GS38" s="335"/>
      <c r="GT38" s="335"/>
      <c r="GU38" s="335"/>
      <c r="GV38" s="335"/>
      <c r="GW38" s="335"/>
      <c r="GX38" s="335"/>
      <c r="GY38" s="335"/>
      <c r="GZ38" s="335"/>
      <c r="HA38" s="149"/>
      <c r="HB38" s="149"/>
      <c r="HC38" s="335"/>
      <c r="HD38" s="335"/>
      <c r="HE38" s="335"/>
      <c r="HF38" s="335"/>
      <c r="HG38" s="335"/>
      <c r="HH38" s="335"/>
      <c r="HI38" s="335"/>
      <c r="HJ38" s="335"/>
      <c r="HK38" s="335"/>
      <c r="HL38" s="335"/>
      <c r="HM38" s="335"/>
      <c r="HN38" s="149"/>
      <c r="HO38" s="149"/>
      <c r="HP38" s="335"/>
      <c r="HQ38" s="335"/>
      <c r="HR38" s="335"/>
      <c r="HS38" s="335"/>
      <c r="HT38" s="335"/>
      <c r="HU38" s="335"/>
      <c r="HV38" s="335"/>
      <c r="HW38" s="335"/>
      <c r="HX38" s="335"/>
      <c r="HY38" s="335"/>
      <c r="HZ38" s="335"/>
      <c r="IA38" s="149"/>
      <c r="IB38" s="149"/>
      <c r="IC38" s="335"/>
      <c r="ID38" s="335"/>
      <c r="IE38" s="335"/>
      <c r="IF38" s="335"/>
      <c r="IG38" s="335"/>
      <c r="IH38" s="335"/>
      <c r="II38" s="335"/>
      <c r="IJ38" s="335"/>
      <c r="IK38" s="335"/>
      <c r="IL38" s="335"/>
      <c r="IM38" s="335"/>
      <c r="IN38" s="149"/>
      <c r="IO38" s="149"/>
      <c r="IP38" s="335"/>
      <c r="IQ38" s="335"/>
      <c r="IR38" s="335"/>
      <c r="IS38" s="335"/>
      <c r="IT38" s="335"/>
      <c r="IU38" s="335"/>
      <c r="IV38" s="335"/>
    </row>
    <row r="39" spans="1:256" x14ac:dyDescent="0.2">
      <c r="A39" s="158"/>
      <c r="B39" s="149"/>
      <c r="C39" s="335"/>
      <c r="D39" s="335"/>
      <c r="E39" s="335"/>
      <c r="F39" s="335"/>
      <c r="G39" s="335"/>
      <c r="H39" s="335"/>
      <c r="I39" s="335"/>
      <c r="J39" s="335"/>
      <c r="K39" s="335"/>
      <c r="L39" s="335"/>
      <c r="M39" s="336"/>
      <c r="N39" s="152"/>
      <c r="O39" s="152"/>
      <c r="P39" s="340"/>
      <c r="Q39" s="340"/>
      <c r="R39" s="340"/>
      <c r="S39" s="340"/>
      <c r="T39" s="340"/>
      <c r="U39" s="340"/>
      <c r="V39" s="340"/>
      <c r="W39" s="340"/>
      <c r="X39" s="340"/>
      <c r="Y39" s="340"/>
      <c r="Z39" s="340"/>
      <c r="AA39" s="149"/>
      <c r="AB39" s="149"/>
      <c r="AC39" s="335"/>
      <c r="AD39" s="335"/>
      <c r="AE39" s="335"/>
      <c r="AF39" s="335"/>
      <c r="AG39" s="335"/>
      <c r="AH39" s="335"/>
      <c r="AI39" s="335"/>
      <c r="AJ39" s="335"/>
      <c r="AK39" s="335"/>
      <c r="AL39" s="335"/>
      <c r="AM39" s="335"/>
      <c r="AN39" s="149"/>
      <c r="AO39" s="149"/>
      <c r="AP39" s="335"/>
      <c r="AQ39" s="335"/>
      <c r="AR39" s="335"/>
      <c r="AS39" s="335"/>
      <c r="AT39" s="335"/>
      <c r="AU39" s="335"/>
      <c r="AV39" s="335"/>
      <c r="AW39" s="335"/>
      <c r="AX39" s="335"/>
      <c r="AY39" s="335"/>
      <c r="AZ39" s="335"/>
      <c r="BA39" s="149"/>
      <c r="BB39" s="149"/>
      <c r="BC39" s="335"/>
      <c r="BD39" s="335"/>
      <c r="BE39" s="335"/>
      <c r="BF39" s="335"/>
      <c r="BG39" s="335"/>
      <c r="BH39" s="335"/>
      <c r="BI39" s="335"/>
      <c r="BJ39" s="335"/>
      <c r="BK39" s="335"/>
      <c r="BL39" s="335"/>
      <c r="BM39" s="335"/>
      <c r="BN39" s="149"/>
      <c r="BO39" s="149"/>
      <c r="BP39" s="335"/>
      <c r="BQ39" s="335"/>
      <c r="BR39" s="335"/>
      <c r="BS39" s="335"/>
      <c r="BT39" s="335"/>
      <c r="BU39" s="335"/>
      <c r="BV39" s="335"/>
      <c r="BW39" s="335"/>
      <c r="BX39" s="335"/>
      <c r="BY39" s="335"/>
      <c r="BZ39" s="335"/>
      <c r="CA39" s="149"/>
      <c r="CB39" s="149"/>
      <c r="CC39" s="335"/>
      <c r="CD39" s="335"/>
      <c r="CE39" s="335"/>
      <c r="CF39" s="335"/>
      <c r="CG39" s="335"/>
      <c r="CH39" s="335"/>
      <c r="CI39" s="335"/>
      <c r="CJ39" s="335"/>
      <c r="CK39" s="335"/>
      <c r="CL39" s="335"/>
      <c r="CM39" s="335"/>
      <c r="CN39" s="149"/>
      <c r="CO39" s="149"/>
      <c r="CP39" s="335"/>
      <c r="CQ39" s="335"/>
      <c r="CR39" s="335"/>
      <c r="CS39" s="335"/>
      <c r="CT39" s="335"/>
      <c r="CU39" s="335"/>
      <c r="CV39" s="335"/>
      <c r="CW39" s="335"/>
      <c r="CX39" s="335"/>
      <c r="CY39" s="335"/>
      <c r="CZ39" s="335"/>
      <c r="DA39" s="149"/>
      <c r="DB39" s="149"/>
      <c r="DC39" s="335"/>
      <c r="DD39" s="335"/>
      <c r="DE39" s="335"/>
      <c r="DF39" s="335"/>
      <c r="DG39" s="335"/>
      <c r="DH39" s="335"/>
      <c r="DI39" s="335"/>
      <c r="DJ39" s="335"/>
      <c r="DK39" s="335"/>
      <c r="DL39" s="335"/>
      <c r="DM39" s="335"/>
      <c r="DN39" s="149"/>
      <c r="DO39" s="149"/>
      <c r="DP39" s="335"/>
      <c r="DQ39" s="335"/>
      <c r="DR39" s="335"/>
      <c r="DS39" s="335"/>
      <c r="DT39" s="335"/>
      <c r="DU39" s="335"/>
      <c r="DV39" s="335"/>
      <c r="DW39" s="335"/>
      <c r="DX39" s="335"/>
      <c r="DY39" s="335"/>
      <c r="DZ39" s="335"/>
      <c r="EA39" s="149"/>
      <c r="EB39" s="149"/>
      <c r="EC39" s="335"/>
      <c r="ED39" s="335"/>
      <c r="EE39" s="335"/>
      <c r="EF39" s="335"/>
      <c r="EG39" s="335"/>
      <c r="EH39" s="335"/>
      <c r="EI39" s="335"/>
      <c r="EJ39" s="335"/>
      <c r="EK39" s="335"/>
      <c r="EL39" s="335"/>
      <c r="EM39" s="335"/>
      <c r="EN39" s="149"/>
      <c r="EO39" s="149"/>
      <c r="EP39" s="335"/>
      <c r="EQ39" s="335"/>
      <c r="ER39" s="335"/>
      <c r="ES39" s="335"/>
      <c r="ET39" s="335"/>
      <c r="EU39" s="335"/>
      <c r="EV39" s="335"/>
      <c r="EW39" s="335"/>
      <c r="EX39" s="335"/>
      <c r="EY39" s="335"/>
      <c r="EZ39" s="335"/>
      <c r="FA39" s="149"/>
      <c r="FB39" s="149"/>
      <c r="FC39" s="335"/>
      <c r="FD39" s="335"/>
      <c r="FE39" s="335"/>
      <c r="FF39" s="335"/>
      <c r="FG39" s="335"/>
      <c r="FH39" s="335"/>
      <c r="FI39" s="335"/>
      <c r="FJ39" s="335"/>
      <c r="FK39" s="335"/>
      <c r="FL39" s="335"/>
      <c r="FM39" s="335"/>
      <c r="FN39" s="149"/>
      <c r="FO39" s="149"/>
      <c r="FP39" s="335"/>
      <c r="FQ39" s="335"/>
      <c r="FR39" s="335"/>
      <c r="FS39" s="335"/>
      <c r="FT39" s="335"/>
      <c r="FU39" s="335"/>
      <c r="FV39" s="335"/>
      <c r="FW39" s="335"/>
      <c r="FX39" s="335"/>
      <c r="FY39" s="335"/>
      <c r="FZ39" s="335"/>
      <c r="GA39" s="149"/>
      <c r="GB39" s="149"/>
      <c r="GC39" s="335"/>
      <c r="GD39" s="335"/>
      <c r="GE39" s="335"/>
      <c r="GF39" s="335"/>
      <c r="GG39" s="335"/>
      <c r="GH39" s="335"/>
      <c r="GI39" s="335"/>
      <c r="GJ39" s="335"/>
      <c r="GK39" s="335"/>
      <c r="GL39" s="335"/>
      <c r="GM39" s="335"/>
      <c r="GN39" s="149"/>
      <c r="GO39" s="149"/>
      <c r="GP39" s="335"/>
      <c r="GQ39" s="335"/>
      <c r="GR39" s="335"/>
      <c r="GS39" s="335"/>
      <c r="GT39" s="335"/>
      <c r="GU39" s="335"/>
      <c r="GV39" s="335"/>
      <c r="GW39" s="335"/>
      <c r="GX39" s="335"/>
      <c r="GY39" s="335"/>
      <c r="GZ39" s="335"/>
      <c r="HA39" s="149"/>
      <c r="HB39" s="149"/>
      <c r="HC39" s="335"/>
      <c r="HD39" s="335"/>
      <c r="HE39" s="335"/>
      <c r="HF39" s="335"/>
      <c r="HG39" s="335"/>
      <c r="HH39" s="335"/>
      <c r="HI39" s="335"/>
      <c r="HJ39" s="335"/>
      <c r="HK39" s="335"/>
      <c r="HL39" s="335"/>
      <c r="HM39" s="335"/>
      <c r="HN39" s="149"/>
      <c r="HO39" s="149"/>
      <c r="HP39" s="335"/>
      <c r="HQ39" s="335"/>
      <c r="HR39" s="335"/>
      <c r="HS39" s="335"/>
      <c r="HT39" s="335"/>
      <c r="HU39" s="335"/>
      <c r="HV39" s="335"/>
      <c r="HW39" s="335"/>
      <c r="HX39" s="335"/>
      <c r="HY39" s="335"/>
      <c r="HZ39" s="335"/>
      <c r="IA39" s="149"/>
      <c r="IB39" s="149"/>
      <c r="IC39" s="335"/>
      <c r="ID39" s="335"/>
      <c r="IE39" s="335"/>
      <c r="IF39" s="335"/>
      <c r="IG39" s="335"/>
      <c r="IH39" s="335"/>
      <c r="II39" s="335"/>
      <c r="IJ39" s="335"/>
      <c r="IK39" s="335"/>
      <c r="IL39" s="335"/>
      <c r="IM39" s="335"/>
      <c r="IN39" s="149"/>
      <c r="IO39" s="149"/>
      <c r="IP39" s="335"/>
      <c r="IQ39" s="335"/>
      <c r="IR39" s="335"/>
      <c r="IS39" s="335"/>
      <c r="IT39" s="335"/>
      <c r="IU39" s="335"/>
      <c r="IV39" s="335"/>
    </row>
    <row r="40" spans="1:256" x14ac:dyDescent="0.2">
      <c r="A40" s="158"/>
      <c r="B40" s="149"/>
      <c r="C40" s="335"/>
      <c r="D40" s="335"/>
      <c r="E40" s="335"/>
      <c r="F40" s="335"/>
      <c r="G40" s="335"/>
      <c r="H40" s="335"/>
      <c r="I40" s="335"/>
      <c r="J40" s="335"/>
      <c r="K40" s="335"/>
      <c r="L40" s="335"/>
      <c r="M40" s="336"/>
      <c r="N40" s="152"/>
      <c r="O40" s="152"/>
      <c r="P40" s="340"/>
      <c r="Q40" s="340"/>
      <c r="R40" s="340"/>
      <c r="S40" s="340"/>
      <c r="T40" s="340"/>
      <c r="U40" s="340"/>
      <c r="V40" s="340"/>
      <c r="W40" s="340"/>
      <c r="X40" s="340"/>
      <c r="Y40" s="340"/>
      <c r="Z40" s="340"/>
      <c r="AA40" s="149"/>
      <c r="AB40" s="149"/>
      <c r="AC40" s="335"/>
      <c r="AD40" s="335"/>
      <c r="AE40" s="335"/>
      <c r="AF40" s="335"/>
      <c r="AG40" s="335"/>
      <c r="AH40" s="335"/>
      <c r="AI40" s="335"/>
      <c r="AJ40" s="335"/>
      <c r="AK40" s="335"/>
      <c r="AL40" s="335"/>
      <c r="AM40" s="335"/>
      <c r="AN40" s="149"/>
      <c r="AO40" s="149"/>
      <c r="AP40" s="335"/>
      <c r="AQ40" s="335"/>
      <c r="AR40" s="335"/>
      <c r="AS40" s="335"/>
      <c r="AT40" s="335"/>
      <c r="AU40" s="335"/>
      <c r="AV40" s="335"/>
      <c r="AW40" s="335"/>
      <c r="AX40" s="335"/>
      <c r="AY40" s="335"/>
      <c r="AZ40" s="335"/>
      <c r="BA40" s="149"/>
      <c r="BB40" s="149"/>
      <c r="BC40" s="335"/>
      <c r="BD40" s="335"/>
      <c r="BE40" s="335"/>
      <c r="BF40" s="335"/>
      <c r="BG40" s="335"/>
      <c r="BH40" s="335"/>
      <c r="BI40" s="335"/>
      <c r="BJ40" s="335"/>
      <c r="BK40" s="335"/>
      <c r="BL40" s="335"/>
      <c r="BM40" s="335"/>
      <c r="BN40" s="149"/>
      <c r="BO40" s="149"/>
      <c r="BP40" s="335"/>
      <c r="BQ40" s="335"/>
      <c r="BR40" s="335"/>
      <c r="BS40" s="335"/>
      <c r="BT40" s="335"/>
      <c r="BU40" s="335"/>
      <c r="BV40" s="335"/>
      <c r="BW40" s="335"/>
      <c r="BX40" s="335"/>
      <c r="BY40" s="335"/>
      <c r="BZ40" s="335"/>
      <c r="CA40" s="149"/>
      <c r="CB40" s="149"/>
      <c r="CC40" s="335"/>
      <c r="CD40" s="335"/>
      <c r="CE40" s="335"/>
      <c r="CF40" s="335"/>
      <c r="CG40" s="335"/>
      <c r="CH40" s="335"/>
      <c r="CI40" s="335"/>
      <c r="CJ40" s="335"/>
      <c r="CK40" s="335"/>
      <c r="CL40" s="335"/>
      <c r="CM40" s="335"/>
      <c r="CN40" s="149"/>
      <c r="CO40" s="149"/>
      <c r="CP40" s="335"/>
      <c r="CQ40" s="335"/>
      <c r="CR40" s="335"/>
      <c r="CS40" s="335"/>
      <c r="CT40" s="335"/>
      <c r="CU40" s="335"/>
      <c r="CV40" s="335"/>
      <c r="CW40" s="335"/>
      <c r="CX40" s="335"/>
      <c r="CY40" s="335"/>
      <c r="CZ40" s="335"/>
      <c r="DA40" s="149"/>
      <c r="DB40" s="149"/>
      <c r="DC40" s="335"/>
      <c r="DD40" s="335"/>
      <c r="DE40" s="335"/>
      <c r="DF40" s="335"/>
      <c r="DG40" s="335"/>
      <c r="DH40" s="335"/>
      <c r="DI40" s="335"/>
      <c r="DJ40" s="335"/>
      <c r="DK40" s="335"/>
      <c r="DL40" s="335"/>
      <c r="DM40" s="335"/>
      <c r="DN40" s="149"/>
      <c r="DO40" s="149"/>
      <c r="DP40" s="335"/>
      <c r="DQ40" s="335"/>
      <c r="DR40" s="335"/>
      <c r="DS40" s="335"/>
      <c r="DT40" s="335"/>
      <c r="DU40" s="335"/>
      <c r="DV40" s="335"/>
      <c r="DW40" s="335"/>
      <c r="DX40" s="335"/>
      <c r="DY40" s="335"/>
      <c r="DZ40" s="335"/>
      <c r="EA40" s="149"/>
      <c r="EB40" s="149"/>
      <c r="EC40" s="335"/>
      <c r="ED40" s="335"/>
      <c r="EE40" s="335"/>
      <c r="EF40" s="335"/>
      <c r="EG40" s="335"/>
      <c r="EH40" s="335"/>
      <c r="EI40" s="335"/>
      <c r="EJ40" s="335"/>
      <c r="EK40" s="335"/>
      <c r="EL40" s="335"/>
      <c r="EM40" s="335"/>
      <c r="EN40" s="149"/>
      <c r="EO40" s="149"/>
      <c r="EP40" s="335"/>
      <c r="EQ40" s="335"/>
      <c r="ER40" s="335"/>
      <c r="ES40" s="335"/>
      <c r="ET40" s="335"/>
      <c r="EU40" s="335"/>
      <c r="EV40" s="335"/>
      <c r="EW40" s="335"/>
      <c r="EX40" s="335"/>
      <c r="EY40" s="335"/>
      <c r="EZ40" s="335"/>
      <c r="FA40" s="149"/>
      <c r="FB40" s="149"/>
      <c r="FC40" s="335"/>
      <c r="FD40" s="335"/>
      <c r="FE40" s="335"/>
      <c r="FF40" s="335"/>
      <c r="FG40" s="335"/>
      <c r="FH40" s="335"/>
      <c r="FI40" s="335"/>
      <c r="FJ40" s="335"/>
      <c r="FK40" s="335"/>
      <c r="FL40" s="335"/>
      <c r="FM40" s="335"/>
      <c r="FN40" s="149"/>
      <c r="FO40" s="149"/>
      <c r="FP40" s="335"/>
      <c r="FQ40" s="335"/>
      <c r="FR40" s="335"/>
      <c r="FS40" s="335"/>
      <c r="FT40" s="335"/>
      <c r="FU40" s="335"/>
      <c r="FV40" s="335"/>
      <c r="FW40" s="335"/>
      <c r="FX40" s="335"/>
      <c r="FY40" s="335"/>
      <c r="FZ40" s="335"/>
      <c r="GA40" s="149"/>
      <c r="GB40" s="149"/>
      <c r="GC40" s="335"/>
      <c r="GD40" s="335"/>
      <c r="GE40" s="335"/>
      <c r="GF40" s="335"/>
      <c r="GG40" s="335"/>
      <c r="GH40" s="335"/>
      <c r="GI40" s="335"/>
      <c r="GJ40" s="335"/>
      <c r="GK40" s="335"/>
      <c r="GL40" s="335"/>
      <c r="GM40" s="335"/>
      <c r="GN40" s="149"/>
      <c r="GO40" s="149"/>
      <c r="GP40" s="335"/>
      <c r="GQ40" s="335"/>
      <c r="GR40" s="335"/>
      <c r="GS40" s="335"/>
      <c r="GT40" s="335"/>
      <c r="GU40" s="335"/>
      <c r="GV40" s="335"/>
      <c r="GW40" s="335"/>
      <c r="GX40" s="335"/>
      <c r="GY40" s="335"/>
      <c r="GZ40" s="335"/>
      <c r="HA40" s="149"/>
      <c r="HB40" s="149"/>
      <c r="HC40" s="335"/>
      <c r="HD40" s="335"/>
      <c r="HE40" s="335"/>
      <c r="HF40" s="335"/>
      <c r="HG40" s="335"/>
      <c r="HH40" s="335"/>
      <c r="HI40" s="335"/>
      <c r="HJ40" s="335"/>
      <c r="HK40" s="335"/>
      <c r="HL40" s="335"/>
      <c r="HM40" s="335"/>
      <c r="HN40" s="149"/>
      <c r="HO40" s="149"/>
      <c r="HP40" s="335"/>
      <c r="HQ40" s="335"/>
      <c r="HR40" s="335"/>
      <c r="HS40" s="335"/>
      <c r="HT40" s="335"/>
      <c r="HU40" s="335"/>
      <c r="HV40" s="335"/>
      <c r="HW40" s="335"/>
      <c r="HX40" s="335"/>
      <c r="HY40" s="335"/>
      <c r="HZ40" s="335"/>
      <c r="IA40" s="149"/>
      <c r="IB40" s="149"/>
      <c r="IC40" s="335"/>
      <c r="ID40" s="335"/>
      <c r="IE40" s="335"/>
      <c r="IF40" s="335"/>
      <c r="IG40" s="335"/>
      <c r="IH40" s="335"/>
      <c r="II40" s="335"/>
      <c r="IJ40" s="335"/>
      <c r="IK40" s="335"/>
      <c r="IL40" s="335"/>
      <c r="IM40" s="335"/>
      <c r="IN40" s="149"/>
      <c r="IO40" s="149"/>
      <c r="IP40" s="335"/>
      <c r="IQ40" s="335"/>
      <c r="IR40" s="335"/>
      <c r="IS40" s="335"/>
      <c r="IT40" s="335"/>
      <c r="IU40" s="335"/>
      <c r="IV40" s="335"/>
    </row>
    <row r="41" spans="1:256" x14ac:dyDescent="0.2">
      <c r="A41" s="158"/>
      <c r="B41" s="149"/>
      <c r="C41" s="335"/>
      <c r="D41" s="335"/>
      <c r="E41" s="335"/>
      <c r="F41" s="335"/>
      <c r="G41" s="335"/>
      <c r="H41" s="335"/>
      <c r="I41" s="335"/>
      <c r="J41" s="335"/>
      <c r="K41" s="335"/>
      <c r="L41" s="335"/>
      <c r="M41" s="336"/>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5"/>
      <c r="D42" s="335"/>
      <c r="E42" s="335"/>
      <c r="F42" s="335"/>
      <c r="G42" s="335"/>
      <c r="H42" s="335"/>
      <c r="I42" s="335"/>
      <c r="J42" s="335"/>
      <c r="K42" s="335"/>
      <c r="L42" s="335"/>
      <c r="M42" s="336"/>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5"/>
      <c r="D43" s="335"/>
      <c r="E43" s="335"/>
      <c r="F43" s="335"/>
      <c r="G43" s="335"/>
      <c r="H43" s="335"/>
      <c r="I43" s="335"/>
      <c r="J43" s="335"/>
      <c r="K43" s="335"/>
      <c r="L43" s="335"/>
      <c r="M43" s="336"/>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5"/>
      <c r="D44" s="335"/>
      <c r="E44" s="335"/>
      <c r="F44" s="335"/>
      <c r="G44" s="335"/>
      <c r="H44" s="335"/>
      <c r="I44" s="335"/>
      <c r="J44" s="335"/>
      <c r="K44" s="335"/>
      <c r="L44" s="335"/>
      <c r="M44" s="336"/>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5"/>
      <c r="D45" s="335"/>
      <c r="E45" s="335"/>
      <c r="F45" s="335"/>
      <c r="G45" s="335"/>
      <c r="H45" s="335"/>
      <c r="I45" s="335"/>
      <c r="J45" s="335"/>
      <c r="K45" s="335"/>
      <c r="L45" s="335"/>
      <c r="M45" s="336"/>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5"/>
      <c r="D46" s="335"/>
      <c r="E46" s="335"/>
      <c r="F46" s="335"/>
      <c r="G46" s="335"/>
      <c r="H46" s="335"/>
      <c r="I46" s="335"/>
      <c r="J46" s="335"/>
      <c r="K46" s="335"/>
      <c r="L46" s="335"/>
      <c r="M46" s="336"/>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5"/>
      <c r="D47" s="335"/>
      <c r="E47" s="335"/>
      <c r="F47" s="335"/>
      <c r="G47" s="335"/>
      <c r="H47" s="335"/>
      <c r="I47" s="335"/>
      <c r="J47" s="335"/>
      <c r="K47" s="335"/>
      <c r="L47" s="335"/>
      <c r="M47" s="336"/>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5"/>
      <c r="D48" s="335"/>
      <c r="E48" s="335"/>
      <c r="F48" s="335"/>
      <c r="G48" s="335"/>
      <c r="H48" s="335"/>
      <c r="I48" s="335"/>
      <c r="J48" s="335"/>
      <c r="K48" s="335"/>
      <c r="L48" s="335"/>
      <c r="M48" s="336"/>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5"/>
      <c r="D49" s="335"/>
      <c r="E49" s="335"/>
      <c r="F49" s="335"/>
      <c r="G49" s="335"/>
      <c r="H49" s="335"/>
      <c r="I49" s="335"/>
      <c r="J49" s="335"/>
      <c r="K49" s="335"/>
      <c r="L49" s="335"/>
      <c r="M49" s="336"/>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5"/>
      <c r="D50" s="335"/>
      <c r="E50" s="335"/>
      <c r="F50" s="335"/>
      <c r="G50" s="335"/>
      <c r="H50" s="335"/>
      <c r="I50" s="335"/>
      <c r="J50" s="335"/>
      <c r="K50" s="335"/>
      <c r="L50" s="335"/>
      <c r="M50" s="336"/>
    </row>
    <row r="51" spans="1:256" x14ac:dyDescent="0.2">
      <c r="A51" s="158"/>
      <c r="B51" s="149"/>
      <c r="C51" s="335"/>
      <c r="D51" s="335"/>
      <c r="E51" s="335"/>
      <c r="F51" s="335"/>
      <c r="G51" s="335"/>
      <c r="H51" s="335"/>
      <c r="I51" s="335"/>
      <c r="J51" s="335"/>
      <c r="K51" s="335"/>
      <c r="L51" s="335"/>
      <c r="M51" s="336"/>
    </row>
    <row r="52" spans="1:256" x14ac:dyDescent="0.2">
      <c r="A52" s="158"/>
      <c r="B52" s="149"/>
      <c r="C52" s="335"/>
      <c r="D52" s="335"/>
      <c r="E52" s="335"/>
      <c r="F52" s="335"/>
      <c r="G52" s="335"/>
      <c r="H52" s="335"/>
      <c r="I52" s="335"/>
      <c r="J52" s="335"/>
      <c r="K52" s="335"/>
      <c r="L52" s="335"/>
      <c r="M52" s="336"/>
    </row>
    <row r="53" spans="1:256" x14ac:dyDescent="0.2">
      <c r="A53" s="158"/>
      <c r="B53" s="149"/>
      <c r="C53" s="335"/>
      <c r="D53" s="335"/>
      <c r="E53" s="335"/>
      <c r="F53" s="335"/>
      <c r="G53" s="335"/>
      <c r="H53" s="335"/>
      <c r="I53" s="335"/>
      <c r="J53" s="335"/>
      <c r="K53" s="335"/>
      <c r="L53" s="335"/>
      <c r="M53" s="336"/>
    </row>
    <row r="54" spans="1:256" x14ac:dyDescent="0.2">
      <c r="A54" s="158"/>
      <c r="B54" s="149"/>
      <c r="C54" s="335"/>
      <c r="D54" s="335"/>
      <c r="E54" s="335"/>
      <c r="F54" s="335"/>
      <c r="G54" s="335"/>
      <c r="H54" s="335"/>
      <c r="I54" s="335"/>
      <c r="J54" s="335"/>
      <c r="K54" s="335"/>
      <c r="L54" s="335"/>
      <c r="M54" s="336"/>
    </row>
    <row r="55" spans="1:256" x14ac:dyDescent="0.2">
      <c r="A55" s="158"/>
      <c r="B55" s="149"/>
      <c r="C55" s="335"/>
      <c r="D55" s="335"/>
      <c r="E55" s="335"/>
      <c r="F55" s="335"/>
      <c r="G55" s="335"/>
      <c r="H55" s="335"/>
      <c r="I55" s="335"/>
      <c r="J55" s="335"/>
      <c r="K55" s="335"/>
      <c r="L55" s="335"/>
      <c r="M55" s="336"/>
    </row>
    <row r="56" spans="1:256" x14ac:dyDescent="0.2">
      <c r="A56" s="158"/>
      <c r="B56" s="149"/>
      <c r="C56" s="335"/>
      <c r="D56" s="335"/>
      <c r="E56" s="335"/>
      <c r="F56" s="335"/>
      <c r="G56" s="335"/>
      <c r="H56" s="335"/>
      <c r="I56" s="335"/>
      <c r="J56" s="335"/>
      <c r="K56" s="335"/>
      <c r="L56" s="335"/>
      <c r="M56" s="336"/>
    </row>
    <row r="57" spans="1:256" x14ac:dyDescent="0.2">
      <c r="A57" s="158"/>
      <c r="B57" s="149"/>
      <c r="C57" s="335"/>
      <c r="D57" s="335"/>
      <c r="E57" s="335"/>
      <c r="F57" s="335"/>
      <c r="G57" s="335"/>
      <c r="H57" s="335"/>
      <c r="I57" s="335"/>
      <c r="J57" s="335"/>
      <c r="K57" s="335"/>
      <c r="L57" s="335"/>
      <c r="M57" s="336"/>
    </row>
    <row r="58" spans="1:256" x14ac:dyDescent="0.2">
      <c r="A58" s="158"/>
      <c r="B58" s="149"/>
      <c r="C58" s="335"/>
      <c r="D58" s="335"/>
      <c r="E58" s="335"/>
      <c r="F58" s="335"/>
      <c r="G58" s="335"/>
      <c r="H58" s="335"/>
      <c r="I58" s="335"/>
      <c r="J58" s="335"/>
      <c r="K58" s="335"/>
      <c r="L58" s="335"/>
      <c r="M58" s="336"/>
    </row>
    <row r="59" spans="1:256" x14ac:dyDescent="0.2">
      <c r="A59" s="158"/>
      <c r="B59" s="149"/>
      <c r="C59" s="335"/>
      <c r="D59" s="335"/>
      <c r="E59" s="335"/>
      <c r="F59" s="335"/>
      <c r="G59" s="335"/>
      <c r="H59" s="335"/>
      <c r="I59" s="335"/>
      <c r="J59" s="335"/>
      <c r="K59" s="335"/>
      <c r="L59" s="335"/>
      <c r="M59" s="336"/>
    </row>
    <row r="60" spans="1:256" x14ac:dyDescent="0.2">
      <c r="A60" s="158"/>
      <c r="B60" s="149"/>
      <c r="C60" s="335"/>
      <c r="D60" s="335"/>
      <c r="E60" s="335"/>
      <c r="F60" s="335"/>
      <c r="G60" s="335"/>
      <c r="H60" s="335"/>
      <c r="I60" s="335"/>
      <c r="J60" s="335"/>
      <c r="K60" s="335"/>
      <c r="L60" s="335"/>
      <c r="M60" s="336"/>
    </row>
    <row r="61" spans="1:256" x14ac:dyDescent="0.2">
      <c r="A61" s="158"/>
      <c r="B61" s="149"/>
      <c r="C61" s="335"/>
      <c r="D61" s="335"/>
      <c r="E61" s="335"/>
      <c r="F61" s="335"/>
      <c r="G61" s="335"/>
      <c r="H61" s="335"/>
      <c r="I61" s="335"/>
      <c r="J61" s="335"/>
      <c r="K61" s="335"/>
      <c r="L61" s="335"/>
      <c r="M61" s="336"/>
    </row>
    <row r="62" spans="1:256" x14ac:dyDescent="0.2">
      <c r="A62" s="158"/>
      <c r="B62" s="149"/>
      <c r="C62" s="335"/>
      <c r="D62" s="335"/>
      <c r="E62" s="335"/>
      <c r="F62" s="335"/>
      <c r="G62" s="335"/>
      <c r="H62" s="335"/>
      <c r="I62" s="335"/>
      <c r="J62" s="335"/>
      <c r="K62" s="335"/>
      <c r="L62" s="335"/>
      <c r="M62" s="336"/>
    </row>
    <row r="63" spans="1:256" x14ac:dyDescent="0.2">
      <c r="A63" s="158"/>
      <c r="B63" s="149"/>
      <c r="C63" s="335"/>
      <c r="D63" s="335"/>
      <c r="E63" s="335"/>
      <c r="F63" s="335"/>
      <c r="G63" s="335"/>
      <c r="H63" s="335"/>
      <c r="I63" s="335"/>
      <c r="J63" s="335"/>
      <c r="K63" s="335"/>
      <c r="L63" s="335"/>
      <c r="M63" s="336"/>
    </row>
    <row r="64" spans="1:256" x14ac:dyDescent="0.2">
      <c r="A64" s="158"/>
      <c r="B64" s="149"/>
      <c r="C64" s="335"/>
      <c r="D64" s="335"/>
      <c r="E64" s="335"/>
      <c r="F64" s="335"/>
      <c r="G64" s="335"/>
      <c r="H64" s="335"/>
      <c r="I64" s="335"/>
      <c r="J64" s="335"/>
      <c r="K64" s="335"/>
      <c r="L64" s="335"/>
      <c r="M64" s="336"/>
    </row>
    <row r="65" spans="1:13" x14ac:dyDescent="0.2">
      <c r="A65" s="158"/>
      <c r="B65" s="149"/>
      <c r="C65" s="335"/>
      <c r="D65" s="335"/>
      <c r="E65" s="335"/>
      <c r="F65" s="335"/>
      <c r="G65" s="335"/>
      <c r="H65" s="335"/>
      <c r="I65" s="335"/>
      <c r="J65" s="335"/>
      <c r="K65" s="335"/>
      <c r="L65" s="335"/>
      <c r="M65" s="336"/>
    </row>
    <row r="66" spans="1:13" x14ac:dyDescent="0.2">
      <c r="A66" s="158"/>
      <c r="B66" s="149"/>
      <c r="C66" s="335"/>
      <c r="D66" s="335"/>
      <c r="E66" s="335"/>
      <c r="F66" s="335"/>
      <c r="G66" s="335"/>
      <c r="H66" s="335"/>
      <c r="I66" s="335"/>
      <c r="J66" s="335"/>
      <c r="K66" s="335"/>
      <c r="L66" s="335"/>
      <c r="M66" s="336"/>
    </row>
    <row r="67" spans="1:13" x14ac:dyDescent="0.2">
      <c r="A67" s="158"/>
      <c r="B67" s="149"/>
      <c r="C67" s="335"/>
      <c r="D67" s="335"/>
      <c r="E67" s="335"/>
      <c r="F67" s="335"/>
      <c r="G67" s="335"/>
      <c r="H67" s="335"/>
      <c r="I67" s="335"/>
      <c r="J67" s="335"/>
      <c r="K67" s="335"/>
      <c r="L67" s="335"/>
      <c r="M67" s="336"/>
    </row>
    <row r="68" spans="1:13" x14ac:dyDescent="0.2">
      <c r="A68" s="158"/>
      <c r="B68" s="149"/>
      <c r="C68" s="335"/>
      <c r="D68" s="335"/>
      <c r="E68" s="335"/>
      <c r="F68" s="335"/>
      <c r="G68" s="335"/>
      <c r="H68" s="335"/>
      <c r="I68" s="335"/>
      <c r="J68" s="335"/>
      <c r="K68" s="335"/>
      <c r="L68" s="335"/>
      <c r="M68" s="336"/>
    </row>
    <row r="69" spans="1:13" x14ac:dyDescent="0.2">
      <c r="A69" s="158"/>
      <c r="B69" s="149"/>
      <c r="C69" s="335"/>
      <c r="D69" s="335"/>
      <c r="E69" s="335"/>
      <c r="F69" s="335"/>
      <c r="G69" s="335"/>
      <c r="H69" s="335"/>
      <c r="I69" s="335"/>
      <c r="J69" s="335"/>
      <c r="K69" s="335"/>
      <c r="L69" s="335"/>
      <c r="M69" s="336"/>
    </row>
    <row r="70" spans="1:13" ht="12" thickBot="1" x14ac:dyDescent="0.25">
      <c r="A70" s="159"/>
      <c r="B70" s="160"/>
      <c r="C70" s="337"/>
      <c r="D70" s="337"/>
      <c r="E70" s="337"/>
      <c r="F70" s="337"/>
      <c r="G70" s="337"/>
      <c r="H70" s="337"/>
      <c r="I70" s="337"/>
      <c r="J70" s="337"/>
      <c r="K70" s="337"/>
      <c r="L70" s="337"/>
      <c r="M70" s="338"/>
    </row>
    <row r="71" spans="1:13" ht="12" thickTop="1" x14ac:dyDescent="0.2">
      <c r="A71" s="150"/>
      <c r="B71" s="150"/>
      <c r="C71" s="151"/>
      <c r="D71" s="151"/>
      <c r="E71" s="151"/>
      <c r="F71" s="151"/>
      <c r="G71" s="151"/>
      <c r="H71" s="151"/>
      <c r="I71" s="151"/>
      <c r="J71" s="151"/>
      <c r="K71" s="151"/>
      <c r="L71" s="151"/>
    </row>
    <row r="72" spans="1:13" ht="12.75" x14ac:dyDescent="0.2">
      <c r="A72" s="339" t="s">
        <v>828</v>
      </c>
      <c r="B72" s="339"/>
      <c r="C72" s="339"/>
      <c r="D72" s="339"/>
      <c r="E72" s="339"/>
    </row>
    <row r="73" spans="1:13" x14ac:dyDescent="0.2">
      <c r="A73" s="130" t="s">
        <v>761</v>
      </c>
      <c r="B73" s="130" t="s">
        <v>762</v>
      </c>
      <c r="C73" s="321"/>
      <c r="D73" s="321"/>
      <c r="E73" s="321"/>
      <c r="F73" s="321"/>
      <c r="G73" s="321"/>
      <c r="H73" s="321"/>
      <c r="I73" s="321"/>
      <c r="J73" s="321"/>
      <c r="K73" s="321"/>
      <c r="L73" s="321"/>
      <c r="M73" s="321"/>
    </row>
    <row r="74" spans="1:13" x14ac:dyDescent="0.2">
      <c r="A74" s="152"/>
      <c r="B74" s="152"/>
      <c r="C74" s="321"/>
      <c r="D74" s="321"/>
      <c r="E74" s="321"/>
      <c r="F74" s="321"/>
      <c r="G74" s="321"/>
      <c r="H74" s="321"/>
      <c r="I74" s="321"/>
      <c r="J74" s="321"/>
      <c r="K74" s="321"/>
      <c r="L74" s="321"/>
      <c r="M74" s="321"/>
    </row>
    <row r="75" spans="1:13" x14ac:dyDescent="0.2">
      <c r="A75" s="152"/>
      <c r="B75" s="152"/>
      <c r="C75" s="321"/>
      <c r="D75" s="321"/>
      <c r="E75" s="321"/>
      <c r="F75" s="321"/>
      <c r="G75" s="321"/>
      <c r="H75" s="321"/>
      <c r="I75" s="321"/>
      <c r="J75" s="321"/>
      <c r="K75" s="321"/>
      <c r="L75" s="321"/>
      <c r="M75" s="321"/>
    </row>
    <row r="76" spans="1:13" x14ac:dyDescent="0.2">
      <c r="A76" s="152"/>
      <c r="B76" s="152"/>
      <c r="C76" s="321"/>
      <c r="D76" s="321"/>
      <c r="E76" s="321"/>
      <c r="F76" s="321"/>
      <c r="G76" s="321"/>
      <c r="H76" s="321"/>
      <c r="I76" s="321"/>
      <c r="J76" s="321"/>
      <c r="K76" s="321"/>
      <c r="L76" s="321"/>
      <c r="M76" s="321"/>
    </row>
    <row r="77" spans="1:13" x14ac:dyDescent="0.2">
      <c r="A77" s="152"/>
      <c r="B77" s="152"/>
      <c r="C77" s="321"/>
      <c r="D77" s="321"/>
      <c r="E77" s="321"/>
      <c r="F77" s="321"/>
      <c r="G77" s="321"/>
      <c r="H77" s="321"/>
      <c r="I77" s="321"/>
      <c r="J77" s="321"/>
      <c r="K77" s="321"/>
      <c r="L77" s="321"/>
      <c r="M77" s="321"/>
    </row>
    <row r="78" spans="1:13" x14ac:dyDescent="0.2">
      <c r="A78" s="152"/>
      <c r="B78" s="152"/>
      <c r="C78" s="321"/>
      <c r="D78" s="321"/>
      <c r="E78" s="321"/>
      <c r="F78" s="321"/>
      <c r="G78" s="321"/>
      <c r="H78" s="321"/>
      <c r="I78" s="321"/>
      <c r="J78" s="321"/>
      <c r="K78" s="321"/>
      <c r="L78" s="321"/>
      <c r="M78" s="321"/>
    </row>
    <row r="79" spans="1:13" x14ac:dyDescent="0.2">
      <c r="A79" s="152"/>
      <c r="B79" s="152"/>
      <c r="C79" s="321"/>
      <c r="D79" s="321"/>
      <c r="E79" s="321"/>
      <c r="F79" s="321"/>
      <c r="G79" s="321"/>
      <c r="H79" s="321"/>
      <c r="I79" s="321"/>
      <c r="J79" s="321"/>
      <c r="K79" s="321"/>
      <c r="L79" s="321"/>
      <c r="M79" s="321"/>
    </row>
    <row r="80" spans="1:13" x14ac:dyDescent="0.2">
      <c r="A80" s="152"/>
      <c r="B80" s="152"/>
      <c r="C80" s="321"/>
      <c r="D80" s="321"/>
      <c r="E80" s="321"/>
      <c r="F80" s="321"/>
      <c r="G80" s="321"/>
      <c r="H80" s="321"/>
      <c r="I80" s="321"/>
      <c r="J80" s="321"/>
      <c r="K80" s="321"/>
      <c r="L80" s="321"/>
      <c r="M80" s="321"/>
    </row>
    <row r="81" spans="1:13" x14ac:dyDescent="0.2">
      <c r="A81" s="152"/>
      <c r="B81" s="152"/>
      <c r="C81" s="321"/>
      <c r="D81" s="321"/>
      <c r="E81" s="321"/>
      <c r="F81" s="321"/>
      <c r="G81" s="321"/>
      <c r="H81" s="321"/>
      <c r="I81" s="321"/>
      <c r="J81" s="321"/>
      <c r="K81" s="321"/>
      <c r="L81" s="321"/>
      <c r="M81" s="321"/>
    </row>
    <row r="82" spans="1:13" x14ac:dyDescent="0.2">
      <c r="A82" s="152"/>
      <c r="B82" s="152"/>
      <c r="C82" s="321"/>
      <c r="D82" s="321"/>
      <c r="E82" s="321"/>
      <c r="F82" s="321"/>
      <c r="G82" s="321"/>
      <c r="H82" s="321"/>
      <c r="I82" s="321"/>
      <c r="J82" s="321"/>
      <c r="K82" s="321"/>
      <c r="L82" s="321"/>
      <c r="M82" s="321"/>
    </row>
    <row r="83" spans="1:13" x14ac:dyDescent="0.2">
      <c r="A83" s="152"/>
      <c r="B83" s="152"/>
      <c r="C83" s="321"/>
      <c r="D83" s="321"/>
      <c r="E83" s="321"/>
      <c r="F83" s="321"/>
      <c r="G83" s="321"/>
      <c r="H83" s="321"/>
      <c r="I83" s="321"/>
      <c r="J83" s="321"/>
      <c r="K83" s="321"/>
      <c r="L83" s="321"/>
      <c r="M83" s="321"/>
    </row>
    <row r="84" spans="1:13" x14ac:dyDescent="0.2">
      <c r="A84" s="152"/>
      <c r="B84" s="152"/>
      <c r="C84" s="321"/>
      <c r="D84" s="321"/>
      <c r="E84" s="321"/>
      <c r="F84" s="321"/>
      <c r="G84" s="321"/>
      <c r="H84" s="321"/>
      <c r="I84" s="321"/>
      <c r="J84" s="321"/>
      <c r="K84" s="321"/>
      <c r="L84" s="321"/>
      <c r="M84" s="321"/>
    </row>
    <row r="85" spans="1:13" x14ac:dyDescent="0.2">
      <c r="A85" s="152"/>
      <c r="B85" s="152"/>
      <c r="C85" s="321"/>
      <c r="D85" s="321"/>
      <c r="E85" s="321"/>
      <c r="F85" s="321"/>
      <c r="G85" s="321"/>
      <c r="H85" s="321"/>
      <c r="I85" s="321"/>
      <c r="J85" s="321"/>
      <c r="K85" s="321"/>
      <c r="L85" s="321"/>
      <c r="M85" s="321"/>
    </row>
    <row r="86" spans="1:13" x14ac:dyDescent="0.2">
      <c r="A86" s="152"/>
      <c r="B86" s="152"/>
      <c r="C86" s="321"/>
      <c r="D86" s="321"/>
      <c r="E86" s="321"/>
      <c r="F86" s="321"/>
      <c r="G86" s="321"/>
      <c r="H86" s="321"/>
      <c r="I86" s="321"/>
      <c r="J86" s="321"/>
      <c r="K86" s="321"/>
      <c r="L86" s="321"/>
      <c r="M86" s="321"/>
    </row>
    <row r="87" spans="1:13" x14ac:dyDescent="0.2">
      <c r="A87" s="152"/>
      <c r="B87" s="152"/>
      <c r="C87" s="321"/>
      <c r="D87" s="321"/>
      <c r="E87" s="321"/>
      <c r="F87" s="321"/>
      <c r="G87" s="321"/>
      <c r="H87" s="321"/>
      <c r="I87" s="321"/>
      <c r="J87" s="321"/>
      <c r="K87" s="321"/>
      <c r="L87" s="321"/>
      <c r="M87" s="321"/>
    </row>
    <row r="88" spans="1:13" x14ac:dyDescent="0.2">
      <c r="A88" s="152"/>
      <c r="B88" s="152"/>
      <c r="C88" s="321"/>
      <c r="D88" s="321"/>
      <c r="E88" s="321"/>
      <c r="F88" s="321"/>
      <c r="G88" s="321"/>
      <c r="H88" s="321"/>
      <c r="I88" s="321"/>
      <c r="J88" s="321"/>
      <c r="K88" s="321"/>
      <c r="L88" s="321"/>
      <c r="M88" s="321"/>
    </row>
    <row r="89" spans="1:13" x14ac:dyDescent="0.2">
      <c r="A89" s="152"/>
      <c r="B89" s="152"/>
      <c r="C89" s="321"/>
      <c r="D89" s="321"/>
      <c r="E89" s="321"/>
      <c r="F89" s="321"/>
      <c r="G89" s="321"/>
      <c r="H89" s="321"/>
      <c r="I89" s="321"/>
      <c r="J89" s="321"/>
      <c r="K89" s="321"/>
      <c r="L89" s="321"/>
      <c r="M89" s="321"/>
    </row>
    <row r="90" spans="1:13" x14ac:dyDescent="0.2">
      <c r="A90" s="152"/>
      <c r="B90" s="152"/>
      <c r="C90" s="321"/>
      <c r="D90" s="321"/>
      <c r="E90" s="321"/>
      <c r="F90" s="321"/>
      <c r="G90" s="321"/>
      <c r="H90" s="321"/>
      <c r="I90" s="321"/>
      <c r="J90" s="321"/>
      <c r="K90" s="321"/>
      <c r="L90" s="321"/>
      <c r="M90" s="321"/>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ColWidth="8.6640625" defaultRowHeight="11.25" x14ac:dyDescent="0.2"/>
  <cols>
    <col min="2" max="2" width="35.1640625" customWidth="1"/>
    <col min="3" max="3" width="46.6640625" customWidth="1"/>
    <col min="4" max="4" width="10.16406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1640625" customWidth="1"/>
    <col min="18" max="21" width="17.5" customWidth="1"/>
    <col min="22" max="22" width="13" customWidth="1"/>
    <col min="24" max="24" width="17.6640625" customWidth="1"/>
    <col min="25" max="25" width="31.6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9</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23</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17</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70</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f>IFERROR(SMALL($T$4:$T$75,ROWS($T$4:T5)),"")</f>
        <v>67</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IFERROR(SMALL($I$4:$I$325,ROWS($I$4:I6)),"")</f>
        <v>90</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IFERROR(SMALL($I$4:$I$325,ROWS($I$4:I7)),"")</f>
        <v>109</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f>IFERROR(SMALL($I$4:$I$325,ROWS($I$4:I8)),"")</f>
        <v>118</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f>IFERROR(SMALL($I$4:$I$325,ROWS($I$4:I9)),"")</f>
        <v>244</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f>IFERROR(SMALL($I$4:$I$325,ROWS($I$4:I10)),"")</f>
        <v>245</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f>IFERROR(SMALL($I$4:$I$325,ROWS($I$4:I11)),"")</f>
        <v>297</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f>IF('School Level Expenditures'!$B$2=A12,'School Tables'!H12,"")</f>
        <v>9</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f>IF('School Level Expenditures'!$B$2='School Tables'!W20,'School Tables'!AD20,"")</f>
        <v>17</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f>IF('School Level Expenditures'!$B$2='School Tables'!L26,'School Tables'!S26,"")</f>
        <v>23</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f>IF('School Level Expenditures'!$B$2='School Tables'!L70,'School Tables'!S70,"")</f>
        <v>67</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f>IF('School Level Expenditures'!$B$2=A73,'School Tables'!H73,"")</f>
        <v>70</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f>IF('School Level Expenditures'!$B$2=A93,'School Tables'!H93,"")</f>
        <v>90</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38.2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f>IF('School Level Expenditures'!$B$2=A112,'School Tables'!H112,"")</f>
        <v>109</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f>IF('School Level Expenditures'!$B$2=A121,'School Tables'!H121,"")</f>
        <v>118</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63.75"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63.75"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f>IF('School Level Expenditures'!$B$2=A247,'School Tables'!H247,"")</f>
        <v>244</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f>IF('School Level Expenditures'!$B$2=A248,'School Tables'!H248,"")</f>
        <v>245</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f>IF('School Level Expenditures'!$B$2=A300,'School Tables'!H300,"")</f>
        <v>297</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2024-10-01T18:18:21Z</cp:lastPrinted>
  <dcterms:created xsi:type="dcterms:W3CDTF">1997-12-04T19:04:30Z</dcterms:created>
  <dcterms:modified xsi:type="dcterms:W3CDTF">2024-12-20T18:40:34Z</dcterms:modified>
</cp:coreProperties>
</file>