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E93B981-40AB-4393-BF33-E059F5688B46}"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 i="14" l="1"/>
  <c r="O7" i="14"/>
  <c r="O6" i="14"/>
  <c r="L6" i="14" l="1"/>
  <c r="L5" i="14"/>
  <c r="L8" i="14"/>
  <c r="L7" i="14"/>
  <c r="M8" i="14"/>
  <c r="M7" i="14"/>
  <c r="M6" i="14"/>
  <c r="K8" i="14"/>
  <c r="K7" i="14"/>
  <c r="K6" i="14"/>
  <c r="Q8" i="14"/>
  <c r="Q7" i="14"/>
  <c r="Q6" i="14"/>
  <c r="Q27" i="14"/>
  <c r="Q40" i="14"/>
  <c r="P40" i="14"/>
  <c r="K40" i="14"/>
  <c r="K39" i="14"/>
  <c r="D40" i="14"/>
  <c r="D39" i="14"/>
  <c r="F583" i="1"/>
  <c r="E6" i="14"/>
  <c r="E17" i="17" l="1"/>
  <c r="E15" i="17"/>
  <c r="E13" i="17"/>
  <c r="E9" i="17"/>
  <c r="G440" i="1"/>
  <c r="F440" i="1"/>
  <c r="K423" i="1"/>
  <c r="H393" i="1" l="1"/>
  <c r="G397" i="1"/>
  <c r="H397" i="1"/>
  <c r="J469" i="1" l="1"/>
  <c r="G246" i="1"/>
  <c r="G234" i="1"/>
  <c r="F234" i="1"/>
  <c r="G228" i="1"/>
  <c r="G216" i="1"/>
  <c r="F216" i="1"/>
  <c r="G210" i="1"/>
  <c r="G198" i="1"/>
  <c r="F198" i="1"/>
  <c r="G613" i="1"/>
  <c r="F613" i="1"/>
  <c r="G612" i="1"/>
  <c r="F528" i="1"/>
  <c r="H529" i="1"/>
  <c r="G529" i="1"/>
  <c r="F529" i="1"/>
  <c r="H528" i="1"/>
  <c r="G528" i="1"/>
  <c r="H527" i="1"/>
  <c r="G527" i="1"/>
  <c r="F527" i="1"/>
  <c r="J524" i="1"/>
  <c r="I524" i="1"/>
  <c r="H524" i="1"/>
  <c r="F524" i="1"/>
  <c r="I523" i="1"/>
  <c r="F523" i="1"/>
  <c r="J522" i="1"/>
  <c r="I522" i="1"/>
  <c r="H522" i="1"/>
  <c r="G522" i="1"/>
  <c r="F522" i="1"/>
  <c r="J605" i="1"/>
  <c r="I605" i="1"/>
  <c r="H605" i="1"/>
  <c r="H596" i="1"/>
  <c r="H592" i="1"/>
  <c r="J592" i="1"/>
  <c r="I592" i="1"/>
  <c r="H598" i="1"/>
  <c r="H593" i="1" l="1"/>
  <c r="J596" i="1"/>
  <c r="I596" i="1"/>
  <c r="J595" i="1"/>
  <c r="I595" i="1"/>
  <c r="G503" i="1"/>
  <c r="H503" i="1"/>
  <c r="I503" i="1"/>
  <c r="H499" i="1"/>
  <c r="G496" i="1"/>
  <c r="J325" i="1" l="1"/>
  <c r="J306" i="1"/>
  <c r="H306" i="1"/>
  <c r="J287" i="1"/>
  <c r="H287" i="1"/>
  <c r="H321" i="1"/>
  <c r="G321" i="1"/>
  <c r="F321" i="1"/>
  <c r="H302" i="1"/>
  <c r="G302" i="1"/>
  <c r="F302" i="1"/>
  <c r="H283" i="1"/>
  <c r="G283" i="1"/>
  <c r="F283" i="1"/>
  <c r="G320" i="1"/>
  <c r="F320" i="1"/>
  <c r="G282" i="1"/>
  <c r="F282" i="1"/>
  <c r="H278" i="1"/>
  <c r="H198" i="1"/>
  <c r="G97" i="1"/>
  <c r="F101" i="1"/>
  <c r="F86" i="1"/>
  <c r="F68"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I121" i="1"/>
  <c r="I136" i="1"/>
  <c r="J121" i="1"/>
  <c r="J136" i="1"/>
  <c r="F147" i="1"/>
  <c r="F170" i="1" s="1"/>
  <c r="G147" i="1"/>
  <c r="D85" i="2" s="1"/>
  <c r="H147" i="1"/>
  <c r="H170" i="1" s="1"/>
  <c r="I147" i="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D99" i="2"/>
  <c r="E99" i="2"/>
  <c r="F99" i="2"/>
  <c r="C100" i="2"/>
  <c r="D100" i="2"/>
  <c r="E100" i="2"/>
  <c r="F100" i="2"/>
  <c r="C101" i="2"/>
  <c r="H101" i="2" s="1"/>
  <c r="D101" i="2"/>
  <c r="E101" i="2"/>
  <c r="F101" i="2"/>
  <c r="C102" i="2"/>
  <c r="D102" i="2"/>
  <c r="E102" i="2"/>
  <c r="F102" i="2"/>
  <c r="D115" i="2"/>
  <c r="F115" i="2"/>
  <c r="G115" i="2"/>
  <c r="E120"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H655" i="1"/>
  <c r="H656" i="1"/>
  <c r="I170" i="1"/>
  <c r="H137" i="2" l="1"/>
  <c r="H93" i="2"/>
  <c r="H80" i="2"/>
  <c r="H34" i="2"/>
  <c r="H22" i="2"/>
  <c r="E124" i="2"/>
  <c r="H100" i="2"/>
  <c r="H79" i="2"/>
  <c r="H73" i="2"/>
  <c r="H16" i="2"/>
  <c r="J112" i="1"/>
  <c r="H9" i="2"/>
  <c r="H97" i="2"/>
  <c r="H477" i="1"/>
  <c r="H625" i="1" s="1"/>
  <c r="H89" i="2"/>
  <c r="H72" i="2"/>
  <c r="H30" i="2"/>
  <c r="J140" i="1"/>
  <c r="C32" i="10"/>
  <c r="E13" i="13"/>
  <c r="C13" i="13" s="1"/>
  <c r="H28" i="2"/>
  <c r="H27" i="2"/>
  <c r="H132" i="2"/>
  <c r="H36" i="2"/>
  <c r="H43" i="2"/>
  <c r="H48" i="2"/>
  <c r="H102" i="2"/>
  <c r="H99" i="2"/>
  <c r="H96" i="2"/>
  <c r="H87" i="2"/>
  <c r="H26" i="2"/>
  <c r="H140" i="1"/>
  <c r="H24" i="2"/>
  <c r="H76" i="2"/>
  <c r="H38" i="2"/>
  <c r="H44" i="2"/>
  <c r="G646" i="1"/>
  <c r="G62" i="2"/>
  <c r="H47" i="2"/>
  <c r="G409" i="1"/>
  <c r="H646" i="1" s="1"/>
  <c r="C125" i="2"/>
  <c r="H125" i="2" s="1"/>
  <c r="G662" i="1"/>
  <c r="D29" i="13"/>
  <c r="C29" i="13" s="1"/>
  <c r="E112" i="2"/>
  <c r="C13" i="10"/>
  <c r="C12" i="10"/>
  <c r="K36" i="14"/>
  <c r="K37" i="14" s="1"/>
  <c r="C112" i="2"/>
  <c r="D15" i="13"/>
  <c r="C15" i="13" s="1"/>
  <c r="C120" i="2"/>
  <c r="H120" i="2" s="1"/>
  <c r="C119" i="2"/>
  <c r="K2" i="14"/>
  <c r="K3" i="14" s="1"/>
  <c r="D78" i="2"/>
  <c r="H77" i="2"/>
  <c r="H59" i="2"/>
  <c r="H61" i="2"/>
  <c r="G477" i="1"/>
  <c r="B33" i="16" s="1"/>
  <c r="H29" i="2"/>
  <c r="H23" i="2"/>
  <c r="H15" i="2"/>
  <c r="H13" i="2"/>
  <c r="H12"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H78" i="2"/>
  <c r="H21" i="2"/>
  <c r="H85" i="2"/>
  <c r="H57" i="2"/>
  <c r="G144" i="2"/>
  <c r="G145" i="2" s="1"/>
  <c r="H134" i="2"/>
  <c r="D128" i="2"/>
  <c r="D145" i="2" s="1"/>
  <c r="H127" i="2"/>
  <c r="H123" i="2"/>
  <c r="H112" i="2"/>
  <c r="I663" i="1"/>
  <c r="H119" i="2"/>
  <c r="H103" i="2"/>
  <c r="I662" i="1"/>
  <c r="H91" i="2"/>
  <c r="H62" i="2"/>
  <c r="F194" i="1"/>
  <c r="C81" i="2"/>
  <c r="H81" i="2" s="1"/>
  <c r="H50"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<sst xmlns="http://schemas.openxmlformats.org/spreadsheetml/2006/main" count="6652" uniqueCount="1853">
  <si>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</si>
  <si>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</si>
  <si>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</si>
  <si>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</si>
  <si>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</si>
  <si>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</si>
  <si>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</si>
  <si>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</si>
  <si>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</si>
  <si>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</si>
  <si>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</si>
  <si>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</si>
  <si>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</si>
  <si>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</si>
  <si>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</si>
  <si>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</si>
  <si>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</si>
  <si>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</si>
  <si>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</si>
  <si>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</si>
  <si>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</si>
  <si>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</si>
  <si>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</si>
  <si>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</si>
  <si>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</si>
  <si>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</si>
  <si>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</si>
  <si>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</si>
  <si>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</si>
  <si>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</si>
  <si>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</si>
  <si>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</si>
  <si>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</si>
  <si>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</si>
  <si>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</si>
  <si>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</si>
  <si>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</si>
  <si>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</si>
  <si>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</si>
  <si>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</si>
  <si>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</si>
  <si>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</si>
  <si>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</si>
  <si>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</si>
  <si>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</si>
  <si>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</si>
  <si>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</si>
  <si>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</si>
  <si>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</si>
  <si>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</si>
  <si>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</si>
  <si>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</si>
  <si>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</si>
  <si>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</si>
  <si>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</si>
  <si>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</si>
  <si>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</si>
  <si>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</si>
  <si>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</si>
  <si>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</si>
  <si>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</si>
  <si>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</si>
  <si>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</si>
  <si>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</si>
  <si>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</si>
  <si>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</si>
  <si>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</si>
  <si>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</si>
  <si>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</si>
  <si>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</si>
  <si>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</si>
  <si>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</si>
  <si>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</si>
  <si>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</si>
  <si>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</si>
  <si>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</si>
  <si>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</si>
  <si>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</si>
  <si>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</si>
  <si>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</si>
  <si>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</si>
  <si>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</si>
  <si>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</si>
  <si>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</si>
  <si>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</si>
  <si>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</si>
  <si>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</si>
  <si>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</si>
  <si>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</si>
  <si>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</si>
  <si>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</si>
  <si>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</si>
  <si>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</si>
  <si>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</si>
  <si>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</si>
  <si>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</si>
  <si>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</si>
  <si>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</si>
  <si>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</si>
  <si>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</si>
  <si>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</si>
  <si>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</si>
  <si>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</si>
  <si>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</si>
  <si>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</si>
  <si>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</si>
  <si>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</si>
  <si>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</si>
  <si>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</si>
  <si>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</si>
  <si>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</si>
  <si>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</si>
  <si>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</si>
  <si>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</si>
  <si>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</si>
  <si>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</si>
  <si>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</si>
  <si>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</si>
  <si>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</si>
  <si>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</si>
  <si>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</si>
  <si>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</si>
  <si>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</si>
  <si>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</si>
  <si>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</si>
  <si>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</si>
  <si>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</si>
  <si>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</si>
  <si>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</si>
  <si>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</si>
  <si>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</si>
  <si>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</si>
  <si>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</si>
  <si>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</si>
  <si>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</si>
  <si>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</si>
  <si>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</si>
  <si>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</si>
  <si>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</si>
  <si>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</si>
  <si>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</si>
  <si>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</si>
  <si>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</si>
  <si>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</si>
  <si>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</si>
  <si>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</si>
  <si>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</si>
  <si>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</si>
  <si>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</si>
  <si>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</si>
  <si>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</si>
  <si>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</si>
  <si>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</si>
  <si>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</si>
  <si>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</si>
  <si>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</si>
  <si>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</si>
  <si>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</si>
  <si>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</si>
  <si>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</si>
  <si>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</si>
  <si>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</si>
  <si>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</si>
  <si>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</si>
  <si>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</si>
  <si>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</si>
  <si>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</si>
  <si>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</si>
  <si>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</si>
  <si>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</si>
  <si>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</si>
  <si>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</si>
  <si>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</si>
  <si>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</si>
  <si>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</si>
  <si>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</si>
  <si>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</si>
  <si>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</si>
  <si>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</si>
  <si>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</si>
  <si>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</si>
  <si>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</si>
  <si>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</si>
  <si>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</si>
  <si>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</si>
  <si>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</si>
  <si>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</si>
  <si>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</si>
  <si>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</si>
  <si>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</si>
  <si>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</si>
  <si>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</si>
  <si>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</si>
  <si>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</si>
  <si>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</si>
  <si>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</si>
  <si>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</si>
  <si>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</si>
  <si>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</si>
  <si>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</si>
  <si>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</si>
  <si>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</si>
  <si>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</si>
  <si>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</si>
  <si>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</si>
  <si>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</si>
  <si>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</si>
  <si>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</si>
  <si>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</si>
  <si>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</si>
  <si>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</si>
  <si>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</si>
  <si>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</si>
  <si>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</si>
  <si>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</si>
  <si>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</si>
  <si>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</si>
  <si>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</si>
  <si>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</si>
  <si>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</si>
  <si>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</si>
  <si>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</si>
  <si>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</si>
  <si>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</si>
  <si>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</si>
  <si>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</si>
  <si>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</si>
  <si>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</si>
  <si>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</si>
  <si>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</si>
  <si>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</si>
  <si>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</si>
  <si>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</si>
  <si>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</si>
  <si>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</si>
  <si>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</si>
  <si>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</si>
  <si>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</si>
  <si>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</si>
  <si>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</si>
  <si>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</si>
  <si>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</si>
  <si>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</si>
  <si>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</si>
  <si>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</si>
  <si>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</si>
  <si>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</si>
  <si>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</si>
  <si>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</si>
  <si>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</si>
  <si>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</si>
  <si>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</si>
  <si>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</si>
  <si>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</si>
  <si>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</si>
  <si>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</si>
  <si>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</si>
  <si>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</si>
  <si>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</si>
  <si>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</si>
  <si>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</si>
  <si>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</si>
  <si>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</si>
  <si>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</si>
  <si>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</si>
  <si>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</si>
  <si>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</si>
  <si>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</si>
  <si>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</si>
  <si>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</si>
  <si>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</si>
  <si>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</si>
  <si>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</si>
  <si>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</si>
  <si>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</si>
  <si>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</si>
  <si>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</si>
  <si>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</si>
  <si>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</si>
  <si>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</si>
  <si>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</si>
  <si>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</si>
  <si>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</si>
  <si>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</si>
  <si>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</si>
  <si>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</si>
  <si>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</si>
  <si>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</si>
  <si>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</si>
  <si>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</si>
  <si>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</si>
  <si>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</si>
  <si>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</si>
  <si>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</si>
  <si>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</si>
  <si>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</si>
  <si>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</si>
  <si>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</si>
  <si>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</si>
  <si>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</si>
  <si>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</si>
  <si>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</si>
  <si>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</si>
  <si>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</si>
  <si>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</si>
  <si>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</si>
  <si>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</si>
  <si>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</si>
  <si>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</si>
  <si>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</si>
  <si>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</si>
  <si>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</si>
  <si>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</si>
  <si>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</si>
  <si>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</si>
  <si>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</si>
  <si>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</si>
  <si>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</si>
  <si>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</si>
  <si>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</si>
  <si>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</si>
  <si>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</si>
  <si>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</si>
  <si>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</si>
  <si>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</si>
  <si>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</si>
  <si>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</si>
  <si>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</si>
  <si>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</si>
  <si>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</si>
  <si>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</si>
  <si>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</si>
  <si>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</si>
  <si>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</si>
  <si>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</si>
  <si>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</si>
  <si>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</si>
  <si>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</si>
  <si>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</si>
  <si>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</si>
  <si>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</si>
  <si>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</si>
  <si>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</si>
  <si>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</si>
  <si>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</si>
  <si>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</si>
  <si>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</si>
  <si>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</si>
  <si>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</si>
  <si>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</si>
  <si>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</si>
  <si>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</si>
  <si>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</si>
  <si>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</si>
  <si>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</si>
  <si>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</si>
  <si>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</si>
  <si>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</si>
  <si>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</si>
  <si>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</si>
  <si>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</si>
  <si>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</si>
  <si>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</si>
  <si>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</si>
  <si>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</si>
  <si>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</si>
  <si>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</si>
  <si>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</si>
  <si>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</si>
  <si>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</si>
  <si>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</si>
  <si>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</si>
  <si>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</si>
  <si>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</si>
  <si>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</si>
  <si>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</si>
  <si>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</si>
  <si>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</si>
  <si>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</si>
  <si>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</si>
  <si>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</si>
  <si>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</si>
  <si>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</si>
  <si>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</si>
  <si>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</si>
  <si>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</si>
  <si>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</si>
  <si>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</si>
  <si>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</si>
  <si>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</si>
  <si>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</si>
  <si>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</si>
  <si>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</si>
  <si>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</si>
  <si>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</si>
  <si>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</si>
  <si>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</si>
  <si>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</si>
  <si>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</si>
  <si>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</si>
  <si>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</si>
  <si>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</si>
  <si>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</si>
  <si>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</si>
  <si>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</si>
  <si>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</si>
  <si>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</si>
  <si>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</si>
  <si>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</si>
  <si>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</si>
  <si>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</si>
  <si>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</si>
  <si>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</si>
  <si>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</si>
  <si>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</si>
  <si>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</si>
  <si>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</si>
  <si>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</si>
  <si>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</si>
  <si>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</si>
  <si>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</si>
  <si>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</si>
  <si>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</si>
  <si>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</si>
  <si>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</si>
  <si>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</si>
  <si>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</si>
  <si>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</si>
  <si>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</si>
  <si>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</si>
  <si>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</si>
  <si>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</si>
  <si>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</si>
  <si>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</si>
  <si>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</si>
  <si>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</si>
  <si>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</si>
  <si>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</si>
  <si>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</si>
  <si>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</si>
  <si>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</si>
  <si>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</si>
  <si>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</si>
  <si>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</si>
  <si>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</si>
  <si>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</si>
  <si>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</si>
  <si>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</si>
  <si>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</si>
  <si>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</si>
  <si>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</si>
  <si>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</si>
  <si>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</si>
  <si>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</si>
  <si>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</si>
  <si>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</si>
  <si>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</si>
  <si>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</si>
  <si>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</si>
  <si>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</si>
  <si>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</si>
  <si>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</si>
  <si>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</si>
  <si>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</si>
  <si>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</si>
  <si>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</si>
  <si>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</si>
  <si>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</si>
  <si>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</si>
  <si>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</si>
  <si>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</si>
  <si>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</si>
  <si>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</si>
  <si>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</si>
  <si>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</si>
  <si>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</si>
  <si>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</si>
  <si>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</si>
  <si>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</si>
  <si>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</si>
  <si>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</si>
  <si>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</si>
  <si>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</si>
  <si>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</si>
  <si>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</si>
  <si>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</si>
  <si>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</si>
  <si>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</si>
  <si>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</si>
  <si>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</si>
  <si>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</si>
  <si>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</si>
  <si>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</si>
  <si>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</si>
  <si>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</si>
  <si>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</si>
  <si>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</si>
  <si>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</si>
  <si>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</si>
  <si>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</si>
  <si>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</si>
  <si>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</si>
  <si>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</si>
  <si>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</si>
  <si>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</si>
  <si>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</si>
  <si>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</si>
  <si>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</si>
  <si>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</si>
  <si>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</si>
  <si>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</si>
  <si>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</si>
  <si>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</si>
  <si>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</si>
  <si>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</si>
  <si>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</si>
  <si>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</si>
  <si>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</si>
  <si>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</si>
  <si>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</si>
  <si>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</si>
  <si>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</si>
  <si>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</si>
  <si>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</si>
  <si>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</si>
  <si>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</si>
  <si>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</si>
  <si>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</si>
  <si>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</si>
  <si>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</si>
  <si>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</si>
  <si>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</si>
  <si>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</si>
  <si>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</si>
  <si>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</si>
  <si>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</si>
  <si>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</si>
  <si>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</si>
  <si>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</si>
  <si>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</si>
  <si>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</si>
  <si>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</si>
  <si>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</si>
  <si>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</si>
  <si>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</si>
  <si>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</si>
  <si>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</si>
  <si>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</si>
  <si>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</si>
  <si>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</si>
  <si>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</si>
  <si>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</si>
  <si>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</si>
  <si>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</si>
  <si>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</si>
  <si>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</si>
  <si>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</si>
  <si>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</si>
  <si>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</si>
  <si>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</si>
  <si>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</si>
  <si>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</si>
  <si>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</si>
  <si>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</si>
  <si>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</si>
  <si>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</si>
  <si>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</si>
  <si>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</si>
  <si>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</si>
  <si>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</si>
  <si>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</si>
  <si>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</si>
  <si>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</si>
  <si>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</si>
  <si>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</si>
  <si>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</si>
  <si>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</si>
  <si>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</si>
  <si>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</si>
  <si>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</si>
  <si>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</si>
  <si>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</si>
  <si>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</si>
  <si>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</si>
  <si>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</si>
  <si>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</si>
  <si>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</si>
  <si>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</si>
  <si>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</si>
  <si>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</si>
  <si>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</si>
  <si>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</si>
  <si>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</si>
  <si>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</si>
  <si>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</si>
  <si>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</si>
  <si>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</si>
  <si>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</si>
  <si>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</si>
  <si>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</si>
  <si>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</si>
  <si>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</si>
  <si>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</si>
  <si>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</si>
  <si>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</si>
  <si>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</si>
  <si>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</si>
  <si>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</si>
  <si>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</si>
  <si>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</si>
  <si>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</si>
  <si>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</si>
  <si>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</si>
  <si>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</si>
  <si>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</si>
  <si>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</si>
  <si>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</si>
  <si>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</si>
  <si>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</si>
  <si>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</si>
  <si>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</si>
  <si>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</si>
  <si>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</si>
  <si>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</si>
  <si>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</si>
  <si>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</si>
  <si>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</si>
  <si>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</si>
  <si>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</si>
  <si>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</si>
  <si>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</si>
  <si>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</si>
  <si>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</si>
  <si>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</si>
  <si>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</si>
  <si>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</si>
  <si>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</si>
  <si>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</si>
  <si>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</si>
  <si>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</si>
  <si>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</si>
  <si>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</si>
  <si>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</si>
  <si>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</si>
  <si>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</si>
  <si>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</si>
  <si>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</si>
  <si>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</si>
  <si>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</si>
  <si>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</si>
  <si>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</si>
  <si>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</si>
  <si>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</si>
  <si>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</si>
  <si>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</si>
  <si>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</si>
  <si>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</si>
  <si>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</si>
  <si>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</si>
  <si>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</si>
  <si>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</si>
  <si>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</si>
  <si>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</si>
  <si>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</si>
  <si>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</si>
  <si>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</si>
  <si>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</si>
  <si>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</si>
  <si>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</si>
  <si>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</si>
  <si>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</si>
  <si>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</si>
  <si>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</si>
  <si>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</si>
  <si>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</si>
  <si>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</si>
  <si>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</si>
  <si>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</si>
  <si>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</si>
  <si>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</si>
  <si>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</si>
  <si>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</si>
  <si>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</si>
  <si>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</si>
  <si>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</si>
  <si>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</si>
  <si>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</si>
  <si>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</si>
  <si>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</si>
  <si>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</si>
  <si>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</si>
  <si>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</si>
  <si>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</si>
  <si>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</si>
  <si>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</si>
  <si>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</si>
  <si>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</si>
  <si>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</si>
  <si>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</si>
  <si>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</si>
  <si>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</si>
  <si>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</si>
  <si>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</si>
  <si>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</si>
  <si>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</si>
  <si>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</si>
  <si>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</si>
  <si>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</si>
  <si>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</si>
  <si>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</si>
  <si>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</si>
  <si>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</si>
  <si>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</si>
  <si>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</si>
  <si>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</si>
  <si>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</si>
  <si>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</si>
  <si>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</si>
  <si>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</si>
  <si>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</si>
  <si>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</si>
  <si>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</si>
  <si>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</si>
  <si>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</si>
  <si>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</si>
  <si>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</si>
  <si>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</si>
  <si>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</si>
  <si>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</si>
  <si>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</si>
  <si>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</si>
  <si>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</si>
  <si>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</si>
  <si>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</si>
  <si>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</si>
  <si>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</si>
  <si>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</si>
  <si>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</si>
  <si>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</si>
  <si>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</si>
  <si>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</si>
  <si>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</si>
  <si>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</si>
  <si>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</si>
  <si>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</si>
  <si>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</si>
  <si>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</si>
  <si>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</si>
  <si>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</si>
  <si>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</si>
  <si>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</si>
  <si>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</si>
  <si>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</si>
  <si>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</si>
  <si>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</si>
  <si>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</si>
  <si>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</si>
  <si>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</si>
  <si>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</si>
  <si>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</si>
  <si>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</si>
  <si>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</si>
  <si>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</si>
  <si>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</si>
  <si>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</si>
  <si>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</si>
  <si>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</si>
  <si>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</si>
  <si>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</si>
  <si>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</si>
  <si>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</si>
  <si>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</si>
  <si>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</si>
  <si>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</si>
  <si>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</si>
  <si>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</si>
  <si>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</si>
  <si>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</si>
  <si>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</si>
  <si>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</si>
  <si>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</si>
  <si>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</si>
  <si>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</si>
  <si>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</si>
  <si>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</si>
  <si>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</si>
  <si>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</si>
  <si>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</si>
  <si>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</si>
  <si>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</si>
  <si>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</si>
  <si>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</si>
  <si>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</si>
  <si>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</si>
  <si>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</si>
  <si>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</si>
  <si>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</si>
  <si>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</si>
  <si>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</si>
  <si>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</si>
  <si>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</si>
  <si>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</si>
  <si>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</si>
  <si>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</si>
  <si>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</si>
  <si>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</si>
  <si>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</si>
  <si>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</si>
  <si>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</si>
  <si>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</si>
  <si>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</si>
  <si>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</si>
  <si>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</si>
  <si>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</si>
  <si>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</si>
  <si>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</si>
  <si>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</si>
  <si>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</si>
  <si>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</si>
  <si>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</si>
  <si>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</si>
  <si>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</si>
  <si>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</si>
  <si>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</si>
  <si>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</si>
  <si>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</si>
  <si>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</si>
  <si>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</si>
  <si>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</si>
  <si>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</si>
  <si>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</si>
  <si>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</si>
  <si>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</si>
  <si>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</si>
  <si>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</si>
  <si>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</si>
  <si>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</si>
  <si>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</si>
  <si>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</si>
  <si>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</si>
  <si>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</si>
  <si>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</si>
  <si>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</si>
  <si>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</si>
  <si>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</si>
  <si>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</si>
  <si>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</si>
  <si>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</si>
  <si>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</si>
  <si>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</si>
  <si>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</si>
  <si>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</si>
  <si>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</si>
  <si>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</si>
  <si>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</si>
  <si>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</si>
  <si>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</si>
  <si>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</si>
  <si>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</si>
  <si>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</si>
  <si>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</si>
  <si>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</si>
  <si>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</si>
  <si>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</si>
  <si>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</si>
  <si>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</si>
  <si>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</si>
  <si>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</si>
  <si>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</si>
  <si>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</si>
  <si>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</si>
  <si>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</si>
  <si>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</si>
  <si>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</si>
  <si>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</si>
  <si>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</si>
  <si>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</si>
  <si>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</si>
  <si>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</si>
  <si>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</si>
  <si>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</si>
  <si>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</si>
  <si>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</si>
  <si>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</si>
  <si>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</si>
  <si>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</si>
  <si>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</si>
  <si>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</si>
  <si>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</si>
  <si>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</si>
  <si>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</si>
  <si>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</si>
  <si>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</si>
  <si>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</si>
  <si>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</si>
  <si>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</si>
  <si>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</si>
  <si>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</si>
  <si>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</si>
  <si>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</si>
  <si>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</si>
  <si>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</si>
  <si>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</si>
  <si>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</si>
  <si>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</si>
  <si>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</si>
  <si>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</si>
  <si>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</si>
  <si>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</si>
  <si>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</si>
  <si>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</si>
  <si>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</si>
  <si>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</si>
  <si>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</si>
  <si>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</si>
  <si>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</si>
  <si>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</si>
  <si>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</si>
  <si>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</si>
  <si>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</si>
  <si>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</si>
  <si>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</si>
  <si>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</si>
  <si>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</si>
  <si>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</si>
  <si>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</si>
  <si>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</si>
  <si>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</si>
  <si>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</si>
  <si>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</si>
  <si>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</si>
  <si>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</si>
  <si>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</si>
  <si>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</si>
  <si>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</si>
  <si>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</si>
  <si>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</si>
  <si>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</si>
  <si>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</si>
  <si>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</si>
  <si>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</si>
  <si>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</si>
  <si>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</si>
  <si>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</si>
  <si>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</si>
  <si>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</si>
  <si>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</si>
  <si>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</si>
  <si>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</si>
  <si>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</si>
  <si>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</si>
  <si>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</si>
  <si>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</si>
  <si>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</si>
  <si>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</si>
  <si>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</si>
  <si>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</si>
  <si>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</si>
  <si>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</si>
  <si>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</si>
  <si>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</si>
  <si>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</si>
  <si>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</si>
  <si>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</si>
  <si>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</si>
  <si>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</si>
  <si>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</si>
  <si>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</si>
  <si>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</si>
  <si>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</si>
  <si>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</si>
  <si>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</si>
  <si>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</si>
  <si>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</si>
  <si>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</si>
  <si>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</si>
  <si>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</si>
  <si>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</si>
  <si>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</si>
  <si>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</si>
  <si>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</si>
  <si>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</si>
  <si>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</si>
  <si>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</si>
  <si>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</si>
  <si>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</si>
  <si>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</si>
  <si>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</si>
  <si>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</si>
  <si>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</si>
  <si>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</si>
  <si>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</si>
  <si>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</si>
  <si>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</si>
  <si>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</si>
  <si>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</si>
  <si>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</si>
  <si>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</si>
  <si>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</si>
  <si>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</si>
  <si>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</si>
  <si>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</si>
  <si>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</si>
  <si>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</si>
  <si>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</si>
  <si>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</si>
  <si>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</si>
  <si>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</si>
  <si>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</si>
  <si>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</si>
  <si>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</si>
  <si>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</si>
  <si>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</si>
  <si>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</si>
  <si>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</si>
  <si>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</si>
  <si>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</si>
  <si>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</si>
  <si>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</si>
  <si>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</si>
  <si>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</si>
  <si>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</si>
  <si>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</si>
  <si>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</si>
  <si>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</si>
  <si>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</si>
  <si>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</si>
  <si>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</si>
  <si>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</si>
  <si>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</si>
  <si>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</si>
  <si>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</si>
  <si>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</si>
  <si>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</si>
  <si>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</si>
  <si>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</si>
  <si>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</si>
  <si>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</si>
  <si>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</si>
  <si>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</si>
  <si>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</si>
  <si>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</si>
  <si>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</si>
  <si>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</si>
  <si>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</si>
  <si>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</si>
  <si>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</si>
  <si>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</si>
  <si>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</si>
  <si>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</si>
  <si>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</si>
  <si>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</si>
  <si>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</si>
  <si>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</si>
  <si>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</si>
  <si>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</si>
  <si>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</si>
  <si>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</si>
  <si>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</si>
  <si>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</si>
  <si>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</si>
  <si>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</si>
  <si>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</si>
  <si>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</si>
  <si>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</si>
  <si>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</si>
  <si>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</si>
  <si>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</si>
  <si>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</si>
  <si>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</si>
  <si>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</si>
  <si>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</si>
  <si>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</si>
  <si>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</si>
  <si>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</si>
  <si>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</si>
  <si>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</si>
  <si>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</si>
  <si>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</si>
  <si>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</si>
  <si>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</si>
  <si>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</si>
  <si>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</si>
  <si>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</si>
  <si>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</si>
  <si>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</si>
  <si>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</si>
  <si>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</si>
  <si>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</si>
  <si>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</si>
  <si>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</si>
  <si>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</si>
  <si>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</si>
  <si>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</si>
  <si>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</si>
  <si>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</si>
  <si>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</si>
  <si>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</si>
  <si>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</si>
  <si>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</si>
  <si>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</si>
  <si>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</si>
  <si>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</si>
  <si>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</si>
  <si>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</si>
  <si>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</si>
  <si>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</si>
  <si>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</si>
  <si>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</si>
  <si>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</si>
  <si>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</si>
  <si>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</si>
  <si>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</si>
  <si>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</si>
  <si>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</si>
  <si>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</si>
  <si>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</si>
  <si>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</si>
  <si>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</si>
  <si>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</si>
  <si>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</si>
  <si>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</si>
  <si>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</si>
  <si>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</si>
  <si>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</si>
  <si>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</si>
  <si>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</si>
  <si>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</si>
  <si>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</si>
  <si>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</si>
  <si>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</si>
  <si>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</si>
  <si>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</si>
  <si>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</si>
  <si>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</si>
  <si>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</si>
  <si>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</si>
  <si>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</si>
  <si>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</si>
  <si>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</si>
  <si>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</si>
  <si>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</si>
  <si>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</si>
  <si>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</si>
  <si>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</si>
  <si>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</si>
  <si>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</si>
  <si>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</si>
  <si>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</si>
  <si>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</si>
  <si>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</si>
  <si>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</si>
  <si>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</si>
  <si>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</si>
  <si>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</si>
  <si>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</si>
  <si>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</si>
  <si>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</si>
  <si>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</si>
  <si>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</si>
  <si>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</si>
  <si>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</si>
  <si>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</si>
  <si>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</si>
  <si>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</si>
  <si>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</si>
  <si>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</si>
  <si>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</si>
  <si>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</si>
  <si>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</si>
  <si>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</si>
  <si>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</si>
  <si>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</si>
  <si>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</si>
  <si>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</si>
  <si>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</si>
  <si>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</si>
  <si>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</si>
  <si>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</si>
  <si>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</si>
  <si>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</si>
  <si>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</si>
  <si>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</si>
  <si>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</si>
  <si>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</si>
  <si>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</si>
  <si>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</si>
  <si>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</si>
  <si>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</si>
  <si>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</si>
  <si>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</si>
  <si>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</si>
  <si>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</si>
  <si>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</si>
  <si>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</si>
  <si>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</si>
  <si>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</si>
  <si>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</si>
  <si>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</si>
  <si>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</si>
  <si>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</si>
  <si>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</si>
  <si>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</si>
  <si>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</si>
  <si>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</si>
  <si>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</si>
  <si>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</si>
  <si>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</si>
  <si>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</si>
  <si>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</si>
  <si>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</si>
  <si>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</si>
  <si>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</si>
  <si>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</si>
  <si>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</si>
  <si>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</si>
  <si>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</si>
  <si>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</si>
  <si>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</si>
  <si>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</si>
  <si>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</si>
  <si>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</si>
  <si>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</si>
  <si>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</si>
  <si>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</si>
  <si>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</si>
  <si>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</si>
  <si>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</si>
  <si>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</si>
  <si>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</si>
  <si>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</si>
  <si>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</si>
  <si>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</si>
  <si>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</si>
  <si>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</si>
  <si>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</si>
  <si>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</si>
  <si>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</si>
  <si>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</si>
  <si>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</si>
  <si>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</si>
  <si>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</si>
  <si>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</si>
  <si>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</si>
  <si>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</si>
  <si>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</si>
  <si>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</si>
  <si>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</si>
  <si>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</si>
  <si>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</si>
  <si>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</si>
  <si>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</si>
  <si>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</si>
  <si>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</si>
  <si>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</si>
  <si>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</si>
  <si>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</si>
  <si>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</si>
  <si>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</si>
  <si>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</si>
  <si>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</si>
  <si>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</si>
  <si>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</si>
  <si>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</si>
  <si>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</si>
  <si>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</si>
  <si>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</si>
  <si>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</si>
  <si>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</si>
  <si>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</si>
  <si>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</si>
  <si>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</si>
  <si>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</si>
  <si>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</si>
  <si>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</si>
  <si>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</si>
  <si>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</si>
  <si>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</si>
  <si>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</si>
  <si>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</si>
  <si>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</si>
  <si>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</si>
  <si>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</si>
  <si>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</si>
  <si>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</si>
  <si>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</si>
  <si>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</si>
  <si>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</si>
  <si>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</si>
  <si>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</si>
  <si>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</si>
  <si>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</si>
  <si>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</si>
  <si>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</si>
  <si>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</si>
  <si>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</si>
  <si>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</si>
  <si>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</si>
  <si>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</si>
  <si>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</si>
  <si>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</si>
  <si>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</si>
  <si>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</si>
  <si>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</si>
  <si>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</si>
  <si>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</si>
  <si>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</si>
  <si>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</si>
  <si>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</si>
  <si>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</si>
  <si>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</si>
  <si>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</si>
  <si>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</si>
  <si>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</si>
  <si>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</si>
  <si>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</si>
  <si>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</si>
  <si>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</si>
  <si>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</si>
  <si>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</si>
  <si>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</si>
  <si>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</si>
  <si>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</si>
  <si>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</si>
  <si>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</si>
  <si>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</si>
  <si>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</si>
  <si>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</si>
  <si>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</si>
  <si>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</si>
  <si>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</si>
  <si>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</si>
  <si>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</si>
  <si>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</si>
  <si>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</si>
  <si>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</si>
  <si>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</si>
  <si>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</si>
  <si>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</si>
  <si>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</si>
  <si>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</si>
  <si>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</si>
  <si>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</si>
  <si>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</si>
  <si>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</si>
  <si>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</si>
  <si>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</si>
  <si>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</si>
  <si>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</si>
  <si>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</si>
  <si>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</si>
  <si>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</si>
  <si>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</si>
  <si>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</si>
  <si>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</si>
  <si>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</si>
  <si>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</si>
  <si>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</si>
  <si>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</si>
  <si>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</si>
  <si>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</si>
  <si>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</si>
  <si>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</si>
  <si>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</si>
  <si>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</si>
  <si>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</si>
  <si>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</si>
  <si>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</si>
  <si>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</si>
  <si>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</si>
  <si>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</si>
  <si>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</si>
  <si>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</si>
  <si>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</si>
  <si>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</si>
  <si>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</si>
  <si>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</si>
  <si>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</si>
  <si>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</si>
  <si>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</si>
  <si>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</si>
  <si>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</si>
  <si>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</si>
  <si>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</si>
  <si>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</si>
  <si>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</si>
  <si>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</si>
  <si>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</si>
  <si>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</si>
  <si>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</si>
  <si>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</si>
  <si>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</si>
  <si>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</si>
  <si>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</si>
  <si>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</si>
  <si>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</si>
  <si>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</si>
  <si>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</si>
  <si>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</si>
  <si>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</si>
  <si>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</si>
  <si>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</si>
  <si>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</si>
  <si>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</si>
  <si>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</si>
  <si>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</si>
  <si>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</si>
  <si>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</si>
  <si>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</si>
  <si>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</si>
  <si>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</si>
  <si>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</si>
  <si>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</si>
  <si>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</si>
  <si>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</si>
  <si>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</si>
  <si>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</si>
  <si>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</si>
  <si>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</si>
  <si>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</si>
  <si>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</si>
  <si>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</si>
  <si>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</si>
  <si>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</si>
  <si>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</si>
  <si>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</si>
  <si>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</si>
  <si>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</si>
  <si>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</si>
  <si>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</si>
  <si>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</si>
  <si>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</si>
  <si>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</si>
  <si>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</si>
  <si>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</si>
  <si>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</si>
  <si>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</si>
  <si>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</si>
  <si>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</si>
  <si>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</si>
  <si>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</si>
  <si>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</si>
  <si>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</si>
  <si>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</si>
  <si>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</si>
  <si>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</si>
  <si>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</si>
  <si>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</si>
  <si>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</si>
  <si>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</si>
  <si>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</si>
  <si>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</si>
  <si>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</si>
  <si>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</si>
  <si>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</si>
  <si>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</si>
  <si>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</si>
  <si>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</si>
  <si>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</si>
  <si>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</si>
  <si>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</si>
  <si>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</si>
  <si>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</si>
  <si>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</si>
  <si>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</si>
  <si>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</si>
  <si>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</si>
  <si>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</si>
  <si>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</si>
  <si>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</si>
  <si>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</si>
  <si>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</si>
  <si>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</si>
  <si>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</si>
  <si>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</si>
  <si>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</si>
  <si>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</si>
  <si>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</si>
  <si>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</si>
  <si>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</si>
  <si>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</si>
  <si>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</si>
  <si>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</si>
  <si>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</si>
  <si>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</si>
  <si>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</si>
  <si>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</si>
  <si>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</si>
  <si>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</si>
  <si>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</si>
  <si>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</si>
  <si>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</si>
  <si>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</si>
  <si>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</si>
  <si>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</si>
  <si>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</si>
  <si>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</si>
  <si>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</si>
  <si>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</si>
  <si>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</si>
  <si>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</si>
  <si>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</si>
  <si>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</si>
  <si>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</si>
  <si>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</si>
  <si>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</si>
  <si>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</si>
  <si>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</si>
  <si>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</si>
  <si>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</si>
  <si>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</si>
  <si>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</si>
  <si>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</si>
  <si>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</si>
  <si>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</si>
  <si>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</si>
  <si>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</si>
  <si>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</si>
  <si>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</si>
  <si>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</si>
  <si>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</si>
  <si>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</si>
  <si>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</si>
  <si>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</si>
  <si>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</si>
  <si>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</si>
  <si>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</si>
  <si>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</si>
  <si>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</si>
  <si>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</si>
  <si>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</si>
  <si>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</si>
  <si>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</si>
  <si>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</si>
  <si>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</si>
  <si>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</si>
  <si>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</si>
  <si>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</si>
  <si>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</si>
  <si>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</si>
  <si>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</si>
  <si>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</si>
  <si>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</si>
  <si>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</si>
  <si>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</si>
  <si>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</si>
  <si>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</si>
  <si>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</si>
  <si>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</si>
  <si>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</si>
  <si>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</si>
  <si>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</si>
  <si>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</si>
  <si>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</si>
  <si>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</si>
  <si>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</si>
  <si>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</si>
  <si>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</si>
  <si>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</si>
  <si>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</si>
  <si>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</si>
  <si>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</si>
  <si>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</si>
  <si>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</si>
  <si>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</si>
  <si>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</si>
  <si>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</si>
  <si>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</si>
  <si>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</si>
  <si>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</si>
  <si>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</si>
  <si>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</si>
  <si>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</si>
  <si>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</si>
  <si>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</si>
  <si>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</si>
  <si>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</si>
  <si>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</si>
  <si>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</si>
  <si>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</si>
  <si>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</si>
  <si>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</si>
  <si>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</si>
  <si>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</si>
  <si>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</si>
  <si>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</si>
  <si>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</si>
  <si>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</si>
  <si>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</si>
  <si>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</si>
  <si>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</si>
  <si>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</si>
  <si>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</si>
  <si>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</si>
  <si>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</si>
  <si>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</si>
  <si>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</si>
  <si>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</si>
  <si>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</si>
  <si>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</si>
  <si>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</si>
  <si>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</si>
  <si>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</si>
  <si>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</si>
  <si>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</si>
  <si>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</si>
  <si>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</si>
  <si>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</si>
  <si>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</si>
  <si>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</si>
  <si>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</si>
  <si>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</si>
  <si>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</si>
  <si>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</si>
  <si>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</si>
  <si>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</si>
  <si>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</si>
  <si>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</si>
  <si>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</si>
  <si>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</si>
  <si>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</si>
  <si>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</si>
  <si>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</si>
  <si>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</si>
  <si>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</si>
  <si>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</si>
  <si>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</si>
  <si>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</si>
  <si>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</si>
  <si>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</si>
  <si>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</si>
  <si>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</si>
  <si>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</si>
  <si>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</si>
  <si>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</si>
  <si>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</si>
  <si>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</si>
  <si>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</si>
  <si>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</si>
  <si>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</si>
  <si>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</si>
  <si>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</si>
  <si>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</si>
  <si>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</si>
  <si>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</si>
  <si>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</si>
  <si>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</si>
  <si>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</si>
  <si>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</si>
  <si>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</si>
  <si>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</si>
  <si>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</si>
  <si>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</si>
  <si>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</si>
  <si>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</si>
  <si>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</si>
  <si>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</si>
  <si>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</si>
  <si>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</si>
  <si>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</si>
  <si>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</si>
  <si>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</si>
  <si>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</si>
  <si>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</si>
  <si>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</si>
  <si>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</si>
  <si>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</si>
  <si>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</si>
  <si>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</si>
  <si>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</si>
  <si>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</si>
  <si>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</si>
  <si>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</si>
  <si>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</si>
  <si>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</si>
  <si>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</si>
  <si>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</si>
  <si>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</si>
  <si>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</si>
  <si>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</si>
  <si>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</si>
  <si>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</si>
  <si>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</si>
  <si>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</si>
  <si>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</si>
  <si>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</si>
  <si>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</si>
  <si>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</si>
  <si>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</si>
  <si>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</si>
  <si>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</si>
  <si>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</si>
  <si>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</si>
  <si>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</si>
  <si>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</si>
  <si>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</si>
  <si>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</si>
  <si>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</si>
  <si>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</si>
  <si>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</si>
  <si>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</si>
  <si>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</si>
  <si>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</si>
  <si>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</si>
  <si>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</si>
  <si>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</si>
  <si>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</si>
  <si>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</si>
  <si>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</si>
  <si>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</si>
  <si>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</si>
  <si>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</si>
  <si>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</si>
  <si>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</si>
  <si>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</si>
  <si>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</si>
  <si>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</si>
  <si>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</si>
  <si>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</si>
  <si>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</si>
  <si>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</si>
  <si>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</si>
  <si>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</si>
  <si>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</si>
  <si>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</si>
  <si>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</si>
  <si>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</si>
  <si>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</si>
  <si>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</si>
  <si>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</si>
  <si>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</si>
  <si>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</si>
  <si>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</si>
  <si>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</si>
  <si>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</si>
  <si>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</si>
  <si>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</si>
  <si>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</si>
  <si>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</si>
  <si>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</si>
  <si>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</si>
  <si>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</si>
  <si>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</si>
  <si>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</si>
  <si>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</si>
  <si>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</si>
  <si>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</si>
  <si>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</si>
  <si>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</si>
  <si>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</si>
  <si>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</si>
  <si>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</si>
  <si>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</si>
  <si>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</si>
  <si>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</si>
  <si>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</si>
  <si>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</si>
  <si>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</si>
  <si>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</si>
  <si>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</si>
  <si>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</si>
  <si>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</si>
  <si>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</si>
  <si>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</si>
  <si>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</si>
  <si>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</si>
  <si>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</si>
  <si>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</si>
  <si>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</si>
  <si>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</si>
  <si>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</si>
  <si>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</si>
  <si>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</si>
  <si>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</si>
  <si>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</si>
  <si>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</si>
  <si>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</si>
  <si>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</si>
  <si>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</si>
  <si>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</si>
  <si>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</si>
  <si>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</si>
  <si>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</si>
  <si>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</si>
  <si>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</si>
  <si>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</si>
  <si>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</si>
  <si>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</si>
  <si>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</si>
  <si>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</si>
  <si>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</si>
  <si>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</si>
  <si>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</si>
  <si>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</si>
  <si>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</si>
  <si>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</si>
  <si>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</si>
  <si>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</si>
  <si>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</si>
  <si>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</si>
  <si>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</si>
  <si>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</si>
  <si>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</si>
  <si>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</si>
  <si>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</si>
  <si>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</si>
  <si>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</si>
  <si>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</si>
  <si>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</si>
  <si>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</si>
  <si>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</si>
  <si>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</si>
  <si>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</si>
  <si>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</si>
  <si>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</si>
  <si>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</si>
  <si>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</si>
  <si>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</si>
  <si>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</si>
  <si>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</si>
  <si>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</si>
  <si>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</si>
  <si>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</si>
  <si>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</si>
  <si>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</si>
  <si>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</si>
  <si>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</si>
  <si>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</si>
  <si>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</si>
  <si>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</si>
  <si>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</si>
  <si>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</si>
  <si>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</si>
  <si>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</si>
  <si>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</si>
  <si>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</si>
  <si>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</si>
  <si>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</si>
  <si>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</si>
  <si>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</si>
  <si>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</si>
  <si>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t>
  </si>
  <si>
    <t>General Fund $17000 Correction PY Fund Balance</t>
  </si>
  <si>
    <t>Fund 22 Other - $1492.50 Ck Voided FY23 &amp; Replaced FY24</t>
  </si>
  <si>
    <t>12/03</t>
  </si>
  <si>
    <t>01/24</t>
  </si>
  <si>
    <t>7/16</t>
  </si>
  <si>
    <t>08/36</t>
  </si>
  <si>
    <t>7/17</t>
  </si>
  <si>
    <t>6/18</t>
  </si>
  <si>
    <t>08/37</t>
  </si>
  <si>
    <t>08/38</t>
  </si>
  <si>
    <t>Seidenstucker Scholarship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</si>
</sst>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67" sqref="H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978</v>
      </c>
      <c r="B2">
        <f>INDEX('School Tables'!$AH$3:$AH$213,MATCH('DOE25'!A2,'School Tables'!$AJ$3:$AJ$213,0))</f>
        <v>113</v>
      </c>
      <c r="C2">
        <f>INDEX('School Tables'!$AI$3:$AI$213,MATCH('DOE25'!A2,'School Tables'!$AJ$3:$AJ$213,0))</f>
        <v>113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-1071811.8400000001</v>
      </c>
      <c r="G9" s="18">
        <v>1011656.55</v>
      </c>
      <c r="H9" s="18">
        <v>0</v>
      </c>
      <c r="I9" s="18"/>
      <c r="J9" s="13">
        <f>SUM(I440)</f>
        <v>2674037.6800000002</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2597722.9300000002</v>
      </c>
      <c r="G12" s="18">
        <v>56539.34</v>
      </c>
      <c r="H12" s="18">
        <v>0</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1380941.8</v>
      </c>
      <c r="G13" s="18">
        <v>383777.21</v>
      </c>
      <c r="H13" s="18">
        <v>2161642.0699999998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715152.72</v>
      </c>
      <c r="G14" s="18">
        <v>4641.6000000000004</v>
      </c>
      <c r="H14" s="18">
        <v>0</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51953.22</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3622005.6100000003</v>
      </c>
      <c r="G19" s="38">
        <f>SUM(G9:G18)</f>
        <v>1508567.9200000002</v>
      </c>
      <c r="H19" s="38">
        <f>SUM(H9:H18)</f>
        <v>2161642.0699999998</v>
      </c>
      <c r="I19" s="38">
        <f>SUM(I9:I18)</f>
        <v>0</v>
      </c>
      <c r="J19" s="38">
        <f>SUM(J9:J18)</f>
        <v>2674037.6800000002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56539.34</v>
      </c>
      <c r="G22" s="18">
        <v>1455163.7</v>
      </c>
      <c r="H22" s="18">
        <v>1142924.75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766002.28</v>
      </c>
      <c r="G24" s="18">
        <v>1446.25</v>
      </c>
      <c r="H24" s="18">
        <v>546689.99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83991.81</v>
      </c>
      <c r="G28" s="18">
        <v>0</v>
      </c>
      <c r="H28" s="18">
        <v>0</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65217.52</v>
      </c>
      <c r="G30" s="18">
        <v>0</v>
      </c>
      <c r="H30" s="18">
        <v>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t="s">
        <v>1841</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971750.95</v>
      </c>
      <c r="G32" s="38">
        <f>SUM(G22:G31)</f>
        <v>1456609.95</v>
      </c>
      <c r="H32" s="38">
        <f>SUM(H22:H31)</f>
        <v>1689614.74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51957.97</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472027.33</v>
      </c>
      <c r="I48" s="18"/>
      <c r="J48" s="13">
        <f>SUM(I460)</f>
        <v>2674037.6800000002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2650254.66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2650254.66</v>
      </c>
      <c r="G51" s="38">
        <f>SUM(G35:G50)</f>
        <v>51957.97</v>
      </c>
      <c r="H51" s="38">
        <f>SUM(H35:H50)</f>
        <v>472027.33</v>
      </c>
      <c r="I51" s="38">
        <f>SUM(I35:I50)</f>
        <v>0</v>
      </c>
      <c r="J51" s="38">
        <f>SUM(J35:J50)</f>
        <v>2674037.6800000002</v>
      </c>
      <c r="K51" s="42" t="s">
        <v>288</v>
      </c>
      <c r="L51" s="42" t="s">
        <v>288</v>
      </c>
      <c r="N51" s="130"/>
    </row>
    <row r="52" spans="1:14" s="3" customFormat="1" ht="12.2" customHeight="1" thickTop="1" x14ac:dyDescent="0.15">
      <c r="A52" s="35" t="s">
        <v>455</v>
      </c>
      <c r="B52" s="36" t="s">
        <v>289</v>
      </c>
      <c r="C52" s="6">
        <v>37</v>
      </c>
      <c r="D52" s="36" t="s">
        <v>653</v>
      </c>
      <c r="E52" s="36"/>
      <c r="F52" s="38">
        <f>F51+F32</f>
        <v>3622005.6100000003</v>
      </c>
      <c r="G52" s="38">
        <f>G51+G32</f>
        <v>1508567.92</v>
      </c>
      <c r="H52" s="38">
        <f>H51+H32</f>
        <v>2161642.0699999998</v>
      </c>
      <c r="I52" s="38">
        <f>I51+I32</f>
        <v>0</v>
      </c>
      <c r="J52" s="38">
        <f>J51+J32</f>
        <v>2674037.6800000002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17196486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17196486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531668+9918220</f>
        <v>10449888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10449888</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f>4651.2+8796</f>
        <v>13447.2</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13447.2</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86931.62</v>
      </c>
      <c r="G96" s="18">
        <v>21532.38</v>
      </c>
      <c r="H96" s="18"/>
      <c r="I96" s="18"/>
      <c r="J96" s="18">
        <v>77964.06</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214373.48+59548.1+3341.7+32966.75</f>
        <v>310230.03000000003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f>10771+33015</f>
        <v>43786</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119412.94</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25946.89</v>
      </c>
      <c r="G110" s="18">
        <v>16657.02</v>
      </c>
      <c r="H110" s="18">
        <v>122052.79</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276077.45</v>
      </c>
      <c r="G111" s="38">
        <f>SUM(G96:G110)</f>
        <v>348419.43000000005</v>
      </c>
      <c r="H111" s="38">
        <f>SUM(H96:H110)</f>
        <v>122052.79</v>
      </c>
      <c r="I111" s="38">
        <f>SUM(I96:I110)</f>
        <v>0</v>
      </c>
      <c r="J111" s="38">
        <f>SUM(J96:J110)</f>
        <v>77964.06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27935898.649999999</v>
      </c>
      <c r="G112" s="38">
        <f>G60+G111</f>
        <v>348419.43000000005</v>
      </c>
      <c r="H112" s="38">
        <f>H60+H79+H94+H111</f>
        <v>122052.79</v>
      </c>
      <c r="I112" s="38">
        <f>I60+I111</f>
        <v>0</v>
      </c>
      <c r="J112" s="38">
        <f>J60+J111</f>
        <v>77964.06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2603651.86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3654472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20907.27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6279031.129999999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1059831.69</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t="s">
        <v>1841</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6121</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8576.41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1059831.69</v>
      </c>
      <c r="G136" s="38">
        <f>SUM(G123:G135)</f>
        <v>8576.41</v>
      </c>
      <c r="H136" s="38">
        <f>SUM(H123:H135)</f>
        <v>6121</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7338862.8199999984</v>
      </c>
      <c r="G140" s="38">
        <f>G121+SUM(G136:G137)</f>
        <v>8576.41</v>
      </c>
      <c r="H140" s="38">
        <f>H121+SUM(H136:H139)</f>
        <v>6121</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456919.4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343397.29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89046.92</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353824.11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423646.65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13643.92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135999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1870901.69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13643.92</v>
      </c>
      <c r="G163" s="38">
        <f>SUM(G150:G162)</f>
        <v>353824.11</v>
      </c>
      <c r="H163" s="38">
        <f>SUM(H150:H162)</f>
        <v>3319910.95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758.98</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14402.9</v>
      </c>
      <c r="G170" s="38">
        <f>G147+G163+SUM(G164:G169)</f>
        <v>353824.11</v>
      </c>
      <c r="H170" s="38">
        <f>H147+H163+SUM(H164:H169)</f>
        <v>3319910.95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56539.34</v>
      </c>
      <c r="H180" s="18"/>
      <c r="I180" s="18"/>
      <c r="J180" s="18">
        <v>531429</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56539.34</v>
      </c>
      <c r="H184" s="38">
        <f>SUM(H180:H183)</f>
        <v>0</v>
      </c>
      <c r="I184" s="38">
        <f>SUM(I180:I183)</f>
        <v>0</v>
      </c>
      <c r="J184" s="38">
        <f>SUM(J180:J183)</f>
        <v>531429</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222900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462119.25</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685019.25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685019.25</v>
      </c>
      <c r="G193" s="38">
        <f>G184+SUM(G189:G192)</f>
        <v>56539.34</v>
      </c>
      <c r="H193" s="38">
        <f>+H184+SUM(H189:H192)</f>
        <v>0</v>
      </c>
      <c r="I193" s="38">
        <f>I178+I184+SUM(I189:I192)</f>
        <v>0</v>
      </c>
      <c r="J193" s="38">
        <f>J184</f>
        <v>531429</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35974183.619999997</v>
      </c>
      <c r="G194" s="38">
        <f>G112+G140+G170+G193</f>
        <v>767359.28999999992</v>
      </c>
      <c r="H194" s="38">
        <f>H112+H140+H170+H193</f>
        <v>3448084.74</v>
      </c>
      <c r="I194" s="38">
        <f>I112+I140+I170+I193</f>
        <v>0</v>
      </c>
      <c r="J194" s="38">
        <f>J112+J140+J193</f>
        <v>609393.06000000006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3184867.96</f>
        <v>3184867.96</v>
      </c>
      <c r="G198" s="18">
        <f>1535677.5</f>
        <v>1535677.5</v>
      </c>
      <c r="H198" s="18">
        <f>27084</f>
        <v>27084</v>
      </c>
      <c r="I198" s="18">
        <v>186695.65</v>
      </c>
      <c r="J198" s="18">
        <v>35965.99</v>
      </c>
      <c r="K198" s="18"/>
      <c r="L198" s="13">
        <f>SUM(F198:K198)</f>
        <v>4970291.1000000006</v>
      </c>
      <c r="M198" s="8"/>
      <c r="N198" s="164"/>
    </row>
    <row r="199" spans="1:14" s="3" customFormat="1" ht="12.2" customHeight="1" x14ac:dyDescent="0.15">
      <c r="A199" s="1" t="s">
        <v>439</v>
      </c>
      <c r="B199" s="2" t="s">
        <v>341</v>
      </c>
      <c r="C199" s="2" t="s">
        <v>291</v>
      </c>
      <c r="D199" s="2" t="s">
        <v>431</v>
      </c>
      <c r="E199" s="6">
        <v>1200</v>
      </c>
      <c r="F199" s="18">
        <v>1392387.13</v>
      </c>
      <c r="G199" s="18">
        <v>897191.06</v>
      </c>
      <c r="H199" s="18">
        <v>430876.77</v>
      </c>
      <c r="I199" s="18">
        <v>4222.2700000000004</v>
      </c>
      <c r="J199" s="18"/>
      <c r="K199" s="18"/>
      <c r="L199" s="13">
        <f>SUM(F199:K199)</f>
        <v>2724677.23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v>3520.99</v>
      </c>
      <c r="I201" s="18"/>
      <c r="J201" s="18"/>
      <c r="K201" s="18"/>
      <c r="L201" s="13">
        <f>SUM(F201:K201)</f>
        <v>3520.99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602335.5</v>
      </c>
      <c r="G203" s="18">
        <v>329780.92</v>
      </c>
      <c r="H203" s="18">
        <v>348028.37</v>
      </c>
      <c r="I203" s="18">
        <v>9939.68</v>
      </c>
      <c r="J203" s="18">
        <v>1644.64</v>
      </c>
      <c r="K203" s="18">
        <v>255</v>
      </c>
      <c r="L203" s="13">
        <f t="shared" ref="L203:L209" si="0">SUM(F203:K203)</f>
        <v>1291984.1099999999</v>
      </c>
      <c r="M203" s="8"/>
      <c r="N203" s="164"/>
    </row>
    <row r="204" spans="1:14" s="3" customFormat="1" ht="12.2" customHeight="1" x14ac:dyDescent="0.15">
      <c r="A204" s="1" t="s">
        <v>443</v>
      </c>
      <c r="B204" s="2" t="s">
        <v>341</v>
      </c>
      <c r="C204" s="2" t="s">
        <v>295</v>
      </c>
      <c r="D204" s="2" t="s">
        <v>431</v>
      </c>
      <c r="E204" s="6">
        <v>2200</v>
      </c>
      <c r="F204" s="18">
        <v>185218</v>
      </c>
      <c r="G204" s="18">
        <v>125424.9</v>
      </c>
      <c r="H204" s="18">
        <v>30552.9</v>
      </c>
      <c r="I204" s="18">
        <v>29726.66</v>
      </c>
      <c r="J204" s="18">
        <v>485.88</v>
      </c>
      <c r="K204" s="18"/>
      <c r="L204" s="13">
        <f t="shared" si="0"/>
        <v>371408.34</v>
      </c>
      <c r="M204" s="8"/>
      <c r="N204" s="164"/>
    </row>
    <row r="205" spans="1:14" s="3" customFormat="1" ht="12.2" customHeight="1" x14ac:dyDescent="0.15">
      <c r="A205" s="1" t="s">
        <v>444</v>
      </c>
      <c r="B205" s="2" t="s">
        <v>341</v>
      </c>
      <c r="C205" s="2" t="s">
        <v>296</v>
      </c>
      <c r="D205" s="2" t="s">
        <v>431</v>
      </c>
      <c r="E205" s="6">
        <v>2300</v>
      </c>
      <c r="F205" s="18">
        <v>8635.98</v>
      </c>
      <c r="G205" s="18">
        <v>690.31</v>
      </c>
      <c r="H205" s="18">
        <v>600162.93999999994</v>
      </c>
      <c r="I205" s="18">
        <v>1697.1</v>
      </c>
      <c r="J205" s="18">
        <v>0</v>
      </c>
      <c r="K205" s="18">
        <v>2097.89</v>
      </c>
      <c r="L205" s="13">
        <f t="shared" si="0"/>
        <v>613284.22</v>
      </c>
      <c r="M205" s="8"/>
      <c r="N205" s="164"/>
    </row>
    <row r="206" spans="1:14" s="3" customFormat="1" ht="12.2" customHeight="1" x14ac:dyDescent="0.15">
      <c r="A206" s="1" t="s">
        <v>445</v>
      </c>
      <c r="B206" s="2" t="s">
        <v>341</v>
      </c>
      <c r="C206" s="2" t="s">
        <v>297</v>
      </c>
      <c r="D206" s="2" t="s">
        <v>431</v>
      </c>
      <c r="E206" s="6">
        <v>2400</v>
      </c>
      <c r="F206" s="18">
        <v>462394.68</v>
      </c>
      <c r="G206" s="18">
        <v>233767.73</v>
      </c>
      <c r="H206" s="18">
        <v>68694.62</v>
      </c>
      <c r="I206" s="18">
        <v>5380.87</v>
      </c>
      <c r="J206" s="18">
        <v>55950.21</v>
      </c>
      <c r="K206" s="18">
        <v>3054</v>
      </c>
      <c r="L206" s="13">
        <f t="shared" si="0"/>
        <v>829242.11</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361960.46</v>
      </c>
      <c r="G208" s="18">
        <v>185164.3</v>
      </c>
      <c r="H208" s="18">
        <v>570061</v>
      </c>
      <c r="I208" s="18">
        <v>305693.84999999998</v>
      </c>
      <c r="J208" s="18">
        <v>38875.449999999997</v>
      </c>
      <c r="K208" s="18"/>
      <c r="L208" s="13">
        <f t="shared" si="0"/>
        <v>1461755.0599999998</v>
      </c>
      <c r="M208" s="8"/>
      <c r="N208" s="164"/>
    </row>
    <row r="209" spans="1:14" s="3" customFormat="1" ht="12.2" customHeight="1" x14ac:dyDescent="0.15">
      <c r="A209" s="1" t="s">
        <v>448</v>
      </c>
      <c r="B209" s="2" t="s">
        <v>341</v>
      </c>
      <c r="C209" s="2" t="s">
        <v>300</v>
      </c>
      <c r="D209" s="2" t="s">
        <v>431</v>
      </c>
      <c r="E209" s="6">
        <v>2700</v>
      </c>
      <c r="F209" s="18">
        <v>153139.10999999999</v>
      </c>
      <c r="G209" s="18">
        <v>87252.89</v>
      </c>
      <c r="H209" s="18">
        <v>76692.13</v>
      </c>
      <c r="I209" s="18">
        <v>44667.68</v>
      </c>
      <c r="J209" s="18">
        <v>84925</v>
      </c>
      <c r="K209" s="18"/>
      <c r="L209" s="13">
        <f t="shared" si="0"/>
        <v>446676.81</v>
      </c>
      <c r="M209" s="8"/>
      <c r="N209" s="164"/>
    </row>
    <row r="210" spans="1:14" s="3" customFormat="1" ht="12.2" customHeight="1" x14ac:dyDescent="0.15">
      <c r="A210" s="1" t="s">
        <v>449</v>
      </c>
      <c r="B210" s="2" t="s">
        <v>341</v>
      </c>
      <c r="C210" s="2" t="s">
        <v>343</v>
      </c>
      <c r="D210" s="2" t="s">
        <v>431</v>
      </c>
      <c r="E210" s="6">
        <v>2800</v>
      </c>
      <c r="F210" s="18">
        <v>56821.55</v>
      </c>
      <c r="G210" s="18">
        <f>7471.15+985556.35</f>
        <v>993027.5</v>
      </c>
      <c r="H210" s="18">
        <v>1421.65</v>
      </c>
      <c r="I210" s="18"/>
      <c r="J210" s="18"/>
      <c r="K210" s="18"/>
      <c r="L210" s="13">
        <f>SUM(F210:K210)</f>
        <v>1051270.7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6407760.3700000001</v>
      </c>
      <c r="G212" s="38">
        <f t="shared" si="1"/>
        <v>4387977.1099999994</v>
      </c>
      <c r="H212" s="38">
        <f t="shared" si="1"/>
        <v>2157095.3699999996</v>
      </c>
      <c r="I212" s="38">
        <f t="shared" si="1"/>
        <v>588023.76</v>
      </c>
      <c r="J212" s="38">
        <f t="shared" si="1"/>
        <v>217847.16999999998</v>
      </c>
      <c r="K212" s="38">
        <f t="shared" si="1"/>
        <v>5406.8899999999994</v>
      </c>
      <c r="L212" s="38">
        <f t="shared" si="1"/>
        <v>13764110.67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1308895.42</f>
        <v>1308895.42</v>
      </c>
      <c r="G216" s="18">
        <f>656403.96</f>
        <v>656403.96</v>
      </c>
      <c r="H216" s="18">
        <v>2742.57</v>
      </c>
      <c r="I216" s="18">
        <v>68871.78</v>
      </c>
      <c r="J216" s="18">
        <v>42554.25</v>
      </c>
      <c r="K216" s="18"/>
      <c r="L216" s="13">
        <f>SUM(F216:K216)</f>
        <v>2079467.98</v>
      </c>
      <c r="M216" s="8"/>
      <c r="N216" s="164"/>
    </row>
    <row r="217" spans="1:14" s="3" customFormat="1" ht="12.2" customHeight="1" x14ac:dyDescent="0.15">
      <c r="A217" s="1" t="s">
        <v>439</v>
      </c>
      <c r="B217" s="2" t="s">
        <v>346</v>
      </c>
      <c r="C217" s="2" t="s">
        <v>291</v>
      </c>
      <c r="D217" s="2" t="s">
        <v>431</v>
      </c>
      <c r="E217" s="6">
        <v>1200</v>
      </c>
      <c r="F217" s="18">
        <v>372433.37</v>
      </c>
      <c r="G217" s="18">
        <v>240646.72</v>
      </c>
      <c r="H217" s="18">
        <v>134.12</v>
      </c>
      <c r="I217" s="18">
        <v>6103.96</v>
      </c>
      <c r="J217" s="18"/>
      <c r="K217" s="18"/>
      <c r="L217" s="13">
        <f>SUM(F217:K217)</f>
        <v>619318.16999999993</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75954.5</v>
      </c>
      <c r="G219" s="18">
        <v>15181.14</v>
      </c>
      <c r="H219" s="18">
        <v>29269.86</v>
      </c>
      <c r="I219" s="18">
        <v>6800.9</v>
      </c>
      <c r="J219" s="18">
        <v>2147.59</v>
      </c>
      <c r="K219" s="18">
        <v>2241.8000000000002</v>
      </c>
      <c r="L219" s="13">
        <f>SUM(F219:K219)</f>
        <v>131595.78999999998</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247957.7</v>
      </c>
      <c r="G221" s="18">
        <v>133955.14000000001</v>
      </c>
      <c r="H221" s="18">
        <v>12673.88</v>
      </c>
      <c r="I221" s="18">
        <v>5776</v>
      </c>
      <c r="J221" s="18">
        <v>499.54</v>
      </c>
      <c r="K221" s="18">
        <v>50</v>
      </c>
      <c r="L221" s="13">
        <f t="shared" ref="L221:L227" si="2">SUM(F221:K221)</f>
        <v>400912.26</v>
      </c>
      <c r="M221" s="8"/>
      <c r="N221" s="164"/>
    </row>
    <row r="222" spans="1:14" s="3" customFormat="1" ht="12.2" customHeight="1" x14ac:dyDescent="0.15">
      <c r="A222" s="1" t="s">
        <v>443</v>
      </c>
      <c r="B222" s="2" t="s">
        <v>346</v>
      </c>
      <c r="C222" s="2" t="s">
        <v>295</v>
      </c>
      <c r="D222" s="2" t="s">
        <v>431</v>
      </c>
      <c r="E222" s="6">
        <v>2200</v>
      </c>
      <c r="F222" s="18">
        <v>55725</v>
      </c>
      <c r="G222" s="18">
        <v>36844.6</v>
      </c>
      <c r="H222" s="18">
        <v>35719.78</v>
      </c>
      <c r="I222" s="18">
        <v>8390.01</v>
      </c>
      <c r="J222" s="18"/>
      <c r="K222" s="18"/>
      <c r="L222" s="13">
        <f t="shared" si="2"/>
        <v>136679.39000000001</v>
      </c>
      <c r="M222" s="8"/>
      <c r="N222" s="164"/>
    </row>
    <row r="223" spans="1:14" s="3" customFormat="1" ht="12.2" customHeight="1" x14ac:dyDescent="0.15">
      <c r="A223" s="1" t="s">
        <v>444</v>
      </c>
      <c r="B223" s="2" t="s">
        <v>346</v>
      </c>
      <c r="C223" s="2" t="s">
        <v>296</v>
      </c>
      <c r="D223" s="2" t="s">
        <v>431</v>
      </c>
      <c r="E223" s="6">
        <v>2300</v>
      </c>
      <c r="F223" s="18">
        <v>3778.52</v>
      </c>
      <c r="G223" s="18">
        <v>302.02999999999997</v>
      </c>
      <c r="H223" s="18">
        <v>262576.59999999998</v>
      </c>
      <c r="I223" s="18">
        <v>742.54</v>
      </c>
      <c r="J223" s="18">
        <v>0</v>
      </c>
      <c r="K223" s="18">
        <v>917.89</v>
      </c>
      <c r="L223" s="13">
        <f t="shared" si="2"/>
        <v>268317.57999999996</v>
      </c>
      <c r="M223" s="8"/>
      <c r="N223" s="164"/>
    </row>
    <row r="224" spans="1:14" s="3" customFormat="1" ht="12.2" customHeight="1" x14ac:dyDescent="0.15">
      <c r="A224" s="1" t="s">
        <v>445</v>
      </c>
      <c r="B224" s="2" t="s">
        <v>346</v>
      </c>
      <c r="C224" s="2" t="s">
        <v>297</v>
      </c>
      <c r="D224" s="2" t="s">
        <v>431</v>
      </c>
      <c r="E224" s="6">
        <v>2400</v>
      </c>
      <c r="F224" s="18">
        <v>219466.13</v>
      </c>
      <c r="G224" s="18">
        <v>98813.04</v>
      </c>
      <c r="H224" s="18">
        <v>29016.73</v>
      </c>
      <c r="I224" s="18">
        <v>217.5</v>
      </c>
      <c r="J224" s="18">
        <v>743.54</v>
      </c>
      <c r="K224" s="18">
        <v>3637.07</v>
      </c>
      <c r="L224" s="13">
        <f t="shared" si="2"/>
        <v>351894.00999999995</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261521.44</v>
      </c>
      <c r="G226" s="18">
        <v>130380.89</v>
      </c>
      <c r="H226" s="18">
        <v>519629.14</v>
      </c>
      <c r="I226" s="18">
        <v>269695.61</v>
      </c>
      <c r="J226" s="18">
        <v>25027.54</v>
      </c>
      <c r="K226" s="18"/>
      <c r="L226" s="13">
        <f t="shared" si="2"/>
        <v>1206254.6200000001</v>
      </c>
      <c r="M226" s="8"/>
      <c r="N226" s="164"/>
    </row>
    <row r="227" spans="1:14" s="3" customFormat="1" ht="12.2" customHeight="1" x14ac:dyDescent="0.15">
      <c r="A227" s="1" t="s">
        <v>448</v>
      </c>
      <c r="B227" s="2" t="s">
        <v>346</v>
      </c>
      <c r="C227" s="2" t="s">
        <v>300</v>
      </c>
      <c r="D227" s="2" t="s">
        <v>431</v>
      </c>
      <c r="E227" s="6">
        <v>2700</v>
      </c>
      <c r="F227" s="18">
        <v>54845.3</v>
      </c>
      <c r="G227" s="18">
        <v>29934.86</v>
      </c>
      <c r="H227" s="18">
        <v>11566.55</v>
      </c>
      <c r="I227" s="18">
        <v>19543.57</v>
      </c>
      <c r="J227" s="18">
        <v>37157</v>
      </c>
      <c r="K227" s="18"/>
      <c r="L227" s="13">
        <f t="shared" si="2"/>
        <v>153047.28</v>
      </c>
      <c r="M227" s="8"/>
      <c r="N227" s="164"/>
    </row>
    <row r="228" spans="1:14" s="3" customFormat="1" ht="12.2" customHeight="1" x14ac:dyDescent="0.15">
      <c r="A228" s="1" t="s">
        <v>449</v>
      </c>
      <c r="B228" s="2" t="s">
        <v>346</v>
      </c>
      <c r="C228" s="2" t="s">
        <v>343</v>
      </c>
      <c r="D228" s="2" t="s">
        <v>431</v>
      </c>
      <c r="E228" s="6">
        <v>2800</v>
      </c>
      <c r="F228" s="18">
        <v>57215.79</v>
      </c>
      <c r="G228" s="18">
        <f>7230.14+431213.24</f>
        <v>438443.38</v>
      </c>
      <c r="H228" s="18">
        <v>622.02</v>
      </c>
      <c r="I228" s="18"/>
      <c r="J228" s="18"/>
      <c r="K228" s="18"/>
      <c r="L228" s="13">
        <f>SUM(F228:K228)</f>
        <v>496281.19</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2657793.17</v>
      </c>
      <c r="G230" s="38">
        <f>SUM(G216:G229)</f>
        <v>1780905.7600000002</v>
      </c>
      <c r="H230" s="38">
        <f>SUM(H216:H229)</f>
        <v>903951.25</v>
      </c>
      <c r="I230" s="38">
        <f>SUM(I216:I229)</f>
        <v>386141.87</v>
      </c>
      <c r="J230" s="38">
        <f>SUM(J216:J229)</f>
        <v>108129.45999999999</v>
      </c>
      <c r="K230" s="38">
        <f t="shared" si="3"/>
        <v>6846.76</v>
      </c>
      <c r="L230" s="38">
        <f t="shared" si="3"/>
        <v>5843768.2700000014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2854885.64</f>
        <v>2854885.64</v>
      </c>
      <c r="G234" s="18">
        <f>1477896.87</f>
        <v>1477896.87</v>
      </c>
      <c r="H234" s="18">
        <v>26323.93</v>
      </c>
      <c r="I234" s="18">
        <v>131252.88</v>
      </c>
      <c r="J234" s="18">
        <v>117417.65</v>
      </c>
      <c r="K234" s="18"/>
      <c r="L234" s="13">
        <f>SUM(F234:K234)</f>
        <v>4607776.97</v>
      </c>
      <c r="M234" s="8"/>
      <c r="N234" s="164"/>
    </row>
    <row r="235" spans="1:14" s="3" customFormat="1" ht="12.2" customHeight="1" x14ac:dyDescent="0.15">
      <c r="A235" s="1" t="s">
        <v>439</v>
      </c>
      <c r="B235" s="2" t="s">
        <v>350</v>
      </c>
      <c r="C235" s="2" t="s">
        <v>291</v>
      </c>
      <c r="D235" s="2" t="s">
        <v>431</v>
      </c>
      <c r="E235" s="6">
        <v>1200</v>
      </c>
      <c r="F235" s="18">
        <v>647580.56999999995</v>
      </c>
      <c r="G235" s="18">
        <v>375261.61</v>
      </c>
      <c r="H235" s="18">
        <v>215011.01</v>
      </c>
      <c r="I235" s="18">
        <v>7303.6</v>
      </c>
      <c r="J235" s="18">
        <v>1492.09</v>
      </c>
      <c r="K235" s="18"/>
      <c r="L235" s="13">
        <f>SUM(F235:K235)</f>
        <v>1246648.8800000001</v>
      </c>
      <c r="M235" s="8"/>
      <c r="N235" s="164"/>
    </row>
    <row r="236" spans="1:14" s="3" customFormat="1" ht="12.2" customHeight="1" x14ac:dyDescent="0.15">
      <c r="A236" s="1" t="s">
        <v>440</v>
      </c>
      <c r="B236" s="2" t="s">
        <v>350</v>
      </c>
      <c r="C236" s="2" t="s">
        <v>292</v>
      </c>
      <c r="D236" s="2" t="s">
        <v>431</v>
      </c>
      <c r="E236" s="6">
        <v>1300</v>
      </c>
      <c r="F236" s="18">
        <v>527858.16</v>
      </c>
      <c r="G236" s="18">
        <v>273502.25</v>
      </c>
      <c r="H236" s="18">
        <v>57816.68</v>
      </c>
      <c r="I236" s="18">
        <v>89732.81</v>
      </c>
      <c r="J236" s="18">
        <v>20349.439999999999</v>
      </c>
      <c r="K236" s="18">
        <v>1000</v>
      </c>
      <c r="L236" s="13">
        <f>SUM(F236:K236)</f>
        <v>970259.34000000008</v>
      </c>
      <c r="M236" s="8"/>
      <c r="N236" s="164"/>
    </row>
    <row r="237" spans="1:14" s="3" customFormat="1" ht="12.2" customHeight="1" x14ac:dyDescent="0.15">
      <c r="A237" s="1" t="s">
        <v>441</v>
      </c>
      <c r="B237" s="2" t="s">
        <v>350</v>
      </c>
      <c r="C237" s="2" t="s">
        <v>293</v>
      </c>
      <c r="D237" s="2" t="s">
        <v>431</v>
      </c>
      <c r="E237" s="6">
        <v>1400</v>
      </c>
      <c r="F237" s="18">
        <v>255986</v>
      </c>
      <c r="G237" s="18">
        <v>53401.78</v>
      </c>
      <c r="H237" s="18">
        <v>120411.8</v>
      </c>
      <c r="I237" s="18">
        <v>25351.919999999998</v>
      </c>
      <c r="J237" s="18">
        <v>14739.03</v>
      </c>
      <c r="K237" s="18">
        <v>13772.6</v>
      </c>
      <c r="L237" s="13">
        <f>SUM(F237:K237)</f>
        <v>483663.13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561644.68000000005</v>
      </c>
      <c r="G239" s="18">
        <v>313029.34999999998</v>
      </c>
      <c r="H239" s="18">
        <v>134141.45000000001</v>
      </c>
      <c r="I239" s="18">
        <v>11868.75</v>
      </c>
      <c r="J239" s="18">
        <v>2128.67</v>
      </c>
      <c r="K239" s="18">
        <v>750.06</v>
      </c>
      <c r="L239" s="13">
        <f t="shared" ref="L239:L245" si="4">SUM(F239:K239)</f>
        <v>1023562.9600000001</v>
      </c>
      <c r="M239" s="8"/>
      <c r="N239" s="164"/>
    </row>
    <row r="240" spans="1:14" s="3" customFormat="1" ht="12.2" customHeight="1" x14ac:dyDescent="0.15">
      <c r="A240" s="1" t="s">
        <v>443</v>
      </c>
      <c r="B240" s="2" t="s">
        <v>350</v>
      </c>
      <c r="C240" s="2" t="s">
        <v>295</v>
      </c>
      <c r="D240" s="2" t="s">
        <v>431</v>
      </c>
      <c r="E240" s="6">
        <v>2200</v>
      </c>
      <c r="F240" s="18">
        <v>75339</v>
      </c>
      <c r="G240" s="18">
        <v>62051.46</v>
      </c>
      <c r="H240" s="18">
        <v>34780.54</v>
      </c>
      <c r="I240" s="18">
        <v>10639.74</v>
      </c>
      <c r="J240" s="18">
        <v>0</v>
      </c>
      <c r="K240" s="18">
        <v>1700.75</v>
      </c>
      <c r="L240" s="13">
        <f t="shared" si="4"/>
        <v>184511.49</v>
      </c>
      <c r="M240" s="8"/>
      <c r="N240" s="164"/>
    </row>
    <row r="241" spans="1:14" s="3" customFormat="1" ht="12.2" customHeight="1" x14ac:dyDescent="0.15">
      <c r="A241" s="1" t="s">
        <v>444</v>
      </c>
      <c r="B241" s="2" t="s">
        <v>350</v>
      </c>
      <c r="C241" s="2" t="s">
        <v>296</v>
      </c>
      <c r="D241" s="2" t="s">
        <v>431</v>
      </c>
      <c r="E241" s="6">
        <v>2300</v>
      </c>
      <c r="F241" s="18">
        <v>10252.11</v>
      </c>
      <c r="G241" s="18">
        <v>819.5</v>
      </c>
      <c r="H241" s="18">
        <v>712465.05</v>
      </c>
      <c r="I241" s="18">
        <v>2014.7</v>
      </c>
      <c r="J241" s="18">
        <v>0</v>
      </c>
      <c r="K241" s="18">
        <v>2490.48</v>
      </c>
      <c r="L241" s="13">
        <f t="shared" si="4"/>
        <v>728041.84</v>
      </c>
      <c r="M241" s="8"/>
      <c r="N241" s="164"/>
    </row>
    <row r="242" spans="1:14" s="3" customFormat="1" ht="12.2" customHeight="1" x14ac:dyDescent="0.15">
      <c r="A242" s="1" t="s">
        <v>445</v>
      </c>
      <c r="B242" s="2" t="s">
        <v>350</v>
      </c>
      <c r="C242" s="2" t="s">
        <v>297</v>
      </c>
      <c r="D242" s="2" t="s">
        <v>431</v>
      </c>
      <c r="E242" s="6">
        <v>2400</v>
      </c>
      <c r="F242" s="18">
        <v>688815.67</v>
      </c>
      <c r="G242" s="18">
        <v>354692.75</v>
      </c>
      <c r="H242" s="18">
        <v>90667.16</v>
      </c>
      <c r="I242" s="18">
        <v>17140.27</v>
      </c>
      <c r="J242" s="18">
        <v>5873.44</v>
      </c>
      <c r="K242" s="18">
        <v>60857.24</v>
      </c>
      <c r="L242" s="13">
        <f t="shared" si="4"/>
        <v>1218046.53</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494537.4</v>
      </c>
      <c r="G244" s="18">
        <v>224005.37</v>
      </c>
      <c r="H244" s="18">
        <v>818005.38</v>
      </c>
      <c r="I244" s="18">
        <v>536267.6</v>
      </c>
      <c r="J244" s="18">
        <v>79129.97</v>
      </c>
      <c r="K244" s="18"/>
      <c r="L244" s="13">
        <f t="shared" si="4"/>
        <v>2151945.7200000002</v>
      </c>
      <c r="M244" s="8"/>
      <c r="N244" s="164"/>
    </row>
    <row r="245" spans="1:14" s="3" customFormat="1" ht="12.2" customHeight="1" x14ac:dyDescent="0.15">
      <c r="A245" s="1" t="s">
        <v>448</v>
      </c>
      <c r="B245" s="2" t="s">
        <v>350</v>
      </c>
      <c r="C245" s="2" t="s">
        <v>300</v>
      </c>
      <c r="D245" s="2" t="s">
        <v>431</v>
      </c>
      <c r="E245" s="6">
        <v>2700</v>
      </c>
      <c r="F245" s="18">
        <v>183803.9</v>
      </c>
      <c r="G245" s="18">
        <v>86801.48</v>
      </c>
      <c r="H245" s="18">
        <v>31477.360000000001</v>
      </c>
      <c r="I245" s="18">
        <v>53026.75</v>
      </c>
      <c r="J245" s="18">
        <v>100818</v>
      </c>
      <c r="K245" s="18"/>
      <c r="L245" s="13">
        <f t="shared" si="4"/>
        <v>455927.49</v>
      </c>
      <c r="M245" s="8"/>
      <c r="N245" s="164"/>
    </row>
    <row r="246" spans="1:14" s="3" customFormat="1" ht="12.2" customHeight="1" x14ac:dyDescent="0.15">
      <c r="A246" s="1" t="s">
        <v>449</v>
      </c>
      <c r="B246" s="2" t="s">
        <v>350</v>
      </c>
      <c r="C246" s="2" t="s">
        <v>343</v>
      </c>
      <c r="D246" s="2" t="s">
        <v>431</v>
      </c>
      <c r="E246" s="6">
        <v>2800</v>
      </c>
      <c r="F246" s="18">
        <v>72749.8</v>
      </c>
      <c r="G246" s="18">
        <f>9399.19+1169992.49</f>
        <v>1179391.68</v>
      </c>
      <c r="H246" s="18">
        <v>1687.69</v>
      </c>
      <c r="I246" s="18"/>
      <c r="J246" s="18"/>
      <c r="K246" s="18"/>
      <c r="L246" s="13">
        <f>SUM(F246:K246)</f>
        <v>1253829.17</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6373452.9300000006</v>
      </c>
      <c r="G248" s="38">
        <f t="shared" si="5"/>
        <v>4400854.0999999996</v>
      </c>
      <c r="H248" s="38">
        <f t="shared" si="5"/>
        <v>2242788.0499999998</v>
      </c>
      <c r="I248" s="38">
        <f t="shared" si="5"/>
        <v>884599.02</v>
      </c>
      <c r="J248" s="38">
        <f t="shared" si="5"/>
        <v>341948.29000000004</v>
      </c>
      <c r="K248" s="38">
        <f t="shared" si="5"/>
        <v>80571.13</v>
      </c>
      <c r="L248" s="38">
        <f t="shared" si="5"/>
        <v>14324213.52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15439006.469999999</v>
      </c>
      <c r="G258" s="38">
        <f t="shared" si="8"/>
        <v>10569736.969999999</v>
      </c>
      <c r="H258" s="38">
        <f t="shared" si="8"/>
        <v>5303834.67</v>
      </c>
      <c r="I258" s="38">
        <f t="shared" si="8"/>
        <v>1858764.65</v>
      </c>
      <c r="J258" s="38">
        <f t="shared" si="8"/>
        <v>667924.92000000004</v>
      </c>
      <c r="K258" s="38">
        <f t="shared" si="8"/>
        <v>92824.78</v>
      </c>
      <c r="L258" s="38">
        <f t="shared" si="8"/>
        <v>33932092.460000001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2090000</v>
      </c>
      <c r="L261" s="13">
        <f>SUM(F261:K261)</f>
        <v>2090000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176709.26</v>
      </c>
      <c r="L262" s="13">
        <f>SUM(F262:K262)</f>
        <v>176709.26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56539.34</v>
      </c>
      <c r="L264" s="13">
        <f>SUM(F264:K264)</f>
        <v>56539.34</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531429</v>
      </c>
      <c r="L267" s="13">
        <f t="shared" si="9"/>
        <v>531429</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2854677.5999999996</v>
      </c>
      <c r="L271" s="38">
        <f t="shared" si="9"/>
        <v>2854677.5999999996</v>
      </c>
      <c r="M271" s="8"/>
      <c r="N271" s="164"/>
    </row>
    <row r="272" spans="1:14" s="33" customFormat="1" ht="12.2" customHeight="1" thickTop="1" x14ac:dyDescent="0.2">
      <c r="A272" s="40" t="s">
        <v>464</v>
      </c>
      <c r="B272" s="37">
        <v>10</v>
      </c>
      <c r="C272" s="37">
        <v>18</v>
      </c>
      <c r="D272" s="36" t="s">
        <v>431</v>
      </c>
      <c r="E272" s="37"/>
      <c r="F272" s="39">
        <f t="shared" ref="F272:L272" si="11">F258+F271</f>
        <v>15439006.469999999</v>
      </c>
      <c r="G272" s="39">
        <f t="shared" si="11"/>
        <v>10569736.969999999</v>
      </c>
      <c r="H272" s="39">
        <f t="shared" si="11"/>
        <v>5303834.67</v>
      </c>
      <c r="I272" s="39">
        <f t="shared" si="11"/>
        <v>1858764.65</v>
      </c>
      <c r="J272" s="39">
        <f t="shared" si="11"/>
        <v>667924.92000000004</v>
      </c>
      <c r="K272" s="39">
        <f t="shared" si="11"/>
        <v>2947502.3799999994</v>
      </c>
      <c r="L272" s="39">
        <f t="shared" si="11"/>
        <v>36786770.060000002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446453.94</v>
      </c>
      <c r="G277" s="18">
        <v>160893.47</v>
      </c>
      <c r="H277" s="18">
        <v>8505.2800000000007</v>
      </c>
      <c r="I277" s="18">
        <v>48358.51</v>
      </c>
      <c r="J277" s="18">
        <v>165358.57</v>
      </c>
      <c r="K277" s="18"/>
      <c r="L277" s="13">
        <f>SUM(F277:K277)</f>
        <v>829569.77</v>
      </c>
      <c r="M277" s="8"/>
      <c r="N277" s="164"/>
    </row>
    <row r="278" spans="1:14" s="3" customFormat="1" ht="12.2" customHeight="1" x14ac:dyDescent="0.15">
      <c r="A278" s="1" t="s">
        <v>439</v>
      </c>
      <c r="B278" s="2" t="s">
        <v>357</v>
      </c>
      <c r="C278" s="2" t="s">
        <v>291</v>
      </c>
      <c r="D278" s="2" t="s">
        <v>431</v>
      </c>
      <c r="E278" s="6">
        <v>1200</v>
      </c>
      <c r="F278" s="18">
        <v>73173.73</v>
      </c>
      <c r="G278" s="18">
        <v>27691.68</v>
      </c>
      <c r="H278" s="18">
        <f>16250.29+20827</f>
        <v>37077.29</v>
      </c>
      <c r="I278" s="18">
        <v>9476.51</v>
      </c>
      <c r="J278" s="18">
        <v>10143.77</v>
      </c>
      <c r="K278" s="18"/>
      <c r="L278" s="13">
        <f>SUM(F278:K278)</f>
        <v>157562.98000000001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247214.93</v>
      </c>
      <c r="G280" s="18">
        <v>67861.42</v>
      </c>
      <c r="H280" s="18">
        <v>81865.460000000006</v>
      </c>
      <c r="I280" s="18">
        <v>35614.550000000003</v>
      </c>
      <c r="J280" s="18">
        <v>0</v>
      </c>
      <c r="K280" s="18"/>
      <c r="L280" s="13">
        <f>SUM(F280:K280)</f>
        <v>432556.36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10090+52332.5</f>
        <v>62422.5</v>
      </c>
      <c r="G282" s="18">
        <f>25514.95+1973.36</f>
        <v>27488.31</v>
      </c>
      <c r="H282" s="18">
        <v>29518.75</v>
      </c>
      <c r="I282" s="18">
        <v>0</v>
      </c>
      <c r="J282" s="18">
        <v>0</v>
      </c>
      <c r="K282" s="18"/>
      <c r="L282" s="13">
        <f t="shared" ref="L282:L288" si="12">SUM(F282:K282)</f>
        <v>119429.56</v>
      </c>
      <c r="M282" s="8"/>
      <c r="N282" s="164"/>
    </row>
    <row r="283" spans="1:14" s="3" customFormat="1" ht="12.2" customHeight="1" x14ac:dyDescent="0.15">
      <c r="A283" s="1" t="s">
        <v>443</v>
      </c>
      <c r="B283" s="2" t="s">
        <v>357</v>
      </c>
      <c r="C283" s="2" t="s">
        <v>295</v>
      </c>
      <c r="D283" s="2" t="s">
        <v>431</v>
      </c>
      <c r="E283" s="6">
        <v>2200</v>
      </c>
      <c r="F283" s="18">
        <f>37260.66+8029.58</f>
        <v>45290.240000000005</v>
      </c>
      <c r="G283" s="18">
        <f>40856.76+2100.15</f>
        <v>42956.91</v>
      </c>
      <c r="H283" s="18">
        <f>625+49559.11+13900+22487.09</f>
        <v>86571.199999999997</v>
      </c>
      <c r="I283" s="18">
        <v>63338.879999999997</v>
      </c>
      <c r="J283" s="18"/>
      <c r="K283" s="18"/>
      <c r="L283" s="13">
        <f t="shared" si="12"/>
        <v>238157.23</v>
      </c>
      <c r="M283" s="8"/>
      <c r="N283" s="164"/>
    </row>
    <row r="284" spans="1:14" s="3" customFormat="1" ht="12.2" customHeight="1" x14ac:dyDescent="0.15">
      <c r="A284" s="1" t="s">
        <v>444</v>
      </c>
      <c r="B284" s="2" t="s">
        <v>357</v>
      </c>
      <c r="C284" s="2" t="s">
        <v>296</v>
      </c>
      <c r="D284" s="2" t="s">
        <v>431</v>
      </c>
      <c r="E284" s="6">
        <v>2300</v>
      </c>
      <c r="F284" s="18">
        <v>1101.0899999999999</v>
      </c>
      <c r="G284" s="18">
        <v>233.2</v>
      </c>
      <c r="H284" s="18"/>
      <c r="I284" s="18"/>
      <c r="J284" s="18"/>
      <c r="K284" s="18"/>
      <c r="L284" s="13">
        <f t="shared" si="12"/>
        <v>1334.29</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41128.45+41499</f>
        <v>82627.45</v>
      </c>
      <c r="I287" s="18"/>
      <c r="J287" s="18">
        <f>19500+71014.97</f>
        <v>90514.97</v>
      </c>
      <c r="K287" s="18"/>
      <c r="L287" s="13">
        <f t="shared" si="12"/>
        <v>173142.41999999998</v>
      </c>
      <c r="M287" s="8"/>
      <c r="N287" s="164"/>
    </row>
    <row r="288" spans="1:14" s="3" customFormat="1" ht="12.2" customHeight="1" x14ac:dyDescent="0.15">
      <c r="A288" s="1" t="s">
        <v>448</v>
      </c>
      <c r="B288" s="2" t="s">
        <v>357</v>
      </c>
      <c r="C288" s="2" t="s">
        <v>300</v>
      </c>
      <c r="D288" s="2" t="s">
        <v>431</v>
      </c>
      <c r="E288" s="6">
        <v>2700</v>
      </c>
      <c r="F288" s="18">
        <v>30377.15</v>
      </c>
      <c r="G288" s="18">
        <v>2765.92</v>
      </c>
      <c r="H288" s="18"/>
      <c r="I288" s="18"/>
      <c r="J288" s="18"/>
      <c r="K288" s="18"/>
      <c r="L288" s="13">
        <f t="shared" si="12"/>
        <v>33143.07</v>
      </c>
      <c r="M288" s="8"/>
      <c r="N288" s="164"/>
    </row>
    <row r="289" spans="1:14" s="3" customFormat="1" ht="12.2" customHeight="1" x14ac:dyDescent="0.15">
      <c r="A289" s="1" t="s">
        <v>449</v>
      </c>
      <c r="B289" s="2" t="s">
        <v>357</v>
      </c>
      <c r="C289" s="2" t="s">
        <v>343</v>
      </c>
      <c r="D289" s="2" t="s">
        <v>431</v>
      </c>
      <c r="E289" s="6">
        <v>2800</v>
      </c>
      <c r="F289" s="18"/>
      <c r="G289" s="18"/>
      <c r="H289" s="18">
        <v>41500</v>
      </c>
      <c r="I289" s="18"/>
      <c r="J289" s="18"/>
      <c r="K289" s="18"/>
      <c r="L289" s="13">
        <f>SUM(F289:K289)</f>
        <v>41500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906033.58</v>
      </c>
      <c r="G291" s="39">
        <f t="shared" si="13"/>
        <v>329890.91000000003</v>
      </c>
      <c r="H291" s="39">
        <f t="shared" si="13"/>
        <v>367665.43</v>
      </c>
      <c r="I291" s="39">
        <f t="shared" si="13"/>
        <v>156788.45000000001</v>
      </c>
      <c r="J291" s="39">
        <f t="shared" si="13"/>
        <v>266017.31</v>
      </c>
      <c r="K291" s="39">
        <f t="shared" si="13"/>
        <v>0</v>
      </c>
      <c r="L291" s="38">
        <f t="shared" si="13"/>
        <v>2026395.68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v>21158.43</v>
      </c>
      <c r="J296" s="18">
        <v>72349.8</v>
      </c>
      <c r="K296" s="18"/>
      <c r="L296" s="13">
        <f>SUM(F296:K296)</f>
        <v>93508.23000000001</v>
      </c>
      <c r="M296" s="8"/>
      <c r="N296" s="164"/>
    </row>
    <row r="297" spans="1:14" s="3" customFormat="1" ht="12.2" customHeight="1" x14ac:dyDescent="0.15">
      <c r="A297" s="1" t="s">
        <v>439</v>
      </c>
      <c r="B297" s="2" t="s">
        <v>358</v>
      </c>
      <c r="C297" s="2" t="s">
        <v>291</v>
      </c>
      <c r="D297" s="2" t="s">
        <v>431</v>
      </c>
      <c r="E297" s="6">
        <v>1200</v>
      </c>
      <c r="F297" s="18"/>
      <c r="G297" s="18"/>
      <c r="H297" s="18"/>
      <c r="I297" s="18">
        <v>4146.28</v>
      </c>
      <c r="J297" s="18">
        <v>4449.72</v>
      </c>
      <c r="K297" s="18"/>
      <c r="L297" s="13">
        <f>SUM(F297:K297)</f>
        <v>8596</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v>36477.599999999999</v>
      </c>
      <c r="I301" s="18"/>
      <c r="J301" s="18"/>
      <c r="K301" s="18"/>
      <c r="L301" s="13">
        <f t="shared" ref="L301:L307" si="14">SUM(F301:K301)</f>
        <v>36477.599999999999</v>
      </c>
      <c r="M301" s="8"/>
      <c r="N301" s="164"/>
    </row>
    <row r="302" spans="1:14" s="3" customFormat="1" ht="12.2" customHeight="1" x14ac:dyDescent="0.15">
      <c r="A302" s="1" t="s">
        <v>443</v>
      </c>
      <c r="B302" s="2" t="s">
        <v>358</v>
      </c>
      <c r="C302" s="2" t="s">
        <v>295</v>
      </c>
      <c r="D302" s="2" t="s">
        <v>431</v>
      </c>
      <c r="E302" s="6">
        <v>2200</v>
      </c>
      <c r="F302" s="18">
        <f>16302.76+3513.2</f>
        <v>19815.96</v>
      </c>
      <c r="G302" s="18">
        <f>17444.92+918.88</f>
        <v>18363.8</v>
      </c>
      <c r="H302" s="18">
        <f>23399.6+21683.74</f>
        <v>45083.34</v>
      </c>
      <c r="I302" s="18">
        <v>27712.84</v>
      </c>
      <c r="J302" s="18">
        <v>0</v>
      </c>
      <c r="K302" s="18"/>
      <c r="L302" s="13">
        <f t="shared" si="14"/>
        <v>110975.93999999999</v>
      </c>
      <c r="M302" s="8"/>
      <c r="N302" s="164"/>
    </row>
    <row r="303" spans="1:14" s="3" customFormat="1" ht="12.2" customHeight="1" x14ac:dyDescent="0.15">
      <c r="A303" s="1" t="s">
        <v>444</v>
      </c>
      <c r="B303" s="2" t="s">
        <v>358</v>
      </c>
      <c r="C303" s="2" t="s">
        <v>296</v>
      </c>
      <c r="D303" s="2" t="s">
        <v>431</v>
      </c>
      <c r="E303" s="6">
        <v>2300</v>
      </c>
      <c r="F303" s="18">
        <v>481.76</v>
      </c>
      <c r="G303" s="18">
        <v>102.04</v>
      </c>
      <c r="H303" s="18"/>
      <c r="I303" s="18"/>
      <c r="J303" s="18"/>
      <c r="K303" s="18"/>
      <c r="L303" s="13">
        <f t="shared" si="14"/>
        <v>583.79999999999995</v>
      </c>
      <c r="M303" s="8"/>
      <c r="N303" s="164"/>
    </row>
    <row r="304" spans="1:14" s="3" customFormat="1" ht="12.2" customHeight="1" x14ac:dyDescent="0.15">
      <c r="A304" s="1" t="s">
        <v>445</v>
      </c>
      <c r="B304" s="2" t="s">
        <v>358</v>
      </c>
      <c r="C304" s="2" t="s">
        <v>297</v>
      </c>
      <c r="D304" s="2" t="s">
        <v>431</v>
      </c>
      <c r="E304" s="6">
        <v>2400</v>
      </c>
      <c r="F304" s="18"/>
      <c r="G304" s="18"/>
      <c r="H304" s="18"/>
      <c r="I304" s="18">
        <v>446.93</v>
      </c>
      <c r="J304" s="18"/>
      <c r="K304" s="18"/>
      <c r="L304" s="13">
        <f t="shared" si="14"/>
        <v>446.93</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f>17995.05</f>
        <v>17995.05</v>
      </c>
      <c r="I306" s="18"/>
      <c r="J306" s="18">
        <f>75000+31071.38</f>
        <v>106071.38</v>
      </c>
      <c r="K306" s="18"/>
      <c r="L306" s="13">
        <f t="shared" si="14"/>
        <v>124066.43000000001</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20297.719999999998</v>
      </c>
      <c r="G310" s="39">
        <f t="shared" si="15"/>
        <v>18465.84</v>
      </c>
      <c r="H310" s="39">
        <f t="shared" si="15"/>
        <v>99555.99</v>
      </c>
      <c r="I310" s="39">
        <f t="shared" si="15"/>
        <v>53464.480000000003</v>
      </c>
      <c r="J310" s="39">
        <f t="shared" si="15"/>
        <v>182870.90000000002</v>
      </c>
      <c r="K310" s="39">
        <f t="shared" si="15"/>
        <v>0</v>
      </c>
      <c r="L310" s="38">
        <f t="shared" si="15"/>
        <v>374654.93</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53398.16</v>
      </c>
      <c r="G315" s="18">
        <v>29899.94</v>
      </c>
      <c r="H315" s="18">
        <v>0</v>
      </c>
      <c r="I315" s="18">
        <v>57408.28</v>
      </c>
      <c r="J315" s="18">
        <v>196303.63</v>
      </c>
      <c r="K315" s="18"/>
      <c r="L315" s="13">
        <f>SUM(F315:K315)</f>
        <v>337010.01</v>
      </c>
      <c r="M315" s="8"/>
      <c r="N315" s="164"/>
    </row>
    <row r="316" spans="1:14" s="3" customFormat="1" ht="12.2" customHeight="1" x14ac:dyDescent="0.15">
      <c r="A316" s="1" t="s">
        <v>439</v>
      </c>
      <c r="B316" s="2" t="s">
        <v>359</v>
      </c>
      <c r="C316" s="2" t="s">
        <v>291</v>
      </c>
      <c r="D316" s="2" t="s">
        <v>431</v>
      </c>
      <c r="E316" s="6">
        <v>1200</v>
      </c>
      <c r="F316" s="18"/>
      <c r="G316" s="18"/>
      <c r="H316" s="18"/>
      <c r="I316" s="18">
        <v>11249.92</v>
      </c>
      <c r="J316" s="18">
        <v>12051.55</v>
      </c>
      <c r="K316" s="18"/>
      <c r="L316" s="13">
        <f>SUM(F316:K316)</f>
        <v>23301.47</v>
      </c>
      <c r="M316" s="8"/>
      <c r="N316" s="164"/>
    </row>
    <row r="317" spans="1:14" s="3" customFormat="1" ht="12.2" customHeight="1" x14ac:dyDescent="0.15">
      <c r="A317" s="1" t="s">
        <v>440</v>
      </c>
      <c r="B317" s="2" t="s">
        <v>359</v>
      </c>
      <c r="C317" s="2" t="s">
        <v>292</v>
      </c>
      <c r="D317" s="2" t="s">
        <v>431</v>
      </c>
      <c r="E317" s="6">
        <v>1300</v>
      </c>
      <c r="F317" s="18">
        <v>43709</v>
      </c>
      <c r="G317" s="18">
        <v>9879.0300000000007</v>
      </c>
      <c r="H317" s="18">
        <v>38248.080000000002</v>
      </c>
      <c r="I317" s="18">
        <v>9134.7800000000007</v>
      </c>
      <c r="J317" s="18">
        <v>21269.01</v>
      </c>
      <c r="K317" s="18"/>
      <c r="L317" s="13">
        <f>SUM(F317:K317)</f>
        <v>122239.9</v>
      </c>
      <c r="M317" s="8"/>
      <c r="N317" s="164"/>
    </row>
    <row r="318" spans="1:14" s="3" customFormat="1" ht="12.2" customHeight="1" x14ac:dyDescent="0.15">
      <c r="A318" s="1" t="s">
        <v>441</v>
      </c>
      <c r="B318" s="2" t="s">
        <v>359</v>
      </c>
      <c r="C318" s="2" t="s">
        <v>293</v>
      </c>
      <c r="D318" s="2" t="s">
        <v>431</v>
      </c>
      <c r="E318" s="6">
        <v>1400</v>
      </c>
      <c r="F318" s="18">
        <v>10890</v>
      </c>
      <c r="G318" s="18">
        <v>3542.22</v>
      </c>
      <c r="H318" s="18">
        <v>0</v>
      </c>
      <c r="I318" s="18">
        <v>0</v>
      </c>
      <c r="J318" s="18">
        <v>0</v>
      </c>
      <c r="K318" s="18"/>
      <c r="L318" s="13">
        <f>SUM(F318:K318)</f>
        <v>14432.22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23400+47718.48</f>
        <v>71118.48000000001</v>
      </c>
      <c r="G320" s="18">
        <f>40975.81+9396.48</f>
        <v>50372.289999999994</v>
      </c>
      <c r="H320" s="18">
        <v>67894.399999999994</v>
      </c>
      <c r="I320" s="18">
        <v>0</v>
      </c>
      <c r="J320" s="18">
        <v>0</v>
      </c>
      <c r="K320" s="18"/>
      <c r="L320" s="13">
        <f t="shared" ref="L320:L326" si="16">SUM(F320:K320)</f>
        <v>189385.16999999998</v>
      </c>
      <c r="M320" s="8"/>
      <c r="N320" s="164"/>
    </row>
    <row r="321" spans="1:14" s="3" customFormat="1" ht="12.2" customHeight="1" x14ac:dyDescent="0.15">
      <c r="A321" s="1" t="s">
        <v>443</v>
      </c>
      <c r="B321" s="2" t="s">
        <v>359</v>
      </c>
      <c r="C321" s="2" t="s">
        <v>295</v>
      </c>
      <c r="D321" s="2" t="s">
        <v>431</v>
      </c>
      <c r="E321" s="6">
        <v>2200</v>
      </c>
      <c r="F321" s="18">
        <f>44233.58+9532.22</f>
        <v>53765.8</v>
      </c>
      <c r="G321" s="18">
        <f>48146.53+2493.16</f>
        <v>50639.69</v>
      </c>
      <c r="H321" s="18">
        <f>58833.56</f>
        <v>58833.56</v>
      </c>
      <c r="I321" s="18">
        <v>75192.05</v>
      </c>
      <c r="J321" s="18">
        <v>0</v>
      </c>
      <c r="K321" s="18"/>
      <c r="L321" s="13">
        <f t="shared" si="16"/>
        <v>238431.09999999998</v>
      </c>
      <c r="M321" s="8"/>
      <c r="N321" s="164"/>
    </row>
    <row r="322" spans="1:14" s="3" customFormat="1" ht="12.2" customHeight="1" x14ac:dyDescent="0.15">
      <c r="A322" s="1" t="s">
        <v>444</v>
      </c>
      <c r="B322" s="2" t="s">
        <v>359</v>
      </c>
      <c r="C322" s="2" t="s">
        <v>296</v>
      </c>
      <c r="D322" s="2" t="s">
        <v>431</v>
      </c>
      <c r="E322" s="6">
        <v>2300</v>
      </c>
      <c r="F322" s="18">
        <v>1607.15</v>
      </c>
      <c r="G322" s="18">
        <v>354.66</v>
      </c>
      <c r="H322" s="18">
        <v>10722.86</v>
      </c>
      <c r="I322" s="18">
        <v>2931</v>
      </c>
      <c r="J322" s="18">
        <v>2099</v>
      </c>
      <c r="K322" s="18">
        <v>3294.66</v>
      </c>
      <c r="L322" s="13">
        <f t="shared" si="16"/>
        <v>21009.329999999998</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48825.2</v>
      </c>
      <c r="I325" s="18"/>
      <c r="J325" s="18">
        <f>84304.65</f>
        <v>84304.65</v>
      </c>
      <c r="K325" s="18"/>
      <c r="L325" s="13">
        <f t="shared" si="16"/>
        <v>133129.84999999998</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234488.59</v>
      </c>
      <c r="G329" s="39">
        <f t="shared" si="17"/>
        <v>144687.82999999999</v>
      </c>
      <c r="H329" s="39">
        <f t="shared" si="17"/>
        <v>224524.09999999998</v>
      </c>
      <c r="I329" s="39">
        <f t="shared" si="17"/>
        <v>155916.03</v>
      </c>
      <c r="J329" s="39">
        <f t="shared" si="17"/>
        <v>316027.83999999997</v>
      </c>
      <c r="K329" s="39">
        <f t="shared" si="17"/>
        <v>3294.66</v>
      </c>
      <c r="L329" s="38">
        <f t="shared" si="17"/>
        <v>1078939.0499999998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1160819.8899999999</v>
      </c>
      <c r="G339" s="38">
        <f t="shared" si="20"/>
        <v>493044.58000000007</v>
      </c>
      <c r="H339" s="38">
        <f t="shared" si="20"/>
        <v>691745.52</v>
      </c>
      <c r="I339" s="38">
        <f t="shared" si="20"/>
        <v>366168.96</v>
      </c>
      <c r="J339" s="38">
        <f t="shared" si="20"/>
        <v>764916.05</v>
      </c>
      <c r="K339" s="38">
        <f t="shared" si="20"/>
        <v>3294.66</v>
      </c>
      <c r="L339" s="38">
        <f t="shared" si="20"/>
        <v>3479989.6599999997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1160819.8899999999</v>
      </c>
      <c r="G353" s="38">
        <f>G339</f>
        <v>493044.58000000007</v>
      </c>
      <c r="H353" s="38">
        <f>H339</f>
        <v>691745.52</v>
      </c>
      <c r="I353" s="38">
        <f>I339</f>
        <v>366168.96</v>
      </c>
      <c r="J353" s="38">
        <f>J339</f>
        <v>764916.05</v>
      </c>
      <c r="K353" s="38">
        <f>K339+K352</f>
        <v>3294.66</v>
      </c>
      <c r="L353" s="38">
        <f>L339+L352</f>
        <v>3479989.6599999997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1091.56</v>
      </c>
      <c r="G359" s="18">
        <v>83.51</v>
      </c>
      <c r="H359" s="18">
        <v>290874.05</v>
      </c>
      <c r="I359" s="18">
        <v>314.76</v>
      </c>
      <c r="J359" s="18"/>
      <c r="K359" s="18"/>
      <c r="L359" s="13">
        <f>SUM(F359:K359)</f>
        <v>292363.88</v>
      </c>
      <c r="M359" s="8"/>
      <c r="N359" s="164"/>
    </row>
    <row r="360" spans="1:22" s="3" customFormat="1" ht="12.2" customHeight="1" x14ac:dyDescent="0.15">
      <c r="A360" s="1" t="s">
        <v>542</v>
      </c>
      <c r="B360" s="2" t="s">
        <v>366</v>
      </c>
      <c r="C360" s="6">
        <v>2</v>
      </c>
      <c r="D360" s="2" t="s">
        <v>431</v>
      </c>
      <c r="E360" s="6"/>
      <c r="F360" s="18">
        <v>477.6</v>
      </c>
      <c r="G360" s="18">
        <v>36.54</v>
      </c>
      <c r="H360" s="18">
        <v>127266.94</v>
      </c>
      <c r="I360" s="18">
        <v>137.72</v>
      </c>
      <c r="J360" s="18"/>
      <c r="K360" s="18"/>
      <c r="L360" s="13">
        <f>SUM(F360:K360)</f>
        <v>127918.8</v>
      </c>
      <c r="M360" s="8"/>
      <c r="N360" s="164"/>
    </row>
    <row r="361" spans="1:22" s="3" customFormat="1" ht="12.2" customHeight="1" x14ac:dyDescent="0.15">
      <c r="A361" s="3" t="s">
        <v>543</v>
      </c>
      <c r="B361" s="2" t="s">
        <v>366</v>
      </c>
      <c r="C361" s="6">
        <v>3</v>
      </c>
      <c r="D361" s="2" t="s">
        <v>431</v>
      </c>
      <c r="E361" s="6"/>
      <c r="F361" s="18">
        <v>1295.8399999999999</v>
      </c>
      <c r="G361" s="18">
        <v>99.15</v>
      </c>
      <c r="H361" s="18">
        <v>345307.95</v>
      </c>
      <c r="I361" s="18">
        <v>373.67</v>
      </c>
      <c r="J361" s="18"/>
      <c r="K361" s="18"/>
      <c r="L361" s="13">
        <f>SUM(F361:K361)</f>
        <v>347076.61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2865</v>
      </c>
      <c r="G363" s="38">
        <f t="shared" si="22"/>
        <v>219.20000000000002</v>
      </c>
      <c r="H363" s="38">
        <f t="shared" si="22"/>
        <v>763448.94</v>
      </c>
      <c r="I363" s="38">
        <f t="shared" si="22"/>
        <v>826.15000000000009</v>
      </c>
      <c r="J363" s="38">
        <f t="shared" si="22"/>
        <v>0</v>
      </c>
      <c r="K363" s="38">
        <f t="shared" si="22"/>
        <v>0</v>
      </c>
      <c r="L363" s="38">
        <f t="shared" si="22"/>
        <v>767359.29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314.76</v>
      </c>
      <c r="G369" s="53">
        <v>137.72</v>
      </c>
      <c r="H369" s="53">
        <v>373.67</v>
      </c>
      <c r="I369" s="13">
        <f>SUM(F369:H369)</f>
        <v>826.15000000000009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314.76</v>
      </c>
      <c r="G370" s="38">
        <f>SUM(G368:G369)</f>
        <v>137.72</v>
      </c>
      <c r="H370" s="38">
        <f>SUM(H368:H369)</f>
        <v>373.67</v>
      </c>
      <c r="I370" s="38">
        <f>SUM(I368:I369)</f>
        <v>826.15000000000009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v>250000</v>
      </c>
      <c r="H391" s="18">
        <v>13700.2</v>
      </c>
      <c r="I391" s="18"/>
      <c r="J391" s="23" t="s">
        <v>288</v>
      </c>
      <c r="K391" s="23" t="s">
        <v>288</v>
      </c>
      <c r="L391" s="13">
        <f t="shared" si="25"/>
        <v>263700.2</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f>500.15+544.84</f>
        <v>1044.99</v>
      </c>
      <c r="I393" s="18"/>
      <c r="J393" s="23" t="s">
        <v>288</v>
      </c>
      <c r="K393" s="23" t="s">
        <v>288</v>
      </c>
      <c r="L393" s="13">
        <f t="shared" si="25"/>
        <v>1044.99</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250000</v>
      </c>
      <c r="H394" s="97">
        <f>SUM(H388:H393)</f>
        <v>14745.19</v>
      </c>
      <c r="I394" s="54">
        <f>SUM(I388:I393)</f>
        <v>0</v>
      </c>
      <c r="J394" s="42" t="s">
        <v>288</v>
      </c>
      <c r="K394" s="42" t="s">
        <v>288</v>
      </c>
      <c r="L394" s="38">
        <f>SUM(L388:L393)</f>
        <v>264745.19</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f>531429-250000</f>
        <v>281429</v>
      </c>
      <c r="H397" s="18">
        <f>13478.35+22295.2+8177.7+4537.81</f>
        <v>48489.06</v>
      </c>
      <c r="I397" s="18"/>
      <c r="J397" s="23" t="s">
        <v>288</v>
      </c>
      <c r="K397" s="23" t="s">
        <v>288</v>
      </c>
      <c r="L397" s="13">
        <f t="shared" si="26"/>
        <v>329918.06</v>
      </c>
      <c r="M397" s="8"/>
      <c r="N397" s="164"/>
    </row>
    <row r="398" spans="1:14" s="3" customFormat="1" ht="12.2" customHeight="1" x14ac:dyDescent="0.15">
      <c r="A398" s="62" t="s">
        <v>515</v>
      </c>
      <c r="B398" s="2" t="s">
        <v>381</v>
      </c>
      <c r="C398" s="6">
        <v>10</v>
      </c>
      <c r="D398" s="2" t="s">
        <v>432</v>
      </c>
      <c r="E398" s="6"/>
      <c r="F398" s="18"/>
      <c r="G398" s="18"/>
      <c r="H398" s="18">
        <v>13628.7</v>
      </c>
      <c r="I398" s="18"/>
      <c r="J398" s="23" t="s">
        <v>288</v>
      </c>
      <c r="K398" s="23" t="s">
        <v>288</v>
      </c>
      <c r="L398" s="13">
        <f t="shared" si="26"/>
        <v>13628.7</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281429</v>
      </c>
      <c r="H402" s="38">
        <f>SUM(H396:H401)</f>
        <v>62117.759999999995</v>
      </c>
      <c r="I402" s="38">
        <f>SUM(I396:I401)</f>
        <v>0</v>
      </c>
      <c r="J402" s="42" t="s">
        <v>288</v>
      </c>
      <c r="K402" s="42" t="s">
        <v>288</v>
      </c>
      <c r="L402" s="38">
        <f>SUM(L396:L401)</f>
        <v>343546.76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t="s">
        <v>1852</v>
      </c>
      <c r="B404" s="2" t="s">
        <v>381</v>
      </c>
      <c r="C404" s="6">
        <v>15</v>
      </c>
      <c r="D404" s="2" t="s">
        <v>432</v>
      </c>
      <c r="E404" s="6"/>
      <c r="F404" s="18"/>
      <c r="G404" s="18"/>
      <c r="H404" s="18">
        <v>1101.1099999999999</v>
      </c>
      <c r="I404" s="18"/>
      <c r="J404" s="23" t="s">
        <v>288</v>
      </c>
      <c r="K404" s="23" t="s">
        <v>288</v>
      </c>
      <c r="L404" s="13">
        <f>SUM(F404:K404)</f>
        <v>1101.1099999999999</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1101.1099999999999</v>
      </c>
      <c r="I408" s="38">
        <f>SUM(I404:I407)</f>
        <v>0</v>
      </c>
      <c r="J408" s="45" t="s">
        <v>288</v>
      </c>
      <c r="K408" s="45" t="s">
        <v>288</v>
      </c>
      <c r="L408" s="38">
        <f>SUM(L404:L407)</f>
        <v>1101.1099999999999</v>
      </c>
      <c r="M408" s="8"/>
      <c r="N408" s="164"/>
    </row>
    <row r="409" spans="1:21" s="3" customFormat="1" ht="12.2" customHeight="1" thickTop="1" x14ac:dyDescent="0.15">
      <c r="A409" s="61" t="s">
        <v>421</v>
      </c>
      <c r="B409" s="2" t="s">
        <v>381</v>
      </c>
      <c r="C409" s="6">
        <v>20</v>
      </c>
      <c r="D409" s="6"/>
      <c r="E409" s="37"/>
      <c r="F409" s="38">
        <f>F394+F402+F408</f>
        <v>0</v>
      </c>
      <c r="G409" s="38">
        <f>G394+G402+G408</f>
        <v>531429</v>
      </c>
      <c r="H409" s="38">
        <f>H394+H402+H408</f>
        <v>77964.06</v>
      </c>
      <c r="I409" s="38">
        <f>I394+I402+I408</f>
        <v>0</v>
      </c>
      <c r="J409" s="23" t="s">
        <v>288</v>
      </c>
      <c r="K409" s="23" t="s">
        <v>288</v>
      </c>
      <c r="L409" s="38">
        <f>L394+L402+L408</f>
        <v>609393.05999999994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v>216210</v>
      </c>
      <c r="L417" s="13">
        <f t="shared" si="27"/>
        <v>216210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216210</v>
      </c>
      <c r="L420" s="38">
        <f t="shared" si="28"/>
        <v>216210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f>49349.94+86990+24115.4</f>
        <v>160455.34</v>
      </c>
      <c r="L423" s="13">
        <f t="shared" si="29"/>
        <v>160455.34</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160455.34</v>
      </c>
      <c r="L428" s="38">
        <f t="shared" si="30"/>
        <v>160455.34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376665.33999999997</v>
      </c>
      <c r="L435" s="38">
        <f t="shared" si="32"/>
        <v>376665.33999999997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502508.53+17646.06+16198.93</f>
        <v>536353.52</v>
      </c>
      <c r="G440" s="18">
        <f>441405.46+519305.53+723360.29+266176.66+151773.52</f>
        <v>2102021.46</v>
      </c>
      <c r="H440" s="18">
        <v>35662.699999999997</v>
      </c>
      <c r="I440" s="13">
        <f t="shared" ref="I440:I446" si="33">SUM(F440:H440)</f>
        <v>2674037.6800000002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536353.52</v>
      </c>
      <c r="G447" s="13">
        <f>SUM(G440:G446)</f>
        <v>2102021.46</v>
      </c>
      <c r="H447" s="13">
        <f>SUM(H440:H446)</f>
        <v>35662.699999999997</v>
      </c>
      <c r="I447" s="13">
        <f>SUM(I440:I446)</f>
        <v>2674037.6800000002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536353.52</v>
      </c>
      <c r="G460" s="18">
        <v>2102021.46</v>
      </c>
      <c r="H460" s="18">
        <v>35662.699999999997</v>
      </c>
      <c r="I460" s="13">
        <f t="shared" si="34"/>
        <v>2674037.6800000002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536353.52</v>
      </c>
      <c r="G461" s="65">
        <f>SUM(G455:G460)</f>
        <v>2102021.46</v>
      </c>
      <c r="H461" s="65">
        <f>SUM(H455:H460)</f>
        <v>35662.699999999997</v>
      </c>
      <c r="I461" s="65">
        <f>SUM(I455:I460)</f>
        <v>2674037.6800000002</v>
      </c>
      <c r="J461" s="23" t="s">
        <v>288</v>
      </c>
      <c r="K461" s="23" t="s">
        <v>288</v>
      </c>
      <c r="L461" s="23" t="s">
        <v>288</v>
      </c>
      <c r="N461" s="130"/>
    </row>
    <row r="462" spans="1:86" ht="12.2" customHeight="1" thickTop="1" x14ac:dyDescent="0.2">
      <c r="A462" s="40" t="s">
        <v>424</v>
      </c>
      <c r="B462" s="41">
        <v>18</v>
      </c>
      <c r="C462" s="64">
        <v>21</v>
      </c>
      <c r="D462" s="114" t="s">
        <v>432</v>
      </c>
      <c r="E462" s="64"/>
      <c r="F462" s="39">
        <f>F453+F461</f>
        <v>536353.52</v>
      </c>
      <c r="G462" s="39">
        <f>G453+G461</f>
        <v>2102021.46</v>
      </c>
      <c r="H462" s="39">
        <f>H453+H461</f>
        <v>35662.699999999997</v>
      </c>
      <c r="I462" s="39">
        <f>I453+I461</f>
        <v>2674037.6800000002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3479841.1</v>
      </c>
      <c r="G466" s="18">
        <v>51957.97</v>
      </c>
      <c r="H466" s="18">
        <v>502439.75</v>
      </c>
      <c r="I466" s="18"/>
      <c r="J466" s="18">
        <v>2441309.96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35974183.619999997</v>
      </c>
      <c r="G469" s="18">
        <v>767359.29</v>
      </c>
      <c r="H469" s="18">
        <v>3448084.74</v>
      </c>
      <c r="I469" s="18"/>
      <c r="J469" s="18">
        <f>77964.06+531429</f>
        <v>609393.06000000006</v>
      </c>
      <c r="K469" s="23" t="s">
        <v>288</v>
      </c>
      <c r="L469" s="23" t="s">
        <v>288</v>
      </c>
      <c r="N469" s="130"/>
    </row>
    <row r="470" spans="1:14" ht="12.2" customHeight="1" x14ac:dyDescent="0.2">
      <c r="A470" s="71" t="s">
        <v>611</v>
      </c>
      <c r="B470" s="22">
        <v>19</v>
      </c>
      <c r="C470" s="31">
        <v>3</v>
      </c>
      <c r="D470" s="2" t="s">
        <v>432</v>
      </c>
      <c r="E470" s="31"/>
      <c r="F470" s="18"/>
      <c r="G470" s="18"/>
      <c r="H470" s="18">
        <v>1492.5</v>
      </c>
      <c r="I470" s="18"/>
      <c r="J470" s="18"/>
      <c r="K470" s="23" t="s">
        <v>288</v>
      </c>
      <c r="L470" s="23" t="s">
        <v>288</v>
      </c>
      <c r="N470" s="130"/>
    </row>
    <row r="471" spans="1:14" ht="12.2" customHeight="1" x14ac:dyDescent="0.2">
      <c r="A471" s="32" t="s">
        <v>425</v>
      </c>
      <c r="B471" s="22">
        <v>19</v>
      </c>
      <c r="C471" s="31">
        <v>4</v>
      </c>
      <c r="D471" s="2" t="s">
        <v>432</v>
      </c>
      <c r="E471" s="31"/>
      <c r="F471" s="19">
        <f>SUM(F469:F470)</f>
        <v>35974183.619999997</v>
      </c>
      <c r="G471" s="19">
        <f>SUM(G469:G470)</f>
        <v>767359.29</v>
      </c>
      <c r="H471" s="19">
        <f>SUM(H469:H470)</f>
        <v>3449577.24</v>
      </c>
      <c r="I471" s="19">
        <f>SUM(I469:I470)</f>
        <v>0</v>
      </c>
      <c r="J471" s="19">
        <f>SUM(J469:J470)</f>
        <v>609393.06000000006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36786770.060000002</v>
      </c>
      <c r="G473" s="18">
        <v>767359.29</v>
      </c>
      <c r="H473" s="18">
        <v>3479989.66</v>
      </c>
      <c r="I473" s="18"/>
      <c r="J473" s="18">
        <v>376665.34</v>
      </c>
      <c r="K473" s="23" t="s">
        <v>288</v>
      </c>
      <c r="L473" s="23" t="s">
        <v>288</v>
      </c>
      <c r="N473" s="130"/>
    </row>
    <row r="474" spans="1:14" ht="12.2" customHeight="1" x14ac:dyDescent="0.2">
      <c r="A474" s="71" t="s">
        <v>613</v>
      </c>
      <c r="B474" s="22">
        <v>19</v>
      </c>
      <c r="C474" s="31">
        <v>6</v>
      </c>
      <c r="D474" s="2" t="s">
        <v>432</v>
      </c>
      <c r="E474" s="31"/>
      <c r="F474" s="18">
        <v>17000</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36803770.060000002</v>
      </c>
      <c r="G475" s="19">
        <f>SUM(G473:G474)</f>
        <v>767359.29</v>
      </c>
      <c r="H475" s="19">
        <f>SUM(H473:H474)</f>
        <v>3479989.66</v>
      </c>
      <c r="I475" s="19">
        <f>SUM(I473:I474)</f>
        <v>0</v>
      </c>
      <c r="J475" s="19">
        <f>SUM(J473:J474)</f>
        <v>376665.34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2650254.6599999964</v>
      </c>
      <c r="G477" s="19">
        <f>(G466+G471)- G475</f>
        <v>51957.969999999972</v>
      </c>
      <c r="H477" s="19">
        <f>(H466+H471)- H475</f>
        <v>472027.33000000007</v>
      </c>
      <c r="I477" s="19">
        <f>(I466+I471)- I475</f>
        <v>0</v>
      </c>
      <c r="J477" s="19">
        <f>(J466+J471)- J475</f>
        <v>2674037.6800000002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v>20</v>
      </c>
      <c r="I491" s="111">
        <v>20</v>
      </c>
      <c r="J491" s="111"/>
      <c r="K491" s="23" t="s">
        <v>288</v>
      </c>
      <c r="L491" s="23" t="s">
        <v>288</v>
      </c>
      <c r="N491" s="130"/>
    </row>
    <row r="492" spans="1:14" ht="12.2" customHeight="1" x14ac:dyDescent="0.2">
      <c r="A492" s="21" t="s">
        <v>615</v>
      </c>
      <c r="B492" s="22">
        <v>20</v>
      </c>
      <c r="C492" s="22">
        <v>2</v>
      </c>
      <c r="D492" s="2" t="s">
        <v>432</v>
      </c>
      <c r="E492" s="22"/>
      <c r="F492" s="112" t="s">
        <v>1844</v>
      </c>
      <c r="G492" s="112" t="s">
        <v>1846</v>
      </c>
      <c r="H492" s="318" t="s">
        <v>1848</v>
      </c>
      <c r="I492" s="318" t="s">
        <v>1849</v>
      </c>
      <c r="J492" s="111"/>
      <c r="K492" s="23" t="s">
        <v>288</v>
      </c>
      <c r="L492" s="23" t="s">
        <v>288</v>
      </c>
      <c r="N492" s="130"/>
    </row>
    <row r="493" spans="1:14" ht="12.2" customHeight="1" x14ac:dyDescent="0.2">
      <c r="A493" s="21" t="s">
        <v>616</v>
      </c>
      <c r="B493" s="22">
        <v>20</v>
      </c>
      <c r="C493" s="22">
        <v>3</v>
      </c>
      <c r="D493" s="2" t="s">
        <v>432</v>
      </c>
      <c r="E493" s="22"/>
      <c r="F493" s="112" t="s">
        <v>1845</v>
      </c>
      <c r="G493" s="112" t="s">
        <v>1847</v>
      </c>
      <c r="H493" s="318" t="s">
        <v>1850</v>
      </c>
      <c r="I493" s="318" t="s">
        <v>1851</v>
      </c>
      <c r="J493" s="111"/>
      <c r="K493" s="23" t="s">
        <v>288</v>
      </c>
      <c r="L493" s="23" t="s">
        <v>288</v>
      </c>
      <c r="N493" s="130"/>
    </row>
    <row r="494" spans="1:14" ht="12.2" customHeight="1" x14ac:dyDescent="0.2">
      <c r="A494" s="21" t="s">
        <v>617</v>
      </c>
      <c r="B494" s="22">
        <v>20</v>
      </c>
      <c r="C494" s="22">
        <v>4</v>
      </c>
      <c r="D494" s="2" t="s">
        <v>432</v>
      </c>
      <c r="E494" s="22"/>
      <c r="F494" s="18">
        <v>42120000</v>
      </c>
      <c r="G494" s="18">
        <v>1837700</v>
      </c>
      <c r="H494" s="18">
        <v>1871000</v>
      </c>
      <c r="I494" s="18">
        <v>1122900</v>
      </c>
      <c r="J494" s="18"/>
      <c r="K494" s="23" t="s">
        <v>288</v>
      </c>
      <c r="L494" s="23" t="s">
        <v>288</v>
      </c>
      <c r="N494" s="130"/>
    </row>
    <row r="495" spans="1:14" ht="12.2" customHeight="1" x14ac:dyDescent="0.2">
      <c r="A495" s="21" t="s">
        <v>618</v>
      </c>
      <c r="B495" s="22">
        <v>20</v>
      </c>
      <c r="C495" s="22">
        <v>5</v>
      </c>
      <c r="D495" s="2" t="s">
        <v>432</v>
      </c>
      <c r="E495" s="22"/>
      <c r="F495" s="18">
        <v>4</v>
      </c>
      <c r="G495" s="18">
        <v>2.5</v>
      </c>
      <c r="H495" s="18">
        <v>2.86</v>
      </c>
      <c r="I495" s="18">
        <v>3.24</v>
      </c>
      <c r="J495" s="18"/>
      <c r="K495" s="23" t="s">
        <v>288</v>
      </c>
      <c r="L495" s="23" t="s">
        <v>288</v>
      </c>
      <c r="N495" s="130"/>
    </row>
    <row r="496" spans="1:14" ht="12.2" customHeight="1" x14ac:dyDescent="0.2">
      <c r="A496" s="21" t="s">
        <v>619</v>
      </c>
      <c r="B496" s="22">
        <v>20</v>
      </c>
      <c r="C496" s="22">
        <v>6</v>
      </c>
      <c r="D496" s="2" t="s">
        <v>432</v>
      </c>
      <c r="E496" s="22"/>
      <c r="F496" s="18">
        <v>1840000</v>
      </c>
      <c r="G496" s="18">
        <f>1370000-95000</f>
        <v>1275000</v>
      </c>
      <c r="H496" s="18">
        <v>1400000</v>
      </c>
      <c r="I496" s="18">
        <v>885000</v>
      </c>
      <c r="J496" s="18"/>
      <c r="K496" s="19">
        <f>SUM(F496:J496)</f>
        <v>5400000</v>
      </c>
      <c r="L496" s="23" t="s">
        <v>288</v>
      </c>
      <c r="N496" s="130"/>
    </row>
    <row r="497" spans="1:14" ht="12.2"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0"/>
    </row>
    <row r="498" spans="1:14" ht="12.2" customHeight="1" x14ac:dyDescent="0.2">
      <c r="A498" s="21" t="s">
        <v>621</v>
      </c>
      <c r="B498" s="22">
        <v>20</v>
      </c>
      <c r="C498" s="22">
        <v>8</v>
      </c>
      <c r="D498" s="2" t="s">
        <v>432</v>
      </c>
      <c r="E498" s="22"/>
      <c r="F498" s="18">
        <v>1840000</v>
      </c>
      <c r="G498" s="18">
        <v>95000</v>
      </c>
      <c r="H498" s="18">
        <v>95000</v>
      </c>
      <c r="I498" s="18">
        <v>60000</v>
      </c>
      <c r="J498" s="18"/>
      <c r="K498" s="19">
        <f t="shared" si="35"/>
        <v>2090000</v>
      </c>
      <c r="L498" s="23" t="s">
        <v>288</v>
      </c>
      <c r="N498" s="130"/>
    </row>
    <row r="499" spans="1:14" ht="12.2" customHeight="1" x14ac:dyDescent="0.2">
      <c r="A499" s="143" t="s">
        <v>622</v>
      </c>
      <c r="B499" s="144">
        <v>20</v>
      </c>
      <c r="C499" s="144">
        <v>9</v>
      </c>
      <c r="D499" s="145" t="s">
        <v>432</v>
      </c>
      <c r="E499" s="144"/>
      <c r="F499" s="146">
        <v>0</v>
      </c>
      <c r="G499" s="146">
        <v>1180000</v>
      </c>
      <c r="H499" s="146">
        <f>1400000-95000</f>
        <v>1305000</v>
      </c>
      <c r="I499" s="146">
        <v>825000</v>
      </c>
      <c r="J499" s="146"/>
      <c r="K499" s="147">
        <f t="shared" si="35"/>
        <v>3310000</v>
      </c>
      <c r="L499" s="148" t="s">
        <v>288</v>
      </c>
      <c r="N499" s="130"/>
    </row>
    <row r="500" spans="1:14" ht="12.2" customHeight="1" thickBot="1" x14ac:dyDescent="0.25">
      <c r="A500" s="21" t="s">
        <v>623</v>
      </c>
      <c r="B500" s="22">
        <v>20</v>
      </c>
      <c r="C500" s="22">
        <v>10</v>
      </c>
      <c r="D500" s="2" t="s">
        <v>432</v>
      </c>
      <c r="E500" s="22"/>
      <c r="F500" s="18">
        <v>0</v>
      </c>
      <c r="G500" s="18">
        <v>238956.75</v>
      </c>
      <c r="H500" s="18">
        <v>330047.5</v>
      </c>
      <c r="I500" s="18">
        <v>232890.76</v>
      </c>
      <c r="J500" s="18"/>
      <c r="K500" s="19">
        <f t="shared" si="35"/>
        <v>801895.01</v>
      </c>
      <c r="L500" s="23" t="s">
        <v>288</v>
      </c>
      <c r="N500" s="130"/>
    </row>
    <row r="501" spans="1:14" ht="12.2" customHeight="1" thickTop="1" x14ac:dyDescent="0.2">
      <c r="A501" s="97" t="s">
        <v>624</v>
      </c>
      <c r="B501" s="41">
        <v>20</v>
      </c>
      <c r="C501" s="41">
        <v>11</v>
      </c>
      <c r="D501" s="36" t="s">
        <v>432</v>
      </c>
      <c r="E501" s="41"/>
      <c r="F501" s="39">
        <f>SUM(F499:F500)</f>
        <v>0</v>
      </c>
      <c r="G501" s="39">
        <f>SUM(G499:G500)</f>
        <v>1418956.75</v>
      </c>
      <c r="H501" s="39">
        <f>SUM(H499:H500)</f>
        <v>1635047.5</v>
      </c>
      <c r="I501" s="39">
        <f>SUM(I499:I500)</f>
        <v>1057890.76</v>
      </c>
      <c r="J501" s="39">
        <f>SUM(J499:J500)</f>
        <v>0</v>
      </c>
      <c r="K501" s="39">
        <f t="shared" si="35"/>
        <v>4111895.01</v>
      </c>
      <c r="L501" s="42" t="s">
        <v>288</v>
      </c>
      <c r="N501" s="130"/>
    </row>
    <row r="502" spans="1:14" ht="12.2" customHeight="1" x14ac:dyDescent="0.2">
      <c r="A502" s="143" t="s">
        <v>651</v>
      </c>
      <c r="B502" s="144">
        <v>20</v>
      </c>
      <c r="C502" s="144">
        <v>12</v>
      </c>
      <c r="D502" s="145" t="s">
        <v>432</v>
      </c>
      <c r="E502" s="144"/>
      <c r="F502" s="146">
        <v>0</v>
      </c>
      <c r="G502" s="146">
        <v>95000</v>
      </c>
      <c r="H502" s="146">
        <v>95000</v>
      </c>
      <c r="I502" s="146">
        <v>55000</v>
      </c>
      <c r="J502" s="146"/>
      <c r="K502" s="147">
        <f t="shared" si="35"/>
        <v>245000</v>
      </c>
      <c r="L502" s="148" t="s">
        <v>288</v>
      </c>
      <c r="N502" s="130"/>
    </row>
    <row r="503" spans="1:14" ht="12.2" customHeight="1" thickBot="1" x14ac:dyDescent="0.25">
      <c r="A503" s="21" t="s">
        <v>625</v>
      </c>
      <c r="B503" s="22">
        <v>20</v>
      </c>
      <c r="C503" s="22">
        <v>13</v>
      </c>
      <c r="D503" s="2" t="s">
        <v>432</v>
      </c>
      <c r="E503" s="22"/>
      <c r="F503" s="18">
        <v>0</v>
      </c>
      <c r="G503" s="18">
        <f>19749.25+17839.75</f>
        <v>37589</v>
      </c>
      <c r="H503" s="18">
        <f>26877.5+24455</f>
        <v>51332.5</v>
      </c>
      <c r="I503" s="18">
        <f>16946.88+15544.38</f>
        <v>32491.260000000002</v>
      </c>
      <c r="J503" s="18"/>
      <c r="K503" s="19">
        <f t="shared" si="35"/>
        <v>121412.76000000001</v>
      </c>
      <c r="L503" s="23" t="s">
        <v>288</v>
      </c>
      <c r="N503" s="130"/>
    </row>
    <row r="504" spans="1:14" ht="12.2" customHeight="1" thickTop="1" x14ac:dyDescent="0.2">
      <c r="A504" s="97" t="s">
        <v>626</v>
      </c>
      <c r="B504" s="41">
        <v>20</v>
      </c>
      <c r="C504" s="41">
        <v>14</v>
      </c>
      <c r="D504" s="36" t="s">
        <v>432</v>
      </c>
      <c r="E504" s="41"/>
      <c r="F504" s="39">
        <f>SUM(F502:F503)</f>
        <v>0</v>
      </c>
      <c r="G504" s="39">
        <f>SUM(G502:G503)</f>
        <v>132589</v>
      </c>
      <c r="H504" s="39">
        <f>SUM(H502:H503)</f>
        <v>146332.5</v>
      </c>
      <c r="I504" s="39">
        <f>SUM(I502:I503)</f>
        <v>87491.260000000009</v>
      </c>
      <c r="J504" s="39">
        <f>SUM(J502:J503)</f>
        <v>0</v>
      </c>
      <c r="K504" s="39">
        <f t="shared" si="35"/>
        <v>366412.76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1392387.13+73173.73</f>
        <v>1465560.8599999999</v>
      </c>
      <c r="G522" s="18">
        <f>897191.06+27691.68</f>
        <v>924882.74000000011</v>
      </c>
      <c r="H522" s="18">
        <f>430876.77+37077.29</f>
        <v>467954.06</v>
      </c>
      <c r="I522" s="18">
        <f>4222.27+9476.51</f>
        <v>13698.78</v>
      </c>
      <c r="J522" s="18">
        <f>10143.77</f>
        <v>10143.77</v>
      </c>
      <c r="K522" s="18"/>
      <c r="L522" s="69">
        <f>SUM(F522:K522)</f>
        <v>2882240.21</v>
      </c>
      <c r="N522" s="130"/>
    </row>
    <row r="523" spans="1:14" ht="12.2" customHeight="1" x14ac:dyDescent="0.2">
      <c r="A523" s="21" t="s">
        <v>634</v>
      </c>
      <c r="B523" s="22">
        <v>21</v>
      </c>
      <c r="C523" s="22">
        <v>2</v>
      </c>
      <c r="D523" s="2" t="s">
        <v>432</v>
      </c>
      <c r="E523" s="22"/>
      <c r="F523" s="18">
        <f>372433.37</f>
        <v>372433.37</v>
      </c>
      <c r="G523" s="18">
        <v>240646.72</v>
      </c>
      <c r="H523" s="18">
        <v>134.12</v>
      </c>
      <c r="I523" s="18">
        <f>6103.96+4146.28</f>
        <v>10250.24</v>
      </c>
      <c r="J523" s="18">
        <v>4449.72</v>
      </c>
      <c r="K523" s="18"/>
      <c r="L523" s="69">
        <f>SUM(F523:K523)</f>
        <v>627914.16999999993</v>
      </c>
      <c r="N523" s="130"/>
    </row>
    <row r="524" spans="1:14" ht="12.2" customHeight="1" thickBot="1" x14ac:dyDescent="0.25">
      <c r="A524" s="21" t="s">
        <v>635</v>
      </c>
      <c r="B524" s="22">
        <v>21</v>
      </c>
      <c r="C524" s="22">
        <v>3</v>
      </c>
      <c r="D524" s="2" t="s">
        <v>432</v>
      </c>
      <c r="E524" s="22"/>
      <c r="F524" s="18">
        <f>647580.57</f>
        <v>647580.56999999995</v>
      </c>
      <c r="G524" s="18">
        <v>375261.61</v>
      </c>
      <c r="H524" s="18">
        <f>215011.01</f>
        <v>215011.01</v>
      </c>
      <c r="I524" s="18">
        <f>7303.6+11249.92</f>
        <v>18553.52</v>
      </c>
      <c r="J524" s="18">
        <f>1492.09+12051.55</f>
        <v>13543.64</v>
      </c>
      <c r="K524" s="18"/>
      <c r="L524" s="69">
        <f>SUM(F524:K524)</f>
        <v>1269950.3499999999</v>
      </c>
      <c r="N524" s="130"/>
    </row>
    <row r="525" spans="1:14" ht="12.2" customHeight="1" thickTop="1" x14ac:dyDescent="0.2">
      <c r="A525" s="97" t="s">
        <v>63</v>
      </c>
      <c r="B525" s="41">
        <v>21</v>
      </c>
      <c r="C525" s="41">
        <v>4</v>
      </c>
      <c r="D525" s="115" t="s">
        <v>432</v>
      </c>
      <c r="E525" s="41"/>
      <c r="F525" s="81">
        <f>SUM(F522:F524)</f>
        <v>2485574.7999999998</v>
      </c>
      <c r="G525" s="81">
        <f t="shared" ref="G525:L525" si="36">SUM(G522:G524)</f>
        <v>1540791.0700000003</v>
      </c>
      <c r="H525" s="81">
        <f t="shared" si="36"/>
        <v>683099.19</v>
      </c>
      <c r="I525" s="81">
        <f t="shared" si="36"/>
        <v>42502.54</v>
      </c>
      <c r="J525" s="81">
        <f t="shared" si="36"/>
        <v>28137.13</v>
      </c>
      <c r="K525" s="81">
        <f t="shared" si="36"/>
        <v>0</v>
      </c>
      <c r="L525" s="70">
        <f t="shared" si="36"/>
        <v>4780104.7299999995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1072.2+41016.16+34373.4+52332.5</f>
        <v>128794.26000000001</v>
      </c>
      <c r="G527" s="18">
        <f>78.51+32944.78+12697.37+25514.95</f>
        <v>71235.61</v>
      </c>
      <c r="H527" s="18">
        <f>19367.29+241529.95+2095.79+68365.11+111.35+29518.75</f>
        <v>360988.24</v>
      </c>
      <c r="I527" s="18">
        <v>725.44</v>
      </c>
      <c r="J527" s="18">
        <v>0</v>
      </c>
      <c r="K527" s="18"/>
      <c r="L527" s="69">
        <f>SUM(F527:K527)</f>
        <v>561743.54999999993</v>
      </c>
      <c r="M527" s="8"/>
      <c r="N527" s="164"/>
    </row>
    <row r="528" spans="1:14" s="3" customFormat="1" ht="12.2" customHeight="1" x14ac:dyDescent="0.15">
      <c r="A528" s="21" t="s">
        <v>634</v>
      </c>
      <c r="B528" s="22">
        <v>21</v>
      </c>
      <c r="C528" s="22">
        <v>6</v>
      </c>
      <c r="D528" s="2" t="s">
        <v>432</v>
      </c>
      <c r="E528" s="22"/>
      <c r="F528" s="18">
        <f>28286.51+8593.35+31500</f>
        <v>68379.86</v>
      </c>
      <c r="G528" s="18">
        <f>12353.1+3174.34+8556.56</f>
        <v>24084</v>
      </c>
      <c r="H528" s="18">
        <f>2813+1967.5+272.86+36477.6</f>
        <v>41530.959999999999</v>
      </c>
      <c r="I528" s="18">
        <v>0</v>
      </c>
      <c r="J528" s="18">
        <v>0</v>
      </c>
      <c r="K528" s="18"/>
      <c r="L528" s="69">
        <f>SUM(F528:K528)</f>
        <v>133994.82</v>
      </c>
      <c r="M528" s="8"/>
      <c r="N528" s="164"/>
    </row>
    <row r="529" spans="1:14" s="3" customFormat="1" ht="12.2" customHeight="1" thickBot="1" x14ac:dyDescent="0.2">
      <c r="A529" s="21" t="s">
        <v>635</v>
      </c>
      <c r="B529" s="22">
        <v>21</v>
      </c>
      <c r="C529" s="22">
        <v>7</v>
      </c>
      <c r="D529" s="2" t="s">
        <v>432</v>
      </c>
      <c r="E529" s="22"/>
      <c r="F529" s="18">
        <f>43844.12+14222.25</f>
        <v>58066.37</v>
      </c>
      <c r="G529" s="18">
        <f>18178.99+5290.57+2513.39</f>
        <v>25982.95</v>
      </c>
      <c r="H529" s="18">
        <f>48965.96+1609.53+1624.88+67894.4</f>
        <v>120094.76999999999</v>
      </c>
      <c r="I529" s="18">
        <v>203.83</v>
      </c>
      <c r="J529" s="18">
        <v>0</v>
      </c>
      <c r="K529" s="18"/>
      <c r="L529" s="69">
        <f>SUM(F529:K529)</f>
        <v>204347.91999999998</v>
      </c>
      <c r="M529" s="8"/>
      <c r="N529" s="164"/>
    </row>
    <row r="530" spans="1:14" s="3" customFormat="1" ht="12.2" customHeight="1" thickTop="1" x14ac:dyDescent="0.15">
      <c r="A530" s="97" t="s">
        <v>65</v>
      </c>
      <c r="B530" s="41">
        <v>21</v>
      </c>
      <c r="C530" s="41">
        <v>8</v>
      </c>
      <c r="D530" s="115" t="s">
        <v>432</v>
      </c>
      <c r="E530" s="41"/>
      <c r="F530" s="70">
        <f>SUM(F527:F529)</f>
        <v>255240.49</v>
      </c>
      <c r="G530" s="70">
        <f t="shared" ref="G530:L530" si="37">SUM(G527:G529)</f>
        <v>121302.56</v>
      </c>
      <c r="H530" s="70">
        <f t="shared" si="37"/>
        <v>522613.97</v>
      </c>
      <c r="I530" s="70">
        <f t="shared" si="37"/>
        <v>929.2700000000001</v>
      </c>
      <c r="J530" s="70">
        <f t="shared" si="37"/>
        <v>0</v>
      </c>
      <c r="K530" s="70">
        <f t="shared" si="37"/>
        <v>0</v>
      </c>
      <c r="L530" s="70">
        <f t="shared" si="37"/>
        <v>900086.2899999998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87999.41</v>
      </c>
      <c r="I532" s="18"/>
      <c r="J532" s="18"/>
      <c r="K532" s="18"/>
      <c r="L532" s="69">
        <f>SUM(F532:K532)</f>
        <v>87999.41</v>
      </c>
      <c r="M532" s="8"/>
      <c r="N532" s="164"/>
    </row>
    <row r="533" spans="1:14" s="3" customFormat="1" ht="12.2" customHeight="1" x14ac:dyDescent="0.15">
      <c r="A533" s="21" t="s">
        <v>634</v>
      </c>
      <c r="B533" s="22">
        <v>21</v>
      </c>
      <c r="C533" s="22">
        <v>10</v>
      </c>
      <c r="D533" s="2" t="s">
        <v>432</v>
      </c>
      <c r="E533" s="22"/>
      <c r="F533" s="18"/>
      <c r="G533" s="18"/>
      <c r="H533" s="18">
        <v>38502.629999999997</v>
      </c>
      <c r="I533" s="18"/>
      <c r="J533" s="18"/>
      <c r="K533" s="18"/>
      <c r="L533" s="69">
        <f>SUM(F533:K533)</f>
        <v>38502.629999999997</v>
      </c>
      <c r="M533" s="8"/>
      <c r="N533" s="164"/>
    </row>
    <row r="534" spans="1:14" s="3" customFormat="1" ht="12.2" customHeight="1" thickBot="1" x14ac:dyDescent="0.2">
      <c r="A534" s="21" t="s">
        <v>635</v>
      </c>
      <c r="B534" s="22">
        <v>21</v>
      </c>
      <c r="C534" s="22">
        <v>11</v>
      </c>
      <c r="D534" s="2" t="s">
        <v>432</v>
      </c>
      <c r="E534" s="22"/>
      <c r="F534" s="18"/>
      <c r="G534" s="18"/>
      <c r="H534" s="18">
        <v>104467.53</v>
      </c>
      <c r="I534" s="18"/>
      <c r="J534" s="18"/>
      <c r="K534" s="18"/>
      <c r="L534" s="69">
        <f>SUM(F534:K534)</f>
        <v>104467.53</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230969.57</v>
      </c>
      <c r="I535" s="70">
        <f t="shared" si="38"/>
        <v>0</v>
      </c>
      <c r="J535" s="70">
        <f t="shared" si="38"/>
        <v>0</v>
      </c>
      <c r="K535" s="70">
        <f t="shared" si="38"/>
        <v>0</v>
      </c>
      <c r="L535" s="70">
        <f t="shared" si="38"/>
        <v>230969.57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41376.25</v>
      </c>
      <c r="G542" s="18">
        <v>20255.099999999999</v>
      </c>
      <c r="H542" s="18">
        <v>50256.27</v>
      </c>
      <c r="I542" s="18"/>
      <c r="J542" s="18"/>
      <c r="K542" s="18"/>
      <c r="L542" s="69">
        <f>SUM(F542:K542)</f>
        <v>111887.62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94.32</v>
      </c>
      <c r="I544" s="18"/>
      <c r="J544" s="18"/>
      <c r="K544" s="18"/>
      <c r="L544" s="69">
        <f>SUM(F544:K544)</f>
        <v>94.32</v>
      </c>
      <c r="M544" s="8"/>
      <c r="N544" s="164"/>
    </row>
    <row r="545" spans="1:14" s="3" customFormat="1" ht="12.2" customHeight="1" thickTop="1" thickBot="1" x14ac:dyDescent="0.2">
      <c r="A545" s="93" t="s">
        <v>71</v>
      </c>
      <c r="B545" s="63">
        <v>21</v>
      </c>
      <c r="C545" s="63">
        <v>20</v>
      </c>
      <c r="D545" s="139" t="s">
        <v>432</v>
      </c>
      <c r="E545" s="63"/>
      <c r="F545" s="140">
        <f>SUM(F542:F544)</f>
        <v>41376.25</v>
      </c>
      <c r="G545" s="140">
        <f t="shared" ref="G545:L545" si="40">SUM(G542:G544)</f>
        <v>20255.099999999999</v>
      </c>
      <c r="H545" s="140">
        <f t="shared" si="40"/>
        <v>50350.59</v>
      </c>
      <c r="I545" s="140">
        <f t="shared" si="40"/>
        <v>0</v>
      </c>
      <c r="J545" s="140">
        <f t="shared" si="40"/>
        <v>0</v>
      </c>
      <c r="K545" s="140">
        <f t="shared" si="40"/>
        <v>0</v>
      </c>
      <c r="L545" s="140">
        <f t="shared" si="40"/>
        <v>111981.94</v>
      </c>
      <c r="M545" s="8"/>
      <c r="N545" s="164"/>
    </row>
    <row r="546" spans="1:14" s="3" customFormat="1" ht="12.2" customHeight="1" thickTop="1" x14ac:dyDescent="0.15">
      <c r="A546" s="75" t="s">
        <v>72</v>
      </c>
      <c r="B546" s="41">
        <v>21</v>
      </c>
      <c r="C546" s="41">
        <v>21</v>
      </c>
      <c r="D546" s="115" t="s">
        <v>432</v>
      </c>
      <c r="E546" s="41"/>
      <c r="F546" s="70">
        <f>F525+F530+F535+F540+F545</f>
        <v>2782191.54</v>
      </c>
      <c r="G546" s="70">
        <f t="shared" ref="G546:L546" si="41">G525+G530+G535+G540+G545</f>
        <v>1682348.7300000004</v>
      </c>
      <c r="H546" s="70">
        <f t="shared" si="41"/>
        <v>1487033.32</v>
      </c>
      <c r="I546" s="70">
        <f t="shared" si="41"/>
        <v>43431.81</v>
      </c>
      <c r="J546" s="70">
        <f t="shared" si="41"/>
        <v>28137.13</v>
      </c>
      <c r="K546" s="70">
        <f t="shared" si="41"/>
        <v>0</v>
      </c>
      <c r="L546" s="70">
        <f t="shared" si="41"/>
        <v>6023142.5300000003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2882240.21</v>
      </c>
      <c r="G550" s="69">
        <f>L527</f>
        <v>561743.54999999993</v>
      </c>
      <c r="H550" s="69">
        <f>L532</f>
        <v>87999.41</v>
      </c>
      <c r="I550" s="69">
        <f>L537</f>
        <v>0</v>
      </c>
      <c r="J550" s="69">
        <f>L542</f>
        <v>111887.62</v>
      </c>
      <c r="K550" s="69">
        <f>SUM(F550:J550)</f>
        <v>3643870.79</v>
      </c>
      <c r="L550" s="23" t="s">
        <v>288</v>
      </c>
      <c r="M550" s="8"/>
      <c r="N550" s="164"/>
    </row>
    <row r="551" spans="1:14" s="3" customFormat="1" ht="12.2" customHeight="1" x14ac:dyDescent="0.15">
      <c r="A551" s="21" t="s">
        <v>634</v>
      </c>
      <c r="B551" s="22">
        <v>21</v>
      </c>
      <c r="C551" s="22">
        <v>23</v>
      </c>
      <c r="D551" s="2" t="s">
        <v>432</v>
      </c>
      <c r="E551" s="22"/>
      <c r="F551" s="69">
        <f>L523</f>
        <v>627914.16999999993</v>
      </c>
      <c r="G551" s="69">
        <f>L528</f>
        <v>133994.82</v>
      </c>
      <c r="H551" s="69">
        <f>L533</f>
        <v>38502.629999999997</v>
      </c>
      <c r="I551" s="69">
        <f>L538</f>
        <v>0</v>
      </c>
      <c r="J551" s="69">
        <f>L543</f>
        <v>0</v>
      </c>
      <c r="K551" s="69">
        <f>SUM(F551:J551)</f>
        <v>800411.62</v>
      </c>
      <c r="L551" s="23" t="s">
        <v>288</v>
      </c>
      <c r="M551" s="8"/>
      <c r="N551" s="164"/>
    </row>
    <row r="552" spans="1:14" s="3" customFormat="1" ht="12.2" customHeight="1" thickBot="1" x14ac:dyDescent="0.2">
      <c r="A552" s="21" t="s">
        <v>635</v>
      </c>
      <c r="B552" s="22">
        <v>21</v>
      </c>
      <c r="C552" s="22">
        <v>24</v>
      </c>
      <c r="D552" s="2" t="s">
        <v>432</v>
      </c>
      <c r="E552" s="22"/>
      <c r="F552" s="69">
        <f>L524</f>
        <v>1269950.3499999999</v>
      </c>
      <c r="G552" s="69">
        <f>L529</f>
        <v>204347.91999999998</v>
      </c>
      <c r="H552" s="69">
        <f>L534</f>
        <v>104467.53</v>
      </c>
      <c r="I552" s="69">
        <f>L539</f>
        <v>0</v>
      </c>
      <c r="J552" s="69">
        <f>L544</f>
        <v>94.32</v>
      </c>
      <c r="K552" s="69">
        <f>SUM(F552:J552)</f>
        <v>1578860.1199999999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4780104.7299999995</v>
      </c>
      <c r="G553" s="70">
        <f t="shared" si="42"/>
        <v>900086.2899999998</v>
      </c>
      <c r="H553" s="70">
        <f t="shared" si="42"/>
        <v>230969.57</v>
      </c>
      <c r="I553" s="70">
        <f t="shared" si="42"/>
        <v>0</v>
      </c>
      <c r="J553" s="70">
        <f t="shared" si="42"/>
        <v>111981.94</v>
      </c>
      <c r="K553" s="70">
        <f t="shared" si="42"/>
        <v>6023142.5300000003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11164.52</v>
      </c>
      <c r="I580" s="69">
        <f t="shared" si="47"/>
        <v>11164.52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297268.3+20827</f>
        <v>318095.3</v>
      </c>
      <c r="G583" s="18">
        <v>0</v>
      </c>
      <c r="H583" s="18">
        <v>144485.57999999999</v>
      </c>
      <c r="I583" s="69">
        <f t="shared" si="47"/>
        <v>462580.88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318095.3</v>
      </c>
      <c r="G589" s="79">
        <f t="shared" ref="G589:I589" si="48">SUM(G576:G588)</f>
        <v>0</v>
      </c>
      <c r="H589" s="79">
        <f t="shared" si="48"/>
        <v>155650.09999999998</v>
      </c>
      <c r="I589" s="79">
        <f t="shared" si="48"/>
        <v>473745.4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93970.8+63015.69+26435.86+44667.68+84925</f>
        <v>313015.02999999997</v>
      </c>
      <c r="I592" s="18">
        <f>41115.31+27571.72+11566.55+19543.57+37157</f>
        <v>136954.15</v>
      </c>
      <c r="J592" s="18">
        <f>111556.42+74808.63+31383.04+53026.75+100818</f>
        <v>371592.83999999997</v>
      </c>
      <c r="K592" s="80">
        <f t="shared" ref="K592:K598" si="49">SUM(H592:J592)</f>
        <v>821562.0199999999</v>
      </c>
      <c r="L592" s="23" t="s">
        <v>288</v>
      </c>
      <c r="M592" s="8"/>
      <c r="N592" s="164"/>
    </row>
    <row r="593" spans="1:14" s="3" customFormat="1" ht="12.2" customHeight="1" x14ac:dyDescent="0.15">
      <c r="A593" s="3" t="s">
        <v>638</v>
      </c>
      <c r="B593" s="22">
        <v>23</v>
      </c>
      <c r="C593" s="22">
        <v>2</v>
      </c>
      <c r="D593" s="2" t="s">
        <v>432</v>
      </c>
      <c r="E593" s="22"/>
      <c r="F593" s="78">
        <v>2722</v>
      </c>
      <c r="G593" s="79" t="s">
        <v>97</v>
      </c>
      <c r="H593" s="18">
        <f>41376.25+20255.1+50256.27</f>
        <v>111887.62</v>
      </c>
      <c r="I593" s="18">
        <v>0</v>
      </c>
      <c r="J593" s="18">
        <v>94.32</v>
      </c>
      <c r="K593" s="80">
        <f t="shared" si="49"/>
        <v>111981.94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f>10251.36+1820.1</f>
        <v>12071.460000000001</v>
      </c>
      <c r="J595" s="18">
        <f>57106.29+9310.36</f>
        <v>66416.649999999994</v>
      </c>
      <c r="K595" s="80">
        <f t="shared" si="49"/>
        <v>78488.11</v>
      </c>
      <c r="L595" s="23" t="s">
        <v>288</v>
      </c>
      <c r="M595" s="8"/>
      <c r="N595" s="164"/>
    </row>
    <row r="596" spans="1:14" s="3" customFormat="1" ht="12.2" customHeight="1" x14ac:dyDescent="0.15">
      <c r="A596" s="103" t="s">
        <v>652</v>
      </c>
      <c r="B596" s="22">
        <v>23</v>
      </c>
      <c r="C596" s="22">
        <v>5</v>
      </c>
      <c r="D596" s="2" t="s">
        <v>432</v>
      </c>
      <c r="E596" s="22"/>
      <c r="F596" s="78">
        <v>2725</v>
      </c>
      <c r="G596" s="79" t="s">
        <v>97</v>
      </c>
      <c r="H596" s="18">
        <f>4431.31+890.42+28.75+1981.19</f>
        <v>7331.67</v>
      </c>
      <c r="I596" s="18">
        <f>3478.63+543.04</f>
        <v>4021.67</v>
      </c>
      <c r="J596" s="18">
        <f>15141.19+2682.49</f>
        <v>17823.68</v>
      </c>
      <c r="K596" s="80">
        <f t="shared" si="49"/>
        <v>29177.02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f>13332+1110.49</f>
        <v>14442.49</v>
      </c>
      <c r="I598" s="18"/>
      <c r="J598" s="18"/>
      <c r="K598" s="80">
        <f t="shared" si="49"/>
        <v>14442.49</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446676.80999999994</v>
      </c>
      <c r="I599" s="81">
        <f>SUM(I592:I598)</f>
        <v>153047.28</v>
      </c>
      <c r="J599" s="81">
        <f>SUM(J592:J598)</f>
        <v>455927.48999999993</v>
      </c>
      <c r="K599" s="81">
        <f>SUM(K592:K598)</f>
        <v>1055651.58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217847.17+266017.31</f>
        <v>483864.48</v>
      </c>
      <c r="I605" s="18">
        <f>108129.46+182870.9</f>
        <v>291000.36</v>
      </c>
      <c r="J605" s="18">
        <f>341948.29+316027.84</f>
        <v>657976.13</v>
      </c>
      <c r="K605" s="80">
        <f>SUM(H605:J605)</f>
        <v>1432840.97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483864.48</v>
      </c>
      <c r="I606" s="81">
        <f>SUM(I603:I605)</f>
        <v>291000.36</v>
      </c>
      <c r="J606" s="81">
        <f>SUM(J603:J605)</f>
        <v>657976.13</v>
      </c>
      <c r="K606" s="81">
        <f>SUM(K603:K605)</f>
        <v>1432840.97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53986.05</v>
      </c>
      <c r="G612" s="18">
        <f>12836.47</f>
        <v>12836.47</v>
      </c>
      <c r="H612" s="18"/>
      <c r="I612" s="18"/>
      <c r="J612" s="18"/>
      <c r="K612" s="18"/>
      <c r="L612" s="69">
        <f>SUM(F612:K612)</f>
        <v>66822.52</v>
      </c>
      <c r="M612" s="8"/>
      <c r="N612" s="164"/>
    </row>
    <row r="613" spans="1:14" s="3" customFormat="1" ht="12.2" customHeight="1" x14ac:dyDescent="0.15">
      <c r="A613" s="21" t="s">
        <v>634</v>
      </c>
      <c r="B613" s="22">
        <v>23</v>
      </c>
      <c r="C613" s="22">
        <v>14</v>
      </c>
      <c r="D613" s="2" t="s">
        <v>432</v>
      </c>
      <c r="E613" s="22"/>
      <c r="F613" s="18">
        <f>2688.19+2628</f>
        <v>5316.1900000000005</v>
      </c>
      <c r="G613" s="18">
        <f>619.51+739.56</f>
        <v>1359.07</v>
      </c>
      <c r="H613" s="18"/>
      <c r="I613" s="18"/>
      <c r="J613" s="18"/>
      <c r="K613" s="18"/>
      <c r="L613" s="69">
        <f>SUM(F613:K613)</f>
        <v>6675.26</v>
      </c>
      <c r="M613" s="8"/>
      <c r="N613" s="164"/>
    </row>
    <row r="614" spans="1:14" s="3" customFormat="1" ht="12.2" customHeight="1" thickBot="1" x14ac:dyDescent="0.2">
      <c r="A614" s="21" t="s">
        <v>645</v>
      </c>
      <c r="B614" s="22">
        <v>23</v>
      </c>
      <c r="C614" s="22">
        <v>15</v>
      </c>
      <c r="D614" s="2" t="s">
        <v>432</v>
      </c>
      <c r="E614" s="22"/>
      <c r="F614" s="18">
        <v>8875.73</v>
      </c>
      <c r="G614" s="18">
        <v>2209.0500000000002</v>
      </c>
      <c r="H614" s="18"/>
      <c r="I614" s="18"/>
      <c r="J614" s="18"/>
      <c r="K614" s="18"/>
      <c r="L614" s="69">
        <f>SUM(F614:K614)</f>
        <v>11084.779999999999</v>
      </c>
      <c r="M614" s="8"/>
      <c r="N614" s="164"/>
    </row>
    <row r="615" spans="1:14" s="3" customFormat="1" ht="12.2" customHeight="1" thickTop="1" x14ac:dyDescent="0.15">
      <c r="A615" s="75" t="s">
        <v>340</v>
      </c>
      <c r="B615" s="41">
        <v>23</v>
      </c>
      <c r="C615" s="41">
        <v>16</v>
      </c>
      <c r="D615" s="36" t="s">
        <v>432</v>
      </c>
      <c r="E615" s="41"/>
      <c r="F615" s="81">
        <f t="shared" ref="F615:L615" si="50">SUM(F612:F614)</f>
        <v>68177.97</v>
      </c>
      <c r="G615" s="81">
        <f t="shared" si="50"/>
        <v>16404.59</v>
      </c>
      <c r="H615" s="81">
        <f t="shared" si="50"/>
        <v>0</v>
      </c>
      <c r="I615" s="81">
        <f t="shared" si="50"/>
        <v>0</v>
      </c>
      <c r="J615" s="81">
        <f t="shared" si="50"/>
        <v>0</v>
      </c>
      <c r="K615" s="81">
        <f t="shared" si="50"/>
        <v>0</v>
      </c>
      <c r="L615" s="70">
        <f t="shared" si="50"/>
        <v>84582.56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3622005.6100000003</v>
      </c>
      <c r="H618" s="80">
        <f>SUM(F52)</f>
        <v>3622005.6100000003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1508567.9200000002</v>
      </c>
      <c r="H619" s="80">
        <f>SUM(G52)</f>
        <v>1508567.92</v>
      </c>
      <c r="I619" s="87" t="s">
        <v>872</v>
      </c>
      <c r="J619" s="80">
        <f>G619-H619</f>
        <v>0</v>
      </c>
      <c r="K619" s="80"/>
      <c r="L619" s="80"/>
      <c r="M619" s="8"/>
    </row>
    <row r="620" spans="1:14" s="3" customFormat="1" ht="12.2" customHeight="1" x14ac:dyDescent="0.15">
      <c r="A620" s="74"/>
      <c r="B620" s="22"/>
      <c r="C620" s="22"/>
      <c r="D620" s="22"/>
      <c r="E620" s="22"/>
      <c r="F620" s="87" t="s">
        <v>685</v>
      </c>
      <c r="G620" s="80">
        <f>SUM(H19)</f>
        <v>2161642.0699999998</v>
      </c>
      <c r="H620" s="80">
        <f>SUM(H52)</f>
        <v>2161642.0699999998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2674037.6800000002</v>
      </c>
      <c r="H622" s="80">
        <f>SUM(J52)</f>
        <v>2674037.6800000002</v>
      </c>
      <c r="I622" s="87" t="s">
        <v>875</v>
      </c>
      <c r="J622" s="80">
        <f>G622-H622</f>
        <v>0</v>
      </c>
      <c r="K622" s="80"/>
      <c r="L622" s="80"/>
      <c r="M622" s="8"/>
    </row>
    <row r="623" spans="1:14" s="3" customFormat="1" ht="12.2" customHeight="1" x14ac:dyDescent="0.15">
      <c r="A623" s="74"/>
      <c r="B623" s="22"/>
      <c r="C623" s="22"/>
      <c r="D623" s="22"/>
      <c r="E623" s="22"/>
      <c r="F623" s="87" t="s">
        <v>861</v>
      </c>
      <c r="G623" s="80">
        <f>F51</f>
        <v>2650254.66</v>
      </c>
      <c r="H623" s="80">
        <f>F477</f>
        <v>2650254.6599999964</v>
      </c>
      <c r="I623" s="87" t="s">
        <v>101</v>
      </c>
      <c r="J623" s="80">
        <f t="shared" ref="J623:J656" si="51">G623-H623</f>
        <v>3.7252902984619141E-9</v>
      </c>
      <c r="K623" s="80"/>
      <c r="L623" s="80"/>
      <c r="M623" s="8"/>
    </row>
    <row r="624" spans="1:14" s="3" customFormat="1" ht="12.2" customHeight="1" x14ac:dyDescent="0.15">
      <c r="A624" s="74"/>
      <c r="B624" s="22"/>
      <c r="C624" s="85"/>
      <c r="D624" s="85"/>
      <c r="E624" s="85"/>
      <c r="F624" s="85" t="s">
        <v>862</v>
      </c>
      <c r="G624" s="80">
        <f>G51</f>
        <v>51957.97</v>
      </c>
      <c r="H624" s="80">
        <f>G477</f>
        <v>51957.969999999972</v>
      </c>
      <c r="I624" s="87" t="s">
        <v>102</v>
      </c>
      <c r="J624" s="80">
        <f t="shared" si="51"/>
        <v>0</v>
      </c>
      <c r="K624" s="80"/>
      <c r="L624" s="80"/>
      <c r="M624" s="8"/>
    </row>
    <row r="625" spans="1:13" s="3" customFormat="1" ht="12.2" customHeight="1" x14ac:dyDescent="0.15">
      <c r="A625" s="74"/>
      <c r="B625" s="22"/>
      <c r="C625" s="22"/>
      <c r="D625" s="22"/>
      <c r="E625" s="22"/>
      <c r="F625" s="86" t="s">
        <v>863</v>
      </c>
      <c r="G625" s="80">
        <f>H51</f>
        <v>472027.33</v>
      </c>
      <c r="H625" s="80">
        <f>H477</f>
        <v>472027.33000000007</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2674037.6800000002</v>
      </c>
      <c r="H627" s="80">
        <f>J477</f>
        <v>2674037.6800000002</v>
      </c>
      <c r="I627" s="87" t="s">
        <v>105</v>
      </c>
      <c r="J627" s="80">
        <f t="shared" si="51"/>
        <v>0</v>
      </c>
      <c r="K627" s="67"/>
      <c r="L627" s="69"/>
      <c r="M627" s="8"/>
    </row>
    <row r="628" spans="1:13" s="3" customFormat="1" ht="12.2" customHeight="1" x14ac:dyDescent="0.15">
      <c r="A628" s="21"/>
      <c r="B628" s="22"/>
      <c r="C628" s="22"/>
      <c r="D628" s="22"/>
      <c r="E628" s="22"/>
      <c r="F628" s="86" t="s">
        <v>658</v>
      </c>
      <c r="G628" s="80">
        <f>F194</f>
        <v>35974183.619999997</v>
      </c>
      <c r="H628" s="80">
        <f>SUM(F469)</f>
        <v>35974183.619999997</v>
      </c>
      <c r="I628" s="87" t="s">
        <v>106</v>
      </c>
      <c r="J628" s="80">
        <f>G628-H628</f>
        <v>0</v>
      </c>
      <c r="K628" s="67"/>
      <c r="L628" s="69"/>
      <c r="M628" s="8"/>
    </row>
    <row r="629" spans="1:13" s="3" customFormat="1" ht="12.2" customHeight="1" x14ac:dyDescent="0.15">
      <c r="A629" s="21"/>
      <c r="B629" s="22"/>
      <c r="C629" s="22"/>
      <c r="D629" s="22"/>
      <c r="E629" s="22"/>
      <c r="F629" s="86" t="s">
        <v>659</v>
      </c>
      <c r="G629" s="80">
        <f>G194</f>
        <v>767359.28999999992</v>
      </c>
      <c r="H629" s="80">
        <f>SUM(G469)</f>
        <v>767359.29</v>
      </c>
      <c r="I629" s="87" t="s">
        <v>107</v>
      </c>
      <c r="J629" s="80">
        <f>G629-H629</f>
        <v>0</v>
      </c>
      <c r="K629" s="67"/>
      <c r="L629" s="69"/>
      <c r="M629" s="8"/>
    </row>
    <row r="630" spans="1:13" s="3" customFormat="1" ht="12.2" customHeight="1" x14ac:dyDescent="0.15">
      <c r="A630" s="21"/>
      <c r="B630" s="22"/>
      <c r="C630" s="22"/>
      <c r="D630" s="22"/>
      <c r="E630" s="22"/>
      <c r="F630" s="86" t="s">
        <v>660</v>
      </c>
      <c r="G630" s="80">
        <f>H194</f>
        <v>3448084.74</v>
      </c>
      <c r="H630" s="80">
        <f>SUM(H469)</f>
        <v>3448084.74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609393.06000000006</v>
      </c>
      <c r="H632" s="80">
        <f>SUM(J469)</f>
        <v>609393.06000000006</v>
      </c>
      <c r="I632" s="87" t="s">
        <v>110</v>
      </c>
      <c r="J632" s="80">
        <f>G632-H632</f>
        <v>0</v>
      </c>
      <c r="K632" s="67"/>
      <c r="L632" s="69"/>
      <c r="M632" s="8"/>
    </row>
    <row r="633" spans="1:13" s="3" customFormat="1" ht="12.2" customHeight="1" x14ac:dyDescent="0.15">
      <c r="A633" s="21"/>
      <c r="B633" s="22"/>
      <c r="C633" s="22"/>
      <c r="D633" s="22"/>
      <c r="E633" s="22"/>
      <c r="F633" s="86" t="s">
        <v>394</v>
      </c>
      <c r="G633" s="80">
        <f>SUM(L272)</f>
        <v>36786770.060000002</v>
      </c>
      <c r="H633" s="80">
        <f>SUM(F473)</f>
        <v>36786770.060000002</v>
      </c>
      <c r="I633" s="87" t="s">
        <v>111</v>
      </c>
      <c r="J633" s="80">
        <f t="shared" si="51"/>
        <v>0</v>
      </c>
      <c r="K633" s="67"/>
      <c r="L633" s="69"/>
      <c r="M633" s="8"/>
    </row>
    <row r="634" spans="1:13" s="3" customFormat="1" ht="12.2" customHeight="1" x14ac:dyDescent="0.15">
      <c r="A634" s="21"/>
      <c r="B634" s="22"/>
      <c r="C634" s="22"/>
      <c r="D634" s="22"/>
      <c r="E634" s="22"/>
      <c r="F634" s="86" t="s">
        <v>395</v>
      </c>
      <c r="G634" s="80">
        <f>SUM(L353)</f>
        <v>3479989.6599999997</v>
      </c>
      <c r="H634" s="80">
        <f>SUM(H473)</f>
        <v>3479989.66</v>
      </c>
      <c r="I634" s="87" t="s">
        <v>112</v>
      </c>
      <c r="J634" s="80">
        <f>G634-H634</f>
        <v>0</v>
      </c>
      <c r="K634" s="67"/>
      <c r="L634" s="69"/>
      <c r="M634" s="8"/>
    </row>
    <row r="635" spans="1:13" s="124" customFormat="1" ht="12.2" customHeight="1" x14ac:dyDescent="0.15">
      <c r="A635" s="21"/>
      <c r="B635" s="22"/>
      <c r="C635" s="22"/>
      <c r="D635" s="22"/>
      <c r="E635" s="22"/>
      <c r="F635" s="99" t="s">
        <v>247</v>
      </c>
      <c r="G635" s="80">
        <f>I363</f>
        <v>826.15000000000009</v>
      </c>
      <c r="H635" s="80">
        <f>I370</f>
        <v>826.15000000000009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767359.29</v>
      </c>
      <c r="H636" s="80">
        <f>SUM(G473)</f>
        <v>767359.29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609393.05999999994</v>
      </c>
      <c r="H638" s="108">
        <f>SUM(J469)</f>
        <v>609393.06000000006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376665.33999999997</v>
      </c>
      <c r="H639" s="108">
        <f>SUM(J473)</f>
        <v>376665.34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536353.52</v>
      </c>
      <c r="H640" s="80">
        <f>SUM(F462)</f>
        <v>536353.52</v>
      </c>
      <c r="I640" s="87" t="s">
        <v>837</v>
      </c>
      <c r="J640" s="80">
        <f t="shared" si="51"/>
        <v>0</v>
      </c>
      <c r="K640" s="67"/>
      <c r="L640" s="69"/>
      <c r="M640" s="8"/>
    </row>
    <row r="641" spans="1:13" s="3" customFormat="1" ht="12.2" customHeight="1" x14ac:dyDescent="0.15">
      <c r="A641" s="21"/>
      <c r="B641" s="22"/>
      <c r="C641" s="22"/>
      <c r="D641" s="22"/>
      <c r="E641" s="22"/>
      <c r="F641" s="86" t="s">
        <v>119</v>
      </c>
      <c r="G641" s="80">
        <f>SUM(G447)</f>
        <v>2102021.46</v>
      </c>
      <c r="H641" s="80">
        <f>SUM(G462)</f>
        <v>2102021.46</v>
      </c>
      <c r="I641" s="87" t="s">
        <v>838</v>
      </c>
      <c r="J641" s="80">
        <f t="shared" si="51"/>
        <v>0</v>
      </c>
      <c r="K641" s="67"/>
      <c r="L641" s="69"/>
      <c r="M641" s="8"/>
    </row>
    <row r="642" spans="1:13" s="3" customFormat="1" ht="12.2" customHeight="1" x14ac:dyDescent="0.15">
      <c r="A642" s="21"/>
      <c r="B642" s="22"/>
      <c r="C642" s="22"/>
      <c r="D642" s="22"/>
      <c r="E642" s="22"/>
      <c r="F642" s="86" t="s">
        <v>120</v>
      </c>
      <c r="G642" s="80">
        <f>SUM(H447)</f>
        <v>35662.699999999997</v>
      </c>
      <c r="H642" s="80">
        <f>SUM(H462)</f>
        <v>35662.699999999997</v>
      </c>
      <c r="I642" s="87" t="s">
        <v>839</v>
      </c>
      <c r="J642" s="80">
        <f t="shared" si="51"/>
        <v>0</v>
      </c>
      <c r="K642" s="67"/>
      <c r="L642" s="69"/>
      <c r="M642" s="8"/>
    </row>
    <row r="643" spans="1:13" s="3" customFormat="1" ht="12.2" customHeight="1" x14ac:dyDescent="0.15">
      <c r="A643" s="21"/>
      <c r="B643" s="22"/>
      <c r="C643" s="22"/>
      <c r="D643" s="22"/>
      <c r="E643" s="22"/>
      <c r="F643" s="86" t="s">
        <v>121</v>
      </c>
      <c r="G643" s="80">
        <f>SUM(I447)</f>
        <v>2674037.6800000002</v>
      </c>
      <c r="H643" s="80">
        <f>SUM(I462)</f>
        <v>2674037.6800000002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77964.06</v>
      </c>
      <c r="H645" s="80">
        <f>H409</f>
        <v>77964.06</v>
      </c>
      <c r="I645" s="87" t="s">
        <v>480</v>
      </c>
      <c r="J645" s="80">
        <f t="shared" si="51"/>
        <v>0</v>
      </c>
      <c r="K645" s="67"/>
      <c r="L645" s="69"/>
      <c r="M645" s="8"/>
    </row>
    <row r="646" spans="1:13" s="3" customFormat="1" ht="12.2" customHeight="1" x14ac:dyDescent="0.15">
      <c r="A646" s="21"/>
      <c r="B646" s="22"/>
      <c r="C646" s="22"/>
      <c r="D646" s="22"/>
      <c r="E646" s="22"/>
      <c r="F646" s="86" t="s">
        <v>664</v>
      </c>
      <c r="G646" s="80">
        <f>J184</f>
        <v>531429</v>
      </c>
      <c r="H646" s="80">
        <f>G409</f>
        <v>531429</v>
      </c>
      <c r="I646" s="87" t="s">
        <v>481</v>
      </c>
      <c r="J646" s="80">
        <f t="shared" si="51"/>
        <v>0</v>
      </c>
      <c r="K646" s="67"/>
      <c r="L646" s="69"/>
      <c r="M646" s="8"/>
    </row>
    <row r="647" spans="1:13" s="3" customFormat="1" ht="12.2" customHeight="1" x14ac:dyDescent="0.15">
      <c r="A647" s="21"/>
      <c r="B647" s="22"/>
      <c r="C647" s="22"/>
      <c r="D647" s="22"/>
      <c r="E647" s="22"/>
      <c r="F647" s="86" t="s">
        <v>662</v>
      </c>
      <c r="G647" s="80">
        <f>J194</f>
        <v>609393.06000000006</v>
      </c>
      <c r="H647" s="80">
        <f>L409</f>
        <v>609393.05999999994</v>
      </c>
      <c r="I647" s="87" t="s">
        <v>477</v>
      </c>
      <c r="J647" s="80">
        <f t="shared" si="51"/>
        <v>0</v>
      </c>
      <c r="K647" s="67"/>
      <c r="L647" s="69"/>
      <c r="M647" s="8"/>
    </row>
    <row r="648" spans="1:13" s="3" customFormat="1" ht="12.2" customHeight="1" x14ac:dyDescent="0.15">
      <c r="A648" s="21"/>
      <c r="B648" s="22"/>
      <c r="C648" s="22"/>
      <c r="D648" s="22"/>
      <c r="E648" s="22"/>
      <c r="F648" s="86" t="s">
        <v>51</v>
      </c>
      <c r="G648" s="80">
        <f>K599</f>
        <v>1055651.58</v>
      </c>
      <c r="H648" s="80">
        <f>L209+L227+L245</f>
        <v>1055651.58</v>
      </c>
      <c r="I648" s="87" t="s">
        <v>396</v>
      </c>
      <c r="J648" s="80">
        <f t="shared" si="51"/>
        <v>0</v>
      </c>
      <c r="K648" s="67"/>
      <c r="L648" s="69"/>
      <c r="M648" s="8"/>
    </row>
    <row r="649" spans="1:13" s="3" customFormat="1" ht="12.2" customHeight="1" x14ac:dyDescent="0.15">
      <c r="A649" s="21"/>
      <c r="B649" s="22"/>
      <c r="C649" s="22"/>
      <c r="D649" s="22"/>
      <c r="E649" s="22"/>
      <c r="F649" s="86" t="s">
        <v>52</v>
      </c>
      <c r="G649" s="80">
        <f>K606</f>
        <v>1432840.97</v>
      </c>
      <c r="H649" s="80">
        <f>(J258+J339)-(J256+J337)</f>
        <v>1432840.9700000002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446676.81</v>
      </c>
      <c r="H650" s="80">
        <f>H599</f>
        <v>446676.80999999994</v>
      </c>
      <c r="I650" s="87" t="s">
        <v>388</v>
      </c>
      <c r="J650" s="80">
        <f t="shared" si="51"/>
        <v>0</v>
      </c>
      <c r="K650" s="67"/>
      <c r="L650" s="69"/>
      <c r="M650" s="8"/>
    </row>
    <row r="651" spans="1:13" s="3" customFormat="1" ht="12.2" customHeight="1" x14ac:dyDescent="0.15">
      <c r="A651" s="21"/>
      <c r="B651" s="22"/>
      <c r="C651" s="22"/>
      <c r="D651" s="22"/>
      <c r="E651" s="22"/>
      <c r="F651" s="86" t="s">
        <v>392</v>
      </c>
      <c r="G651" s="80">
        <f>L227</f>
        <v>153047.28</v>
      </c>
      <c r="H651" s="80">
        <f>I599</f>
        <v>153047.28</v>
      </c>
      <c r="I651" s="87" t="s">
        <v>389</v>
      </c>
      <c r="J651" s="80">
        <f t="shared" si="51"/>
        <v>0</v>
      </c>
      <c r="K651" s="67"/>
      <c r="L651" s="69"/>
      <c r="M651" s="8"/>
    </row>
    <row r="652" spans="1:13" s="3" customFormat="1" ht="12.2" customHeight="1" x14ac:dyDescent="0.15">
      <c r="A652" s="21"/>
      <c r="B652" s="22"/>
      <c r="C652" s="22"/>
      <c r="D652" s="22"/>
      <c r="E652" s="22"/>
      <c r="F652" s="86" t="s">
        <v>393</v>
      </c>
      <c r="G652" s="80">
        <f>L245</f>
        <v>455927.49</v>
      </c>
      <c r="H652" s="80">
        <f>J599</f>
        <v>455927.48999999993</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56539.34</v>
      </c>
      <c r="H653" s="80">
        <f>K264+K346</f>
        <v>56539.34</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531429</v>
      </c>
      <c r="H656" s="80">
        <f>K267+K348</f>
        <v>531429</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16082870.23</v>
      </c>
      <c r="G661" s="13">
        <f>(L230+L310+L360)</f>
        <v>6346342.0000000009</v>
      </c>
      <c r="H661" s="13">
        <f>(L248+L329+L361)</f>
        <v>15750229.18</v>
      </c>
      <c r="I661" s="13">
        <f>SUM(F661:H661)</f>
        <v>38179441.409999996</v>
      </c>
      <c r="J661" s="13"/>
      <c r="K661" s="13"/>
      <c r="L661" s="13"/>
      <c r="M661" s="9"/>
    </row>
    <row r="662" spans="1:13" s="3" customFormat="1" ht="12.2" customHeight="1" x14ac:dyDescent="0.2">
      <c r="A662" s="1" t="s">
        <v>127</v>
      </c>
      <c r="F662" s="13">
        <f>(L359/IF(SUM(L359:L361)=0,1,SUM(L359:L361))*(SUM(G97:G110)))</f>
        <v>124543.96200735905</v>
      </c>
      <c r="G662" s="13">
        <f>(L360/IF(SUM(L359:L361)=0,1,SUM(L359:L361))*(SUM(G97:G110)))</f>
        <v>54492.073943015675</v>
      </c>
      <c r="H662" s="13">
        <f>(L361/IF(SUM(L359:L361)=0,1,SUM(L359:L361))*(SUM(G97:G110)))</f>
        <v>147851.01404962532</v>
      </c>
      <c r="I662" s="13">
        <f>SUM(F662:H662)</f>
        <v>326887.05000000005</v>
      </c>
      <c r="J662"/>
      <c r="K662" s="13"/>
      <c r="L662" s="13"/>
      <c r="M662" s="8"/>
    </row>
    <row r="663" spans="1:13" s="3" customFormat="1" ht="12.2" customHeight="1" x14ac:dyDescent="0.2">
      <c r="A663" s="1" t="s">
        <v>128</v>
      </c>
      <c r="F663" s="13">
        <f>(L209+L288)-(J209+J288)</f>
        <v>394894.88</v>
      </c>
      <c r="G663" s="13">
        <f>(L227+L307)-(J227+J307)</f>
        <v>115890.28</v>
      </c>
      <c r="H663" s="13">
        <f>(L245+L326)-(J245+J326)</f>
        <v>355109.49</v>
      </c>
      <c r="I663" s="13">
        <f>SUM(F663:H663)</f>
        <v>865894.65</v>
      </c>
      <c r="J663"/>
      <c r="K663" s="13"/>
      <c r="L663" s="13"/>
      <c r="M663" s="9"/>
    </row>
    <row r="664" spans="1:13" s="3" customFormat="1" ht="12.2" customHeight="1" x14ac:dyDescent="0.15">
      <c r="A664" s="141" t="s">
        <v>129</v>
      </c>
      <c r="B664" s="124"/>
      <c r="C664" s="124"/>
      <c r="D664" s="124"/>
      <c r="E664" s="124"/>
      <c r="F664" s="142">
        <f>SUM(F576:F588)+SUM(H603:H605)+SUM(L612)</f>
        <v>868782.3</v>
      </c>
      <c r="G664" s="142">
        <f>SUM(G576:G588)+SUM(I603:I605)+L613</f>
        <v>297675.62</v>
      </c>
      <c r="H664" s="142">
        <f>SUM(H576:H588)+SUM(J603:J605)+L614</f>
        <v>824711.01</v>
      </c>
      <c r="I664" s="13">
        <f>SUM(F664:H664)</f>
        <v>1991168.93</v>
      </c>
      <c r="J664" s="13"/>
      <c r="K664" s="13"/>
      <c r="L664" s="13"/>
      <c r="M664" s="9"/>
    </row>
    <row r="665" spans="1:13" s="3" customFormat="1" ht="12.2" customHeight="1" x14ac:dyDescent="0.15">
      <c r="A665" s="1" t="s">
        <v>130</v>
      </c>
      <c r="F665" s="13">
        <f>F661-SUM(F662:F664)</f>
        <v>14694649.087992642</v>
      </c>
      <c r="G665" s="13">
        <f>G661-SUM(G662:G664)</f>
        <v>5878284.0260569854</v>
      </c>
      <c r="H665" s="13">
        <f>H661-SUM(H662:H664)</f>
        <v>14422557.665950375</v>
      </c>
      <c r="I665" s="13">
        <f>I661-SUM(I662:I664)</f>
        <v>34995490.779999994</v>
      </c>
      <c r="J665" s="13"/>
      <c r="K665" s="13"/>
      <c r="L665" s="13"/>
      <c r="M665" s="8"/>
    </row>
    <row r="666" spans="1:13" s="3" customFormat="1" ht="12.2" customHeight="1" x14ac:dyDescent="0.2">
      <c r="A666" s="1" t="s">
        <v>131</v>
      </c>
      <c r="F666" s="182">
        <v>575.54</v>
      </c>
      <c r="G666" s="183">
        <v>251.75</v>
      </c>
      <c r="H666" s="183">
        <v>683.13</v>
      </c>
      <c r="I666" s="13">
        <f>SUM(F666:H666)</f>
        <v>1510.42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25531.93</v>
      </c>
      <c r="G668" s="13">
        <f>ROUND(G665/G666,2)</f>
        <v>23349.69</v>
      </c>
      <c r="H668" s="13">
        <f>ROUND(H665/H666,2)</f>
        <v>21112.46</v>
      </c>
      <c r="I668" s="13">
        <f>ROUND(I665/I666,2)</f>
        <v>23169.38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25531.93</v>
      </c>
      <c r="G673" s="13">
        <f>ROUND((G665+G670)/(G666+G671),2)</f>
        <v>23349.69</v>
      </c>
      <c r="H673" s="13">
        <f>ROUND((H665+H670)/(H666+H671),2)</f>
        <v>21112.46</v>
      </c>
      <c r="I673" s="13">
        <f>ROUND((I665+I670)/(I666+I671),2)</f>
        <v>23169.38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6"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343397.29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30330.95+92360.67+2500</f>
        <v>125191.62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2058.17+23399.6</f>
        <v>25457.769999999997</v>
      </c>
      <c r="F13" s="271" t="s">
        <v>1614</v>
      </c>
    </row>
    <row r="14" spans="2:8" x14ac:dyDescent="0.25">
      <c r="B14" s="270"/>
      <c r="C14" s="270"/>
      <c r="D14" s="271"/>
      <c r="E14" s="270"/>
      <c r="F14" s="270"/>
    </row>
    <row r="15" spans="2:8" x14ac:dyDescent="0.25">
      <c r="B15" s="270"/>
      <c r="C15" s="271" t="s">
        <v>1608</v>
      </c>
      <c r="D15" s="271" t="s">
        <v>1621</v>
      </c>
      <c r="E15" s="259">
        <f>57635.32+88929.48+33720.75</f>
        <v>180285.55</v>
      </c>
      <c r="F15" s="271" t="s">
        <v>1615</v>
      </c>
    </row>
    <row r="16" spans="2:8" x14ac:dyDescent="0.25">
      <c r="B16" s="270"/>
      <c r="C16" s="270"/>
      <c r="D16" s="270"/>
      <c r="E16" s="270"/>
      <c r="F16" s="270"/>
    </row>
    <row r="17" spans="2:8" x14ac:dyDescent="0.25">
      <c r="B17" s="270"/>
      <c r="C17" s="271" t="s">
        <v>1607</v>
      </c>
      <c r="D17" s="271" t="s">
        <v>1622</v>
      </c>
      <c r="E17" s="259">
        <f>9573.26+39.09+2850</f>
        <v>12462.35</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1"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Conway</v>
      </c>
      <c r="C5" s="322"/>
      <c r="D5" s="322"/>
      <c r="E5" s="322"/>
      <c r="F5" s="322"/>
    </row>
    <row r="8" spans="1:9" ht="18" x14ac:dyDescent="0.25">
      <c r="A8" s="239" t="s">
        <v>1548</v>
      </c>
      <c r="F8" s="246" t="s">
        <v>1566</v>
      </c>
    </row>
    <row r="9" spans="1:9" ht="15" x14ac:dyDescent="0.2">
      <c r="A9" s="237" t="s">
        <v>1549</v>
      </c>
      <c r="B9" s="240">
        <f>'DOE25'!G97</f>
        <v>310230.03000000003</v>
      </c>
      <c r="F9" s="237" t="s">
        <v>1562</v>
      </c>
    </row>
    <row r="10" spans="1:9" ht="15" x14ac:dyDescent="0.2">
      <c r="A10" s="237" t="s">
        <v>1550</v>
      </c>
      <c r="B10" s="240">
        <f>'DOE25'!G112-'DOE25'!G97</f>
        <v>38189.400000000023</v>
      </c>
      <c r="F10" s="237" t="s">
        <v>1563</v>
      </c>
    </row>
    <row r="11" spans="1:9" ht="15" x14ac:dyDescent="0.2">
      <c r="A11" s="237" t="s">
        <v>1551</v>
      </c>
      <c r="B11" s="240">
        <f>'DOE25'!G140</f>
        <v>8576.41</v>
      </c>
      <c r="F11" s="237" t="s">
        <v>1564</v>
      </c>
    </row>
    <row r="12" spans="1:9" ht="15" x14ac:dyDescent="0.2">
      <c r="A12" s="237" t="s">
        <v>1552</v>
      </c>
      <c r="B12" s="240">
        <f>'DOE25'!G170</f>
        <v>353824.11</v>
      </c>
      <c r="F12" s="237" t="s">
        <v>1565</v>
      </c>
    </row>
    <row r="13" spans="1:9" ht="15" x14ac:dyDescent="0.2">
      <c r="A13" s="237" t="s">
        <v>1553</v>
      </c>
      <c r="B13" s="240">
        <f>'DOE25'!G193-'DOE25'!G180</f>
        <v>0</v>
      </c>
      <c r="F13" s="237" t="s">
        <v>1575</v>
      </c>
    </row>
    <row r="14" spans="1:9" ht="18" x14ac:dyDescent="0.25">
      <c r="A14" s="239" t="s">
        <v>732</v>
      </c>
      <c r="B14" s="241">
        <f>SUM(B9:B13)</f>
        <v>710819.95</v>
      </c>
    </row>
    <row r="16" spans="1:9" ht="18" x14ac:dyDescent="0.25">
      <c r="A16" s="239" t="s">
        <v>783</v>
      </c>
      <c r="F16" s="246" t="s">
        <v>1567</v>
      </c>
    </row>
    <row r="17" spans="1:6" ht="15" x14ac:dyDescent="0.2">
      <c r="A17" s="237" t="s">
        <v>1554</v>
      </c>
      <c r="B17" s="240">
        <f>'DOE25'!L363-'DOE25'!L362</f>
        <v>767359.29</v>
      </c>
      <c r="F17" s="237" t="s">
        <v>1568</v>
      </c>
    </row>
    <row r="18" spans="1:6" ht="15" x14ac:dyDescent="0.2">
      <c r="A18" s="237" t="s">
        <v>1555</v>
      </c>
      <c r="B18" s="250"/>
      <c r="F18" s="246" t="s">
        <v>1592</v>
      </c>
    </row>
    <row r="19" spans="1:6" ht="18" x14ac:dyDescent="0.25">
      <c r="A19" s="239" t="s">
        <v>725</v>
      </c>
      <c r="B19" s="241">
        <f>SUM(B17:B18)</f>
        <v>767359.29</v>
      </c>
    </row>
    <row r="21" spans="1:6" ht="18.75" thickBot="1" x14ac:dyDescent="0.3">
      <c r="A21" s="239" t="s">
        <v>1556</v>
      </c>
    </row>
    <row r="22" spans="1:6" ht="18.75" thickTop="1" x14ac:dyDescent="0.25">
      <c r="A22" s="239" t="s">
        <v>1557</v>
      </c>
      <c r="B22" s="245">
        <f>B14-B19</f>
        <v>-56539.340000000084</v>
      </c>
      <c r="F22" s="237" t="s">
        <v>1569</v>
      </c>
    </row>
    <row r="26" spans="1:6" ht="18" x14ac:dyDescent="0.25">
      <c r="A26" s="239" t="s">
        <v>186</v>
      </c>
    </row>
    <row r="27" spans="1:6" ht="15" x14ac:dyDescent="0.2">
      <c r="A27" s="237" t="s">
        <v>1558</v>
      </c>
      <c r="B27" s="240">
        <f>'DOE25'!G180</f>
        <v>56539.34</v>
      </c>
      <c r="F27" s="237" t="s">
        <v>1570</v>
      </c>
    </row>
    <row r="28" spans="1:6" ht="15" x14ac:dyDescent="0.2">
      <c r="A28" s="237" t="s">
        <v>1560</v>
      </c>
      <c r="B28" s="240">
        <f>'DOE25'!L362</f>
        <v>0</v>
      </c>
      <c r="F28" s="237" t="s">
        <v>1571</v>
      </c>
    </row>
    <row r="31" spans="1:6" ht="15" x14ac:dyDescent="0.2">
      <c r="A31" s="237" t="s">
        <v>1789</v>
      </c>
      <c r="B31" s="240">
        <f>'DOE25'!G466</f>
        <v>51957.97</v>
      </c>
      <c r="F31" s="237" t="s">
        <v>1572</v>
      </c>
    </row>
    <row r="33" spans="1:6" ht="15" x14ac:dyDescent="0.2">
      <c r="A33" s="237" t="s">
        <v>1790</v>
      </c>
      <c r="B33" s="240">
        <f>'DOE25'!G477</f>
        <v>51957.969999999972</v>
      </c>
      <c r="F33" s="237" t="s">
        <v>1573</v>
      </c>
    </row>
    <row r="36" spans="1:6" ht="15" x14ac:dyDescent="0.2">
      <c r="A36" s="237" t="s">
        <v>1559</v>
      </c>
      <c r="B36" s="251">
        <v>69317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4" zoomScaleNormal="100" workbookViewId="0">
      <selection activeCell="C29" sqref="C2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Conway</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7848501.1200000001</v>
      </c>
      <c r="C9" s="166">
        <f>'DOE25'!G198+'DOE25'!G216+'DOE25'!G234+'DOE25'!G277+'DOE25'!G296+'DOE25'!G315</f>
        <v>3860771.74</v>
      </c>
    </row>
    <row r="10" spans="1:3" x14ac:dyDescent="0.2">
      <c r="A10" t="s">
        <v>772</v>
      </c>
      <c r="B10" s="176">
        <v>6355856.8499999996</v>
      </c>
      <c r="C10" s="176">
        <v>3539194.32</v>
      </c>
    </row>
    <row r="11" spans="1:3" x14ac:dyDescent="0.2">
      <c r="A11" t="s">
        <v>773</v>
      </c>
      <c r="B11" s="176">
        <v>130138.94</v>
      </c>
      <c r="C11" s="176">
        <v>60932.44</v>
      </c>
    </row>
    <row r="12" spans="1:3" x14ac:dyDescent="0.2">
      <c r="A12" t="s">
        <v>774</v>
      </c>
      <c r="B12" s="176">
        <v>1362505.33</v>
      </c>
      <c r="C12" s="176">
        <v>260644.98</v>
      </c>
    </row>
    <row r="13" spans="1:3" x14ac:dyDescent="0.2">
      <c r="A13" t="str">
        <f>IF(B9=B13,IF(C9=C13,"Check Total OK","Check Total Error"),"Check Total Error")</f>
        <v>Check Total OK</v>
      </c>
      <c r="B13" s="168">
        <f>SUM(B10:B12)</f>
        <v>7848501.1200000001</v>
      </c>
      <c r="C13" s="168">
        <f>SUM(C10:C12)</f>
        <v>3860771.7399999998</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2485574.7999999998</v>
      </c>
      <c r="C18" s="166">
        <f>'DOE25'!G199+'DOE25'!G217+'DOE25'!G235+'DOE25'!G278+'DOE25'!G297+'DOE25'!G316</f>
        <v>1540791.07</v>
      </c>
    </row>
    <row r="19" spans="1:3" x14ac:dyDescent="0.2">
      <c r="A19" t="s">
        <v>772</v>
      </c>
      <c r="B19" s="176">
        <v>1354873.18</v>
      </c>
      <c r="C19" s="176">
        <v>791918.15</v>
      </c>
    </row>
    <row r="20" spans="1:3" x14ac:dyDescent="0.2">
      <c r="A20" t="s">
        <v>773</v>
      </c>
      <c r="B20" s="176">
        <v>1028127.87</v>
      </c>
      <c r="C20" s="176">
        <v>716148.59</v>
      </c>
    </row>
    <row r="21" spans="1:3" x14ac:dyDescent="0.2">
      <c r="A21" t="s">
        <v>774</v>
      </c>
      <c r="B21" s="176">
        <v>102573.75</v>
      </c>
      <c r="C21" s="176">
        <v>32724.33</v>
      </c>
    </row>
    <row r="22" spans="1:3" x14ac:dyDescent="0.2">
      <c r="A22" t="str">
        <f>IF(B18=B22,IF(C18=C22,"Check Total OK","Check Total Error"),"Check Total Error")</f>
        <v>Check Total OK</v>
      </c>
      <c r="B22" s="168">
        <f>SUM(B19:B21)</f>
        <v>2485574.7999999998</v>
      </c>
      <c r="C22" s="168">
        <f>SUM(C19:C21)</f>
        <v>1540791.07</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571567.16</v>
      </c>
      <c r="C27" s="171">
        <f>'DOE25'!G200+'DOE25'!G218+'DOE25'!G236+'DOE25'!G279+'DOE25'!G298+'DOE25'!G317</f>
        <v>283381.28000000003</v>
      </c>
    </row>
    <row r="28" spans="1:3" x14ac:dyDescent="0.2">
      <c r="A28" t="s">
        <v>772</v>
      </c>
      <c r="B28" s="176">
        <v>527046.84</v>
      </c>
      <c r="C28" s="176">
        <v>268269.59999999998</v>
      </c>
    </row>
    <row r="29" spans="1:3" x14ac:dyDescent="0.2">
      <c r="A29" t="s">
        <v>773</v>
      </c>
      <c r="B29" s="176">
        <v>0</v>
      </c>
      <c r="C29" s="176">
        <v>0</v>
      </c>
    </row>
    <row r="30" spans="1:3" x14ac:dyDescent="0.2">
      <c r="A30" t="s">
        <v>774</v>
      </c>
      <c r="B30" s="176">
        <v>44520.32</v>
      </c>
      <c r="C30" s="176">
        <v>15111.68</v>
      </c>
    </row>
    <row r="31" spans="1:3" x14ac:dyDescent="0.2">
      <c r="A31" t="str">
        <f>IF(B27=B31,IF(C27=C31,"Check Total OK","Check Total Error"),"Check Total Error")</f>
        <v>Check Total OK</v>
      </c>
      <c r="B31" s="168">
        <f>SUM(B28:B30)</f>
        <v>571567.15999999992</v>
      </c>
      <c r="C31" s="168">
        <f>SUM(C28:C30)</f>
        <v>283381.27999999997</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590045.42999999993</v>
      </c>
      <c r="C36" s="172">
        <f>'DOE25'!G201+'DOE25'!G219+'DOE25'!G237+'DOE25'!G280+'DOE25'!G299+'DOE25'!G318</f>
        <v>139986.56</v>
      </c>
    </row>
    <row r="37" spans="1:3" x14ac:dyDescent="0.2">
      <c r="A37" t="s">
        <v>772</v>
      </c>
      <c r="B37" s="176"/>
      <c r="C37" s="176"/>
    </row>
    <row r="38" spans="1:3" x14ac:dyDescent="0.2">
      <c r="A38" t="s">
        <v>773</v>
      </c>
      <c r="B38" s="176"/>
      <c r="C38" s="176"/>
    </row>
    <row r="39" spans="1:3" x14ac:dyDescent="0.2">
      <c r="A39" t="s">
        <v>774</v>
      </c>
      <c r="B39" s="176">
        <v>590045.43000000005</v>
      </c>
      <c r="C39" s="176">
        <v>139986.56</v>
      </c>
    </row>
    <row r="40" spans="1:3" x14ac:dyDescent="0.2">
      <c r="A40" t="str">
        <f>IF(B36=B40,IF(C36=C40,"Check Total OK","Check Total Error"),"Check Total Error")</f>
        <v>Check Total OK</v>
      </c>
      <c r="B40" s="168">
        <f>SUM(B37:B39)</f>
        <v>590045.43000000005</v>
      </c>
      <c r="C40" s="168">
        <f>SUM(C37:C39)</f>
        <v>139986.56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P16" sqref="P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Conway</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17837219.579999998</v>
      </c>
      <c r="D5" s="19">
        <f>SUM('DOE25'!L198:L201)+SUM('DOE25'!L216:L219)+SUM('DOE25'!L234:L237)-F5-G5-H5</f>
        <v>17585539.140000001</v>
      </c>
      <c r="E5" s="179"/>
      <c r="F5" s="180"/>
      <c r="G5" s="19">
        <f>SUM('DOE25'!J198:J201)+SUM('DOE25'!J216:J219)+SUM('DOE25'!J234:J237)</f>
        <v>234666.03999999998</v>
      </c>
      <c r="H5" s="19">
        <f>SUM('DOE25'!K198:K201)+SUM('DOE25'!K216:K219)+SUM('DOE25'!K234:K237)</f>
        <v>17014.400000000001</v>
      </c>
      <c r="I5" s="191"/>
    </row>
    <row r="6" spans="1:9" x14ac:dyDescent="0.2">
      <c r="A6" s="31">
        <v>2100</v>
      </c>
      <c r="B6" t="s">
        <v>793</v>
      </c>
      <c r="C6" s="205">
        <f t="shared" si="0"/>
        <v>2716459.33</v>
      </c>
      <c r="D6" s="19">
        <f>'DOE25'!L203+'DOE25'!L221+'DOE25'!L239-F6-G6-H6</f>
        <v>2711131.42</v>
      </c>
      <c r="E6" s="179"/>
      <c r="F6" s="180"/>
      <c r="G6" s="19">
        <f>'DOE25'!J203+'DOE25'!J221+'DOE25'!J239</f>
        <v>4272.8500000000004</v>
      </c>
      <c r="H6" s="19">
        <f>'DOE25'!K203+'DOE25'!K221+'DOE25'!K239</f>
        <v>1055.06</v>
      </c>
      <c r="I6" s="191"/>
    </row>
    <row r="7" spans="1:9" x14ac:dyDescent="0.2">
      <c r="A7" s="31">
        <v>2200</v>
      </c>
      <c r="B7" t="s">
        <v>817</v>
      </c>
      <c r="C7" s="205">
        <f t="shared" si="0"/>
        <v>692599.22</v>
      </c>
      <c r="D7" s="19">
        <f>'DOE25'!L204+'DOE25'!L222+'DOE25'!L240-F7-G7-H7</f>
        <v>690412.59</v>
      </c>
      <c r="E7" s="179"/>
      <c r="F7" s="180"/>
      <c r="G7" s="19">
        <f>'DOE25'!J204+'DOE25'!J222+'DOE25'!J240</f>
        <v>485.88</v>
      </c>
      <c r="H7" s="19">
        <f>'DOE25'!K204+'DOE25'!K222+'DOE25'!K240</f>
        <v>1700.75</v>
      </c>
      <c r="I7" s="191"/>
    </row>
    <row r="8" spans="1:9" x14ac:dyDescent="0.2">
      <c r="A8" s="31">
        <v>2300</v>
      </c>
      <c r="B8" t="s">
        <v>794</v>
      </c>
      <c r="C8" s="205">
        <f t="shared" si="0"/>
        <v>1325545.9999999998</v>
      </c>
      <c r="D8" s="179"/>
      <c r="E8" s="19">
        <f>'DOE25'!L205+'DOE25'!L223+'DOE25'!L241-F8-G8-H8-D9-D11</f>
        <v>1320039.7399999998</v>
      </c>
      <c r="F8" s="180"/>
      <c r="G8" s="19">
        <f>'DOE25'!J205+'DOE25'!J223+'DOE25'!J241</f>
        <v>0</v>
      </c>
      <c r="H8" s="19">
        <f>'DOE25'!K205+'DOE25'!K223+'DOE25'!K241</f>
        <v>5506.26</v>
      </c>
      <c r="I8" s="191"/>
    </row>
    <row r="9" spans="1:9" ht="14.25" x14ac:dyDescent="0.2">
      <c r="A9" s="31">
        <v>2310</v>
      </c>
      <c r="B9" s="71" t="s">
        <v>884</v>
      </c>
      <c r="C9" s="205">
        <f t="shared" si="0"/>
        <v>284097.64</v>
      </c>
      <c r="D9" s="180">
        <v>284097.64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2399182.65</v>
      </c>
      <c r="D12" s="19">
        <f>'DOE25'!L206+'DOE25'!L224+'DOE25'!L242-F12-G12-H12</f>
        <v>2269067.15</v>
      </c>
      <c r="E12" s="179"/>
      <c r="F12" s="180"/>
      <c r="G12" s="19">
        <f>'DOE25'!J206+'DOE25'!J224+'DOE25'!J242</f>
        <v>62567.19</v>
      </c>
      <c r="H12" s="19">
        <f>'DOE25'!K206+'DOE25'!K224+'DOE25'!K242</f>
        <v>67548.31</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4819955.4000000004</v>
      </c>
      <c r="D14" s="19">
        <f>'DOE25'!L208+'DOE25'!L226+'DOE25'!L244-F14-G14-H14</f>
        <v>4185738.4400000004</v>
      </c>
      <c r="E14" s="179"/>
      <c r="F14" s="180">
        <v>491184</v>
      </c>
      <c r="G14" s="19">
        <f>'DOE25'!J208+'DOE25'!J226+'DOE25'!J244</f>
        <v>143032.95999999999</v>
      </c>
      <c r="H14" s="19">
        <f>'DOE25'!K208+'DOE25'!K226+'DOE25'!K244</f>
        <v>0</v>
      </c>
      <c r="I14" s="191"/>
    </row>
    <row r="15" spans="1:9" x14ac:dyDescent="0.2">
      <c r="A15" s="31">
        <v>2700</v>
      </c>
      <c r="B15" t="s">
        <v>796</v>
      </c>
      <c r="C15" s="205">
        <f t="shared" si="0"/>
        <v>1055651.58</v>
      </c>
      <c r="D15" s="19">
        <f>'DOE25'!L209+'DOE25'!L227+'DOE25'!L245-F15-G15-H15</f>
        <v>807495.31</v>
      </c>
      <c r="E15" s="179"/>
      <c r="F15" s="180">
        <v>25256.27</v>
      </c>
      <c r="G15" s="19">
        <f>'DOE25'!J209+'DOE25'!J227+'DOE25'!J245</f>
        <v>222900</v>
      </c>
      <c r="H15" s="19">
        <f>'DOE25'!K209+'DOE25'!K227+'DOE25'!K245</f>
        <v>0</v>
      </c>
      <c r="I15" s="191"/>
    </row>
    <row r="16" spans="1:9" x14ac:dyDescent="0.2">
      <c r="A16" s="31">
        <v>2800</v>
      </c>
      <c r="B16" t="s">
        <v>797</v>
      </c>
      <c r="C16" s="205">
        <f t="shared" si="0"/>
        <v>2801381.0599999996</v>
      </c>
      <c r="D16" s="179"/>
      <c r="E16" s="19">
        <f>'DOE25'!L210+'DOE25'!L228+'DOE25'!L246-F16-G16-H16</f>
        <v>2801381.0599999996</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2266709.2599999998</v>
      </c>
      <c r="D25" s="179"/>
      <c r="E25" s="179"/>
      <c r="F25" s="190"/>
      <c r="G25" s="179"/>
      <c r="H25" s="179"/>
      <c r="I25" s="189">
        <f>'DOE25'!L261+'DOE25'!L262+'DOE25'!L342+'DOE25'!L343</f>
        <v>2266709.2599999998</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553248.29</v>
      </c>
      <c r="D29" s="211">
        <f>'DOE25'!L359+'DOE25'!L360+'DOE25'!L361-'DOE25'!I368-F29-G29-H29-F39</f>
        <v>553248.29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3479989.6599999992</v>
      </c>
      <c r="D31" s="19">
        <f>'DOE25'!L291+'DOE25'!L310+'DOE25'!L329+'DOE25'!L334+'DOE25'!L335+'DOE25'!L336-F31-G31-H31</f>
        <v>2486381.2499999991</v>
      </c>
      <c r="E31" s="179"/>
      <c r="F31" s="180">
        <v>225397.7</v>
      </c>
      <c r="G31" s="19">
        <f>'DOE25'!J291+'DOE25'!J310+'DOE25'!J329+'DOE25'!J334+'DOE25'!J335+'DOE25'!J336</f>
        <v>764916.05</v>
      </c>
      <c r="H31" s="19">
        <f>'DOE25'!K291+'DOE25'!K310+'DOE25'!K329+'DOE25'!K334+'DOE25'!K335+'DOE25'!K336</f>
        <v>3294.66</v>
      </c>
      <c r="I31" s="191"/>
    </row>
    <row r="32" spans="1:9" ht="12" thickBot="1" x14ac:dyDescent="0.25">
      <c r="C32" s="206"/>
      <c r="G32" s="187"/>
      <c r="H32" s="187"/>
      <c r="I32" s="193"/>
    </row>
    <row r="33" spans="1:9" ht="12" thickTop="1" x14ac:dyDescent="0.2">
      <c r="B33" t="s">
        <v>806</v>
      </c>
      <c r="D33" s="181">
        <f t="shared" ref="D33:I33" si="1">SUM(D5:D31)</f>
        <v>31573111.23</v>
      </c>
      <c r="E33" s="181">
        <f t="shared" si="1"/>
        <v>4121420.7999999993</v>
      </c>
      <c r="F33" s="181">
        <f t="shared" si="1"/>
        <v>741837.97</v>
      </c>
      <c r="G33" s="181">
        <f t="shared" si="1"/>
        <v>1432840.97</v>
      </c>
      <c r="H33" s="181">
        <f t="shared" si="1"/>
        <v>96119.44</v>
      </c>
      <c r="I33" s="181">
        <f t="shared" si="1"/>
        <v>2266709.2599999998</v>
      </c>
    </row>
    <row r="34" spans="1:9" ht="12" thickBot="1" x14ac:dyDescent="0.25"/>
    <row r="35" spans="1:9" ht="12" thickBot="1" x14ac:dyDescent="0.25">
      <c r="B35" s="187" t="s">
        <v>827</v>
      </c>
      <c r="D35" s="188">
        <f>E33</f>
        <v>4121420.7999999993</v>
      </c>
      <c r="E35" s="184"/>
      <c r="F35" s="294" t="s">
        <v>1596</v>
      </c>
      <c r="G35" s="295"/>
      <c r="H35" s="295"/>
      <c r="I35" s="296"/>
    </row>
    <row r="36" spans="1:9" ht="12" thickTop="1" x14ac:dyDescent="0.2">
      <c r="B36" t="s">
        <v>807</v>
      </c>
      <c r="D36" s="19">
        <f>D33</f>
        <v>31573111.23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214111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G1" zoomScale="75" zoomScaleNormal="75" workbookViewId="0">
      <selection activeCell="C22" sqref="C2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Conway</v>
      </c>
      <c r="B2">
        <f>'DOE25'!B2</f>
        <v>113</v>
      </c>
      <c r="J2" s="223" t="s">
        <v>1799</v>
      </c>
      <c r="K2" s="308">
        <f>SUM('DOE25'!L198:L201)+SUM('DOE25'!L277:L280)</f>
        <v>9118178.4299999997</v>
      </c>
      <c r="L2" s="308">
        <f>'DOE25'!L203+'DOE25'!L282</f>
        <v>1411413.67</v>
      </c>
      <c r="M2" s="308">
        <f>'DOE25'!L204+'DOE25'!L283</f>
        <v>609565.57000000007</v>
      </c>
      <c r="N2" s="308">
        <f>'DOE25'!L206+'DOE25'!L285</f>
        <v>829242.11</v>
      </c>
      <c r="O2" s="316">
        <f>'Salaries-Benefits'!B10+'Salaries-Benefits'!B12+'Salaries-Benefits'!B19+'Salaries-Benefits'!B21+'Salaries-Benefits'!B28+'Salaries-Benefits'!B30+'Salaries-Benefits'!B37+'Salaries-Benefits'!B39</f>
        <v>10337421.699999999</v>
      </c>
      <c r="P2" s="316">
        <f>'Salaries-Benefits'!B11+'Salaries-Benefits'!B20+'Salaries-Benefits'!B29+'Salaries-Benefits'!B38</f>
        <v>1158266.81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15790506.350000001</v>
      </c>
      <c r="G4" s="228">
        <f>'DOE25'!L212+'DOE25'!L291</f>
        <v>15790506.35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768269.33</v>
      </c>
      <c r="E5" s="219">
        <v>28663.8</v>
      </c>
      <c r="F5" s="231">
        <f>D5+E5</f>
        <v>796933.13</v>
      </c>
      <c r="G5" s="222"/>
      <c r="H5" s="222"/>
      <c r="J5" s="71" t="s">
        <v>1840</v>
      </c>
      <c r="K5" s="20">
        <v>622715.12</v>
      </c>
      <c r="L5" s="20">
        <f>16944.15+68365.11+7836.8</f>
        <v>93146.060000000012</v>
      </c>
      <c r="M5" s="20">
        <v>0</v>
      </c>
      <c r="N5" s="20">
        <v>0</v>
      </c>
      <c r="O5" s="20"/>
      <c r="P5" s="20"/>
      <c r="Q5" s="20"/>
    </row>
    <row r="6" spans="1:22" x14ac:dyDescent="0.2">
      <c r="A6" t="str" cm="1">
        <f t="array" ref="A6">IFERROR(INDEX('School Tables'!$A$4:$G$365,'School Tables'!$J4,3),"")</f>
        <v>Conway Elementary School</v>
      </c>
      <c r="B6" s="229">
        <f>IFERROR(VLOOKUP(A6,'School Tables'!$C$3:$D$365,2,FALSE),"")</f>
        <v>20340</v>
      </c>
      <c r="C6" s="222" t="str">
        <f>IFERROR(INDEX('School Tables'!$B$3:$B$365,MATCH('School Level Expenditures'!B6,'School Tables'!$D$3:$D$365,0)),"")</f>
        <v>Conway</v>
      </c>
      <c r="D6" s="219">
        <v>4299594.92</v>
      </c>
      <c r="E6" s="219">
        <f>784249.07-10143.77</f>
        <v>774105.29999999993</v>
      </c>
      <c r="F6" s="231">
        <f t="shared" ref="F6:F20" si="2">D6+E6</f>
        <v>5073700.22</v>
      </c>
      <c r="G6" s="222"/>
      <c r="H6" s="222"/>
      <c r="J6" t="str">
        <f t="shared" ref="J6:J20" si="3">A6</f>
        <v>Conway Elementary School</v>
      </c>
      <c r="K6" s="20">
        <f>1735197.3+727265.13+1297.2+387498.85+54172.75+154848.15</f>
        <v>3060279.3800000004</v>
      </c>
      <c r="L6" s="20">
        <f>188627.71+79779.09+2422.97+103946.44+15268.12+31281.54</f>
        <v>421325.86999999994</v>
      </c>
      <c r="M6" s="307">
        <f>76372.89+14843.26+80028.9</f>
        <v>171245.05</v>
      </c>
      <c r="N6" s="20">
        <v>234512.71</v>
      </c>
      <c r="O6" s="20">
        <f>1069794.59+21686.73+24010.91+249045.53+22576.71+14908.44+129505.65+17383.5+230570.24+23561.94+94560.75-310162.25</f>
        <v>1587442.7399999998</v>
      </c>
      <c r="P6" s="20">
        <v>310162.25</v>
      </c>
      <c r="Q6" s="20">
        <f>15579.14+9615.47+2817.37+10257.62</f>
        <v>38269.599999999999</v>
      </c>
    </row>
    <row r="7" spans="1:22" x14ac:dyDescent="0.2">
      <c r="A7" t="str" cm="1">
        <f t="array" ref="A7">IFERROR(INDEX('School Tables'!$A$4:$G$365,'School Tables'!$J5,3),"")</f>
        <v>John H. Fuller School</v>
      </c>
      <c r="B7" s="229">
        <f>IFERROR(VLOOKUP(A7,'School Tables'!$C$3:$D$365,2,FALSE),"")</f>
        <v>20335</v>
      </c>
      <c r="C7" s="222" t="str">
        <f>IFERROR(INDEX('School Tables'!$B$3:$B$365,MATCH('School Level Expenditures'!B7,'School Tables'!$D$3:$D$365,0)),"")</f>
        <v>Conway</v>
      </c>
      <c r="D7" s="219">
        <v>4065481.89</v>
      </c>
      <c r="E7" s="219">
        <v>475457.97</v>
      </c>
      <c r="F7" s="231">
        <f t="shared" si="2"/>
        <v>4540939.8600000003</v>
      </c>
      <c r="G7" s="222"/>
      <c r="H7" s="222"/>
      <c r="J7" t="str">
        <f t="shared" si="3"/>
        <v>John H. Fuller School</v>
      </c>
      <c r="K7" s="20">
        <f>1444574.05+667491.19+833.92+126963.59+41567.74+104125.39</f>
        <v>2385555.8800000004</v>
      </c>
      <c r="L7" s="20">
        <f>236667.95+70531.1+1150.88+96120.33+14309.53+31914.64</f>
        <v>450694.43000000011</v>
      </c>
      <c r="M7" s="307">
        <f>72197.92+27101.04+93372.22</f>
        <v>192671.18</v>
      </c>
      <c r="N7" s="20">
        <v>316205.11</v>
      </c>
      <c r="O7" s="20">
        <f>887684.21+20473.49+22668.49+235063.9+21314.66+14075.05+115180.79+16411.76+46925.37+22244.81+52460.44-233952.63</f>
        <v>1220550.3399999999</v>
      </c>
      <c r="P7" s="20">
        <v>233952.63</v>
      </c>
      <c r="Q7" s="20">
        <f>14848.78+9346+2659.88+8126.28</f>
        <v>34980.94</v>
      </c>
    </row>
    <row r="8" spans="1:22" x14ac:dyDescent="0.2">
      <c r="A8" t="str" cm="1">
        <f t="array" ref="A8">IFERROR(INDEX('School Tables'!$A$4:$G$365,'School Tables'!$J6,3),"")</f>
        <v>Pine Tree Elementary School</v>
      </c>
      <c r="B8" s="229">
        <f>IFERROR(VLOOKUP(A8,'School Tables'!$C$3:$D$365,2,FALSE),"")</f>
        <v>20330</v>
      </c>
      <c r="C8" s="222" t="str">
        <f>IFERROR(INDEX('School Tables'!$B$3:$B$365,MATCH('School Level Expenditures'!B8,'School Tables'!$D$3:$D$365,0)),"")</f>
        <v>Conway</v>
      </c>
      <c r="D8" s="219">
        <v>4630764.53</v>
      </c>
      <c r="E8" s="219">
        <v>748168.61</v>
      </c>
      <c r="F8" s="231">
        <f t="shared" si="2"/>
        <v>5378933.1400000006</v>
      </c>
      <c r="G8" s="222"/>
      <c r="H8" s="222"/>
      <c r="J8" t="str">
        <f t="shared" si="3"/>
        <v>Pine Tree Elementary School</v>
      </c>
      <c r="K8" s="20">
        <f>1790519.75+728032.79+1389.87+315107.33+51139.26+173582.82-10143.77</f>
        <v>3049628.05</v>
      </c>
      <c r="L8" s="20">
        <f>189093.57+71837.38+1069.96+118245.35+17604.47+48396.58</f>
        <v>446247.31</v>
      </c>
      <c r="M8" s="307">
        <f>89586.42+27328+128734.92</f>
        <v>245649.34</v>
      </c>
      <c r="N8" s="20">
        <v>278524.28999999998</v>
      </c>
      <c r="O8" s="20">
        <f>1085474.11+25187.78+27888.65+235649.59+26222.63+17316.01+107231.79+20190.78+168956.33+27366.98+100193.74+9772.96</f>
        <v>1851451.35</v>
      </c>
      <c r="P8" s="20">
        <v>248535.54</v>
      </c>
      <c r="Q8" s="20">
        <f>2757.25+2961.04+6738.92+10474.97</f>
        <v>22932.18</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13764110.670000002</v>
      </c>
      <c r="E21" s="261">
        <f>SUM(E5:E20)</f>
        <v>2026395.6799999997</v>
      </c>
      <c r="F21" s="216"/>
      <c r="G21" s="216"/>
      <c r="H21" s="216"/>
      <c r="K21" s="262">
        <f t="shared" ref="K21:Q21" si="4">SUM(K5:K20)</f>
        <v>9118178.4299999997</v>
      </c>
      <c r="L21" s="262">
        <f t="shared" si="4"/>
        <v>1411413.6700000002</v>
      </c>
      <c r="M21" s="262">
        <f t="shared" si="4"/>
        <v>609565.56999999995</v>
      </c>
      <c r="N21" s="262">
        <f t="shared" si="4"/>
        <v>829242.10999999987</v>
      </c>
      <c r="O21" s="262">
        <f t="shared" si="4"/>
        <v>4659444.43</v>
      </c>
      <c r="P21" s="262">
        <f t="shared" si="4"/>
        <v>792650.42</v>
      </c>
      <c r="Q21" s="262">
        <f t="shared" si="4"/>
        <v>96182.720000000001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2932486.17</v>
      </c>
      <c r="L23" s="19">
        <f>'DOE25'!L221+'DOE25'!L301</f>
        <v>437389.86</v>
      </c>
      <c r="M23" s="19">
        <f>'DOE25'!L222+'DOE25'!L302</f>
        <v>247655.33000000002</v>
      </c>
      <c r="N23" s="19">
        <f>'DOE25'!L224+'DOE25'!L304</f>
        <v>352340.93999999994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6218423.1999999993</v>
      </c>
      <c r="G25" s="228">
        <f>'DOE25'!L230+'DOE25'!L310</f>
        <v>6218423.2000000011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0</v>
      </c>
      <c r="E26" s="219">
        <v>0</v>
      </c>
      <c r="F26" s="231">
        <f>D26+E26</f>
        <v>0</v>
      </c>
      <c r="G26" s="222"/>
      <c r="H26" s="222"/>
      <c r="J26" s="71" t="s">
        <v>1840</v>
      </c>
      <c r="K26" s="315"/>
      <c r="L26" s="315"/>
      <c r="M26" s="315"/>
      <c r="N26" s="315"/>
      <c r="O26" s="315"/>
      <c r="P26" s="315"/>
      <c r="Q26" s="315"/>
    </row>
    <row r="27" spans="1:17" x14ac:dyDescent="0.2">
      <c r="A27" t="str" cm="1">
        <f t="array" ref="A27">IFERROR(INDEX('School Tables'!$L$4:$R$100,'School Tables'!$U4,3),"")</f>
        <v>A. Crosby Kennett Middle School</v>
      </c>
      <c r="B27" s="229">
        <f>IFERROR(VLOOKUP(A27,'School Tables'!$N$4:$O$100,2,FALSE),"")</f>
        <v>27010</v>
      </c>
      <c r="C27" s="222" t="str">
        <f>IFERROR(INDEX('School Tables'!$M$4:$M$100,MATCH('School Level Expenditures'!A27,'School Tables'!$N$4:$N$100,0)),"")</f>
        <v>Conway</v>
      </c>
      <c r="D27" s="219">
        <v>5843768.2699999996</v>
      </c>
      <c r="E27" s="219">
        <v>374654.93</v>
      </c>
      <c r="F27" s="231">
        <f t="shared" ref="F27:F33" si="6">D27+E27</f>
        <v>6218423.1999999993</v>
      </c>
      <c r="G27" s="222"/>
      <c r="H27" s="222"/>
      <c r="J27" t="str">
        <f t="shared" ref="J27:J33" si="7">A27</f>
        <v>A. Crosby Kennett Middle School</v>
      </c>
      <c r="K27" s="20">
        <v>2932486.17</v>
      </c>
      <c r="L27" s="20">
        <v>437389.86</v>
      </c>
      <c r="M27" s="307">
        <v>247655.33</v>
      </c>
      <c r="N27" s="20">
        <v>352340.94</v>
      </c>
      <c r="O27" s="20">
        <v>1589382.66</v>
      </c>
      <c r="P27" s="20">
        <v>167900.63</v>
      </c>
      <c r="Q27" s="20">
        <f>8010.33+11628.77+5726.92+3828.24</f>
        <v>29194.259999999995</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5843768.2699999996</v>
      </c>
      <c r="E34" s="261">
        <f>SUM(E26:E33)</f>
        <v>374654.93</v>
      </c>
      <c r="F34" s="216"/>
      <c r="G34" s="216"/>
      <c r="H34" s="216"/>
      <c r="K34" s="262">
        <f t="shared" ref="K34:Q34" si="8">SUM(K26:K33)</f>
        <v>2932486.17</v>
      </c>
      <c r="L34" s="262">
        <f t="shared" si="8"/>
        <v>437389.86</v>
      </c>
      <c r="M34" s="262">
        <f t="shared" si="8"/>
        <v>247655.33</v>
      </c>
      <c r="N34" s="262">
        <f t="shared" si="8"/>
        <v>352340.94</v>
      </c>
      <c r="O34" s="262">
        <f t="shared" si="8"/>
        <v>1589382.66</v>
      </c>
      <c r="P34" s="262">
        <f t="shared" si="8"/>
        <v>167900.63</v>
      </c>
      <c r="Q34" s="262">
        <f t="shared" si="8"/>
        <v>29194.259999999995</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7805331.919999999</v>
      </c>
      <c r="L36" s="19">
        <f>'DOE25'!L239+'DOE25'!L320</f>
        <v>1212948.1300000001</v>
      </c>
      <c r="M36" s="19">
        <f>'DOE25'!L240+'DOE25'!L321</f>
        <v>422942.58999999997</v>
      </c>
      <c r="N36" s="19">
        <f>'DOE25'!L242+'DOE25'!L323</f>
        <v>1218046.53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15403152.57</v>
      </c>
      <c r="G38" s="228">
        <f>'DOE25'!L248+'DOE25'!L329</f>
        <v>15403152.57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11164.52+144485.58</f>
        <v>155650.09999999998</v>
      </c>
      <c r="E39" s="219"/>
      <c r="F39" s="231">
        <f t="shared" ref="F39:F44" si="10">D39+E39</f>
        <v>155650.09999999998</v>
      </c>
      <c r="G39" s="222"/>
      <c r="H39" s="222"/>
      <c r="J39" s="71" t="s">
        <v>1840</v>
      </c>
      <c r="K39" s="315">
        <f>11164.52+144485.58</f>
        <v>155650.09999999998</v>
      </c>
      <c r="L39" s="315"/>
      <c r="M39" s="315"/>
      <c r="N39" s="315"/>
      <c r="O39" s="315"/>
      <c r="P39" s="315"/>
      <c r="Q39" s="315"/>
    </row>
    <row r="40" spans="1:17" x14ac:dyDescent="0.2">
      <c r="A40" t="str" cm="1">
        <f t="array" ref="A40">IFERROR(INDEX('School Tables'!$W$4:$AC$120,'School Tables'!$AF4,3),"")</f>
        <v>Kennett High School</v>
      </c>
      <c r="B40" s="229">
        <f>IFERROR(VLOOKUP(A40,'School Tables'!$Y$4:$Z$120,2,FALSE),"")</f>
        <v>20345</v>
      </c>
      <c r="C40" s="222" t="str">
        <f>IFERROR(INDEX('School Tables'!$X$4:$X$120,MATCH('School Level Expenditures'!A40,'School Tables'!$Y$4:$Y$120,0)),"")</f>
        <v>Conway</v>
      </c>
      <c r="D40" s="219">
        <f>14324213.52-11164.52-144485.58</f>
        <v>14168563.42</v>
      </c>
      <c r="E40" s="219">
        <v>1078939.05</v>
      </c>
      <c r="F40" s="231">
        <f t="shared" si="10"/>
        <v>15247502.470000001</v>
      </c>
      <c r="G40" s="222"/>
      <c r="H40" s="222"/>
      <c r="J40" t="str">
        <f>A40</f>
        <v>Kennett High School</v>
      </c>
      <c r="K40" s="20">
        <f>7805331.92-155650.1</f>
        <v>7649681.8200000003</v>
      </c>
      <c r="L40" s="20">
        <v>1212948.1299999999</v>
      </c>
      <c r="M40" s="307">
        <v>422942.59</v>
      </c>
      <c r="N40" s="20">
        <v>1218046.53</v>
      </c>
      <c r="O40" s="20">
        <v>4088594.61</v>
      </c>
      <c r="P40" s="20">
        <f>40885.33+95711.17+61119.26</f>
        <v>197715.76</v>
      </c>
      <c r="Q40" s="20">
        <f>21381+30762.49+10387+9609.56</f>
        <v>72140.05</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14324213.52</v>
      </c>
      <c r="E45" s="262">
        <f>SUM(E39:E44)</f>
        <v>1078939.05</v>
      </c>
      <c r="K45" s="262">
        <f t="shared" ref="K45:Q45" si="11">SUM(K39:K44)</f>
        <v>7805331.9199999999</v>
      </c>
      <c r="L45" s="262">
        <f t="shared" si="11"/>
        <v>1212948.1299999999</v>
      </c>
      <c r="M45" s="262">
        <f t="shared" si="11"/>
        <v>422942.59</v>
      </c>
      <c r="N45" s="262">
        <f t="shared" si="11"/>
        <v>1218046.53</v>
      </c>
      <c r="O45" s="262">
        <f t="shared" si="11"/>
        <v>4088594.61</v>
      </c>
      <c r="P45" s="262">
        <f t="shared" si="11"/>
        <v>197715.76</v>
      </c>
      <c r="Q45" s="262">
        <f t="shared" si="11"/>
        <v>72140.05</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Conway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-1071811.8400000001</v>
      </c>
      <c r="D8" s="73">
        <f>'DOE25'!G9</f>
        <v>1011656.55</v>
      </c>
      <c r="E8" s="73">
        <f>'DOE25'!H9</f>
        <v>0</v>
      </c>
      <c r="F8" s="73">
        <f>'DOE25'!I9</f>
        <v>0</v>
      </c>
      <c r="G8" s="73">
        <f>'DOE25'!J9</f>
        <v>2674037.6800000002</v>
      </c>
      <c r="H8" s="13">
        <f>SUM(C8:G8)</f>
        <v>2613882.39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2597722.9300000002</v>
      </c>
      <c r="D11" s="73">
        <f>'DOE25'!G12</f>
        <v>56539.34</v>
      </c>
      <c r="E11" s="73">
        <f>'DOE25'!H12</f>
        <v>0</v>
      </c>
      <c r="F11" s="73">
        <f>'DOE25'!I12</f>
        <v>0</v>
      </c>
      <c r="G11" s="73">
        <f>'DOE25'!J12</f>
        <v>0</v>
      </c>
      <c r="H11" s="13">
        <f t="shared" si="0"/>
        <v>2654262.27</v>
      </c>
      <c r="I11" s="90"/>
    </row>
    <row r="12" spans="1:9" x14ac:dyDescent="0.2">
      <c r="A12" s="1" t="s">
        <v>143</v>
      </c>
      <c r="B12" s="6">
        <v>140</v>
      </c>
      <c r="C12" s="73">
        <f>'DOE25'!F13</f>
        <v>1380941.8</v>
      </c>
      <c r="D12" s="73">
        <f>'DOE25'!G13</f>
        <v>383777.21</v>
      </c>
      <c r="E12" s="73">
        <f>'DOE25'!H13</f>
        <v>2161642.0699999998</v>
      </c>
      <c r="F12" s="73">
        <f>'DOE25'!I13</f>
        <v>0</v>
      </c>
      <c r="G12" s="73">
        <f>'DOE25'!J13</f>
        <v>0</v>
      </c>
      <c r="H12" s="13">
        <f t="shared" si="0"/>
        <v>3926361.08</v>
      </c>
      <c r="I12" s="90"/>
    </row>
    <row r="13" spans="1:9" x14ac:dyDescent="0.2">
      <c r="A13" s="1" t="s">
        <v>144</v>
      </c>
      <c r="B13" s="6">
        <v>150</v>
      </c>
      <c r="C13" s="73">
        <f>'DOE25'!F14</f>
        <v>715152.72</v>
      </c>
      <c r="D13" s="73">
        <f>'DOE25'!G14</f>
        <v>4641.6000000000004</v>
      </c>
      <c r="E13" s="73">
        <f>'DOE25'!H14</f>
        <v>0</v>
      </c>
      <c r="F13" s="73">
        <f>'DOE25'!I14</f>
        <v>0</v>
      </c>
      <c r="G13" s="73">
        <f>'DOE25'!J14</f>
        <v>0</v>
      </c>
      <c r="H13" s="13">
        <f t="shared" si="0"/>
        <v>719794.32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51953.22</v>
      </c>
      <c r="E15" s="73">
        <f>'DOE25'!H16</f>
        <v>0</v>
      </c>
      <c r="F15" s="73">
        <f>'DOE25'!I16</f>
        <v>0</v>
      </c>
      <c r="G15" s="23" t="s">
        <v>288</v>
      </c>
      <c r="H15" s="13">
        <f t="shared" si="0"/>
        <v>51953.22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3622005.6100000003</v>
      </c>
      <c r="D18" s="38">
        <f>SUM(D8:D17)</f>
        <v>1508567.9200000002</v>
      </c>
      <c r="E18" s="38">
        <f>SUM(E8:E17)</f>
        <v>2161642.0699999998</v>
      </c>
      <c r="F18" s="38">
        <f>SUM(F8:F17)</f>
        <v>0</v>
      </c>
      <c r="G18" s="38">
        <f>SUM(G8:G17)</f>
        <v>2674037.6800000002</v>
      </c>
      <c r="H18" s="38">
        <f t="shared" si="0"/>
        <v>9966253.2799999993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56539.34</v>
      </c>
      <c r="D21" s="73">
        <f>'DOE25'!G22</f>
        <v>1455163.7</v>
      </c>
      <c r="E21" s="73">
        <f>'DOE25'!H22</f>
        <v>1142924.75</v>
      </c>
      <c r="F21" s="73">
        <f>'DOE25'!I22</f>
        <v>0</v>
      </c>
      <c r="G21" s="73">
        <f>'DOE25'!J22</f>
        <v>0</v>
      </c>
      <c r="H21" s="13">
        <f t="shared" ref="H21:H31" si="1">SUM(C21:G21)</f>
        <v>2654627.79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766002.28</v>
      </c>
      <c r="D23" s="73">
        <f>'DOE25'!G24</f>
        <v>1446.25</v>
      </c>
      <c r="E23" s="73">
        <f>'DOE25'!H24</f>
        <v>546689.99</v>
      </c>
      <c r="F23" s="73">
        <f>'DOE25'!I24</f>
        <v>0</v>
      </c>
      <c r="G23" s="73">
        <f>'DOE25'!J24</f>
        <v>0</v>
      </c>
      <c r="H23" s="13">
        <f t="shared" si="1"/>
        <v>1314138.52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83991.81</v>
      </c>
      <c r="D27" s="73">
        <f>'DOE25'!G28</f>
        <v>0</v>
      </c>
      <c r="E27" s="73">
        <f>'DOE25'!H28</f>
        <v>0</v>
      </c>
      <c r="F27" s="73">
        <f>'DOE25'!I28</f>
        <v>0</v>
      </c>
      <c r="G27" s="23" t="s">
        <v>288</v>
      </c>
      <c r="H27" s="13">
        <f t="shared" si="1"/>
        <v>83991.81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65217.52</v>
      </c>
      <c r="D29" s="73">
        <f>'DOE25'!G30</f>
        <v>0</v>
      </c>
      <c r="E29" s="73">
        <f>'DOE25'!H30</f>
        <v>0</v>
      </c>
      <c r="F29" s="73">
        <f>'DOE25'!I30</f>
        <v>0</v>
      </c>
      <c r="G29" s="23" t="s">
        <v>288</v>
      </c>
      <c r="H29" s="13">
        <f t="shared" si="1"/>
        <v>65217.52</v>
      </c>
      <c r="I29" s="90"/>
    </row>
    <row r="30" spans="1:9" ht="12" thickBot="1" x14ac:dyDescent="0.25">
      <c r="A30" s="1" t="s">
        <v>159</v>
      </c>
      <c r="B30" s="56">
        <v>490</v>
      </c>
      <c r="C30" s="73">
        <f>'DOE25'!F31</f>
        <v>0</v>
      </c>
      <c r="D30" s="73" t="str">
        <f>'DOE25'!G31</f>
        <v>]</v>
      </c>
      <c r="E30" s="73">
        <f>'DOE25'!H31</f>
        <v>0</v>
      </c>
      <c r="F30" s="73">
        <f>'DOE25'!I31</f>
        <v>0</v>
      </c>
      <c r="G30" s="73">
        <f>'DOE25'!J31</f>
        <v>0</v>
      </c>
      <c r="H30" s="13">
        <f t="shared" si="1"/>
        <v>0</v>
      </c>
      <c r="I30" s="90"/>
    </row>
    <row r="31" spans="1:9" ht="12" thickTop="1" x14ac:dyDescent="0.2">
      <c r="A31" s="35" t="s">
        <v>160</v>
      </c>
      <c r="B31" s="2"/>
      <c r="C31" s="38">
        <f>SUM(C21:C30)</f>
        <v>971750.95</v>
      </c>
      <c r="D31" s="38">
        <f>SUM(D21:D30)</f>
        <v>1456609.95</v>
      </c>
      <c r="E31" s="38">
        <f>SUM(E21:E30)</f>
        <v>1689614.74</v>
      </c>
      <c r="F31" s="38">
        <f>SUM(F21:F30)</f>
        <v>0</v>
      </c>
      <c r="G31" s="38">
        <f>SUM(G21:G30)</f>
        <v>0</v>
      </c>
      <c r="H31" s="38">
        <f t="shared" si="1"/>
        <v>4117975.6399999997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51957.97</v>
      </c>
      <c r="E34" s="73">
        <f>'DOE25'!H35</f>
        <v>0</v>
      </c>
      <c r="F34" s="73">
        <f>'DOE25'!I35</f>
        <v>0</v>
      </c>
      <c r="G34" s="23" t="s">
        <v>288</v>
      </c>
      <c r="H34" s="13">
        <f t="shared" ref="H34:H51" si="2">SUM(C34:G34)</f>
        <v>51957.97</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472027.33</v>
      </c>
      <c r="F47" s="73">
        <f>'DOE25'!I48</f>
        <v>0</v>
      </c>
      <c r="G47" s="73">
        <f>'DOE25'!J48</f>
        <v>2674037.6800000002</v>
      </c>
      <c r="H47" s="13">
        <f t="shared" si="2"/>
        <v>3146065.0100000002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2650254.66</v>
      </c>
      <c r="D49" s="23" t="s">
        <v>288</v>
      </c>
      <c r="E49" s="23" t="s">
        <v>288</v>
      </c>
      <c r="F49" s="23" t="s">
        <v>288</v>
      </c>
      <c r="G49" s="23" t="s">
        <v>288</v>
      </c>
      <c r="H49" s="13">
        <f t="shared" si="2"/>
        <v>2650254.66</v>
      </c>
      <c r="I49" s="90"/>
    </row>
    <row r="50" spans="1:9" ht="12.75" thickTop="1" thickBot="1" x14ac:dyDescent="0.25">
      <c r="A50" s="35" t="s">
        <v>880</v>
      </c>
      <c r="B50" s="44"/>
      <c r="C50" s="38">
        <f>SUM(C34:C49)</f>
        <v>2650254.66</v>
      </c>
      <c r="D50" s="38">
        <f>SUM(D34:D49)</f>
        <v>51957.97</v>
      </c>
      <c r="E50" s="38">
        <f>SUM(E34:E49)</f>
        <v>472027.33</v>
      </c>
      <c r="F50" s="38">
        <f>SUM(F34:F49)</f>
        <v>0</v>
      </c>
      <c r="G50" s="38">
        <f>SUM(G34:G49)</f>
        <v>2674037.6800000002</v>
      </c>
      <c r="H50" s="38">
        <f t="shared" si="2"/>
        <v>5848277.6400000006</v>
      </c>
      <c r="I50" s="90"/>
    </row>
    <row r="51" spans="1:9" ht="12" thickTop="1" x14ac:dyDescent="0.2">
      <c r="A51" s="35" t="s">
        <v>881</v>
      </c>
      <c r="B51" s="2"/>
      <c r="C51" s="38">
        <f>C50+C31</f>
        <v>3622005.6100000003</v>
      </c>
      <c r="D51" s="38">
        <f>D50+D31</f>
        <v>1508567.92</v>
      </c>
      <c r="E51" s="38">
        <f>E50+E31</f>
        <v>2161642.0699999998</v>
      </c>
      <c r="F51" s="38">
        <f>F50+F31</f>
        <v>0</v>
      </c>
      <c r="G51" s="38">
        <f>G50+G31</f>
        <v>2674037.6800000002</v>
      </c>
      <c r="H51" s="38">
        <f t="shared" si="2"/>
        <v>9966253.2799999993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17196486</v>
      </c>
      <c r="D56" s="73">
        <f>'DOE25'!G60</f>
        <v>0</v>
      </c>
      <c r="E56" s="73">
        <f>'DOE25'!H60</f>
        <v>0</v>
      </c>
      <c r="F56" s="73">
        <f>'DOE25'!I60</f>
        <v>0</v>
      </c>
      <c r="G56" s="73">
        <f>'DOE25'!J60</f>
        <v>0</v>
      </c>
      <c r="H56" s="13">
        <f t="shared" ref="H56:H63" si="3">SUM(C56:G56)</f>
        <v>17196486</v>
      </c>
      <c r="I56"/>
    </row>
    <row r="57" spans="1:9" x14ac:dyDescent="0.2">
      <c r="A57" s="1" t="s">
        <v>164</v>
      </c>
      <c r="B57" s="6" t="s">
        <v>165</v>
      </c>
      <c r="C57" s="73">
        <f>'DOE25'!F79</f>
        <v>10449888</v>
      </c>
      <c r="D57" s="23" t="s">
        <v>288</v>
      </c>
      <c r="E57" s="73">
        <f>'DOE25'!H79</f>
        <v>0</v>
      </c>
      <c r="F57" s="23" t="s">
        <v>288</v>
      </c>
      <c r="G57" s="23" t="s">
        <v>288</v>
      </c>
      <c r="H57" s="13">
        <f t="shared" si="3"/>
        <v>10449888</v>
      </c>
      <c r="I57"/>
    </row>
    <row r="58" spans="1:9" x14ac:dyDescent="0.2">
      <c r="A58" s="1" t="s">
        <v>166</v>
      </c>
      <c r="B58" s="6" t="s">
        <v>167</v>
      </c>
      <c r="C58" s="73">
        <f>'DOE25'!F94</f>
        <v>13447.2</v>
      </c>
      <c r="D58" s="23" t="s">
        <v>288</v>
      </c>
      <c r="E58" s="73">
        <f>'DOE25'!H94</f>
        <v>0</v>
      </c>
      <c r="F58" s="23" t="s">
        <v>288</v>
      </c>
      <c r="G58" s="23" t="s">
        <v>288</v>
      </c>
      <c r="H58" s="13">
        <f t="shared" si="3"/>
        <v>13447.2</v>
      </c>
      <c r="I58"/>
    </row>
    <row r="59" spans="1:9" x14ac:dyDescent="0.2">
      <c r="A59" s="1" t="s">
        <v>168</v>
      </c>
      <c r="B59" s="6" t="s">
        <v>169</v>
      </c>
      <c r="C59" s="73">
        <f>'DOE25'!F96</f>
        <v>86931.62</v>
      </c>
      <c r="D59" s="73">
        <f>'DOE25'!G96</f>
        <v>21532.38</v>
      </c>
      <c r="E59" s="73">
        <f>'DOE25'!H96</f>
        <v>0</v>
      </c>
      <c r="F59" s="73">
        <f>'DOE25'!I96</f>
        <v>0</v>
      </c>
      <c r="G59" s="73">
        <f>'DOE25'!J96</f>
        <v>77964.06</v>
      </c>
      <c r="H59" s="13">
        <f t="shared" si="3"/>
        <v>186428.06</v>
      </c>
      <c r="I59"/>
    </row>
    <row r="60" spans="1:9" x14ac:dyDescent="0.2">
      <c r="A60" s="1" t="s">
        <v>170</v>
      </c>
      <c r="B60" s="22" t="s">
        <v>171</v>
      </c>
      <c r="C60" s="23" t="s">
        <v>288</v>
      </c>
      <c r="D60" s="73">
        <f>'DOE25'!G97</f>
        <v>310230.03000000003</v>
      </c>
      <c r="E60" s="23" t="s">
        <v>288</v>
      </c>
      <c r="F60" s="23" t="s">
        <v>288</v>
      </c>
      <c r="G60" s="23" t="s">
        <v>288</v>
      </c>
      <c r="H60" s="13">
        <f t="shared" si="3"/>
        <v>310230.03000000003</v>
      </c>
      <c r="I60"/>
    </row>
    <row r="61" spans="1:9" ht="12" thickBot="1" x14ac:dyDescent="0.25">
      <c r="A61" s="1" t="s">
        <v>172</v>
      </c>
      <c r="B61" s="22" t="s">
        <v>173</v>
      </c>
      <c r="C61" s="73">
        <f>SUM('DOE25'!F98:F110)</f>
        <v>189145.83000000002</v>
      </c>
      <c r="D61" s="73">
        <f>SUM('DOE25'!G98:G110)</f>
        <v>16657.02</v>
      </c>
      <c r="E61" s="73">
        <f>SUM('DOE25'!H98:H110)</f>
        <v>122052.79</v>
      </c>
      <c r="F61" s="73">
        <f>SUM('DOE25'!I98:I110)</f>
        <v>0</v>
      </c>
      <c r="G61" s="73">
        <f>SUM('DOE25'!J98:J110)</f>
        <v>0</v>
      </c>
      <c r="H61" s="13">
        <f t="shared" si="3"/>
        <v>327855.64</v>
      </c>
      <c r="I61"/>
    </row>
    <row r="62" spans="1:9" ht="12.75" thickTop="1" thickBot="1" x14ac:dyDescent="0.25">
      <c r="A62" s="28" t="s">
        <v>174</v>
      </c>
      <c r="B62" s="6"/>
      <c r="C62" s="93">
        <f>SUM(C57:C61)</f>
        <v>10739412.649999999</v>
      </c>
      <c r="D62" s="93">
        <f>SUM(D57:D61)</f>
        <v>348419.43000000005</v>
      </c>
      <c r="E62" s="93">
        <f>SUM(E57:E61)</f>
        <v>122052.79</v>
      </c>
      <c r="F62" s="93">
        <f>SUM(F57:F61)</f>
        <v>0</v>
      </c>
      <c r="G62" s="93">
        <f>SUM(G57:G61)</f>
        <v>77964.06</v>
      </c>
      <c r="H62" s="13">
        <f t="shared" si="3"/>
        <v>11287848.929999998</v>
      </c>
      <c r="I62"/>
    </row>
    <row r="63" spans="1:9" ht="12" thickTop="1" x14ac:dyDescent="0.2">
      <c r="A63" s="28" t="s">
        <v>175</v>
      </c>
      <c r="B63" s="6"/>
      <c r="C63" s="21">
        <f>C56+C62</f>
        <v>27935898.649999999</v>
      </c>
      <c r="D63" s="21">
        <f>D56+D62</f>
        <v>348419.43000000005</v>
      </c>
      <c r="E63" s="21">
        <f>E56+E62</f>
        <v>122052.79</v>
      </c>
      <c r="F63" s="21">
        <f>F56+F62</f>
        <v>0</v>
      </c>
      <c r="G63" s="21">
        <f>G56+G62</f>
        <v>77964.06</v>
      </c>
      <c r="H63" s="13">
        <f t="shared" si="3"/>
        <v>28484334.929999996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2603651.86</v>
      </c>
      <c r="D66" s="23" t="s">
        <v>288</v>
      </c>
      <c r="E66" s="23" t="s">
        <v>288</v>
      </c>
      <c r="F66" s="23" t="s">
        <v>288</v>
      </c>
      <c r="G66" s="23" t="s">
        <v>288</v>
      </c>
      <c r="H66" s="13">
        <f t="shared" ref="H66:H81" si="4">SUM(C66:G66)</f>
        <v>2603651.86</v>
      </c>
      <c r="I66"/>
    </row>
    <row r="67" spans="1:9" x14ac:dyDescent="0.2">
      <c r="A67" s="1" t="s">
        <v>767</v>
      </c>
      <c r="B67" s="6">
        <v>3112</v>
      </c>
      <c r="C67" s="73">
        <f>'DOE25'!F118</f>
        <v>3654472</v>
      </c>
      <c r="D67" s="23"/>
      <c r="E67" s="23"/>
      <c r="F67" s="23"/>
      <c r="G67" s="23"/>
      <c r="H67" s="13">
        <f t="shared" si="4"/>
        <v>3654472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20907.27</v>
      </c>
      <c r="D69" s="73">
        <f>'DOE25'!G120</f>
        <v>0</v>
      </c>
      <c r="E69" s="73">
        <f>'DOE25'!H120</f>
        <v>0</v>
      </c>
      <c r="F69" s="73">
        <f>'DOE25'!I120</f>
        <v>0</v>
      </c>
      <c r="G69" s="73">
        <f>'DOE25'!J120</f>
        <v>0</v>
      </c>
      <c r="H69" s="13">
        <f t="shared" si="4"/>
        <v>20907.27</v>
      </c>
      <c r="I69"/>
    </row>
    <row r="70" spans="1:9" ht="12" thickTop="1" x14ac:dyDescent="0.2">
      <c r="A70" s="28" t="s">
        <v>252</v>
      </c>
      <c r="B70" s="2"/>
      <c r="C70" s="97">
        <f>SUM(C66:C69)</f>
        <v>6279031.129999999</v>
      </c>
      <c r="D70" s="97">
        <f>D69</f>
        <v>0</v>
      </c>
      <c r="E70" s="97">
        <f>E69</f>
        <v>0</v>
      </c>
      <c r="F70" s="97">
        <f>F69</f>
        <v>0</v>
      </c>
      <c r="G70" s="97">
        <f>G69</f>
        <v>0</v>
      </c>
      <c r="H70" s="13">
        <f t="shared" si="4"/>
        <v>6279031.129999999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1059831.69</v>
      </c>
      <c r="D72" s="23" t="s">
        <v>288</v>
      </c>
      <c r="E72" s="23" t="s">
        <v>288</v>
      </c>
      <c r="F72" s="73">
        <f>'DOE25'!I123</f>
        <v>0</v>
      </c>
      <c r="G72" s="23" t="s">
        <v>288</v>
      </c>
      <c r="H72" s="13">
        <f t="shared" si="4"/>
        <v>1059831.69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t="str">
        <f>'DOE25'!F125</f>
        <v>]</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6121</v>
      </c>
      <c r="F76" s="73">
        <f>SUM('DOE25'!I127:I130)</f>
        <v>0</v>
      </c>
      <c r="G76" s="23" t="s">
        <v>288</v>
      </c>
      <c r="H76" s="13">
        <f t="shared" si="4"/>
        <v>6121</v>
      </c>
      <c r="I76"/>
    </row>
    <row r="77" spans="1:9" ht="12" thickBot="1" x14ac:dyDescent="0.25">
      <c r="A77" s="1" t="s">
        <v>258</v>
      </c>
      <c r="B77" s="6" t="s">
        <v>180</v>
      </c>
      <c r="C77" s="73">
        <f>SUM('DOE25'!F131:F135)</f>
        <v>0</v>
      </c>
      <c r="D77" s="73">
        <f>SUM('DOE25'!G131:G135)</f>
        <v>8576.41</v>
      </c>
      <c r="E77" s="73">
        <f>SUM('DOE25'!H131:H135)</f>
        <v>0</v>
      </c>
      <c r="F77" s="73">
        <f>SUM('DOE25'!I131:I135)</f>
        <v>0</v>
      </c>
      <c r="G77" s="73">
        <f>SUM('DOE25'!J131:J135)</f>
        <v>0</v>
      </c>
      <c r="H77" s="13">
        <f t="shared" si="4"/>
        <v>8576.41</v>
      </c>
      <c r="I77"/>
    </row>
    <row r="78" spans="1:9" ht="12.75" thickTop="1" thickBot="1" x14ac:dyDescent="0.25">
      <c r="A78" s="28" t="s">
        <v>259</v>
      </c>
      <c r="B78" s="6"/>
      <c r="C78" s="93">
        <f>SUM(C72:C77)</f>
        <v>1059831.69</v>
      </c>
      <c r="D78" s="93">
        <f>SUM(D72:D77)</f>
        <v>8576.41</v>
      </c>
      <c r="E78" s="93">
        <f>SUM(E72:E77)</f>
        <v>6121</v>
      </c>
      <c r="F78" s="93">
        <f>SUM(F72:F77)</f>
        <v>0</v>
      </c>
      <c r="G78" s="93">
        <f>SUM(G72:G77)</f>
        <v>0</v>
      </c>
      <c r="H78" s="13">
        <f t="shared" si="4"/>
        <v>1074529.0999999999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7338862.8199999984</v>
      </c>
      <c r="D81" s="93">
        <f>SUM(D79:D80)+D78+D70</f>
        <v>8576.41</v>
      </c>
      <c r="E81" s="93">
        <f>SUM(E79:E80)+E78+E70</f>
        <v>6121</v>
      </c>
      <c r="F81" s="93">
        <f>SUM(F79:F80)+F78+F70</f>
        <v>0</v>
      </c>
      <c r="G81" s="93">
        <f>SUM(G79:G80)+G78+G70</f>
        <v>0</v>
      </c>
      <c r="H81" s="93">
        <f t="shared" si="4"/>
        <v>7353560.2299999986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13643.92</v>
      </c>
      <c r="D88" s="252">
        <f>SUM('DOE25'!G153:G162)</f>
        <v>353824.11</v>
      </c>
      <c r="E88" s="252">
        <f>SUM('DOE25'!H153:H162)</f>
        <v>3319910.95</v>
      </c>
      <c r="F88" s="252">
        <f>SUM('DOE25'!I153:I162)</f>
        <v>0</v>
      </c>
      <c r="G88" s="23" t="s">
        <v>288</v>
      </c>
      <c r="H88" s="13">
        <f t="shared" si="5"/>
        <v>3687378.98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758.98</v>
      </c>
      <c r="D90" s="23" t="s">
        <v>288</v>
      </c>
      <c r="E90" s="23" t="s">
        <v>288</v>
      </c>
      <c r="F90" s="23" t="s">
        <v>288</v>
      </c>
      <c r="G90" s="23" t="s">
        <v>288</v>
      </c>
      <c r="H90" s="13">
        <f t="shared" si="5"/>
        <v>758.98</v>
      </c>
    </row>
    <row r="91" spans="1:9" ht="12.75" thickTop="1" thickBot="1" x14ac:dyDescent="0.25">
      <c r="A91" s="32" t="s">
        <v>747</v>
      </c>
      <c r="C91" s="94">
        <f>SUM(C85:C90)</f>
        <v>14402.9</v>
      </c>
      <c r="D91" s="94">
        <f>SUM(D85:D90)</f>
        <v>353824.11</v>
      </c>
      <c r="E91" s="94">
        <f>SUM(E85:E90)</f>
        <v>3319910.95</v>
      </c>
      <c r="F91" s="94">
        <f>SUM(F85:F90)</f>
        <v>0</v>
      </c>
      <c r="G91" s="23" t="s">
        <v>288</v>
      </c>
      <c r="H91" s="13">
        <f t="shared" si="5"/>
        <v>3688137.96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56539.34</v>
      </c>
      <c r="E96" s="73">
        <f>'DOE25'!H180</f>
        <v>0</v>
      </c>
      <c r="F96" s="73">
        <f>'DOE25'!I180</f>
        <v>0</v>
      </c>
      <c r="G96" s="73">
        <f>'DOE25'!J180</f>
        <v>531429</v>
      </c>
      <c r="H96" s="13">
        <f t="shared" si="5"/>
        <v>587968.34</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222900</v>
      </c>
      <c r="D99" s="73">
        <f>'DOE25'!G186</f>
        <v>0</v>
      </c>
      <c r="E99" s="73">
        <f>'DOE25'!H186</f>
        <v>0</v>
      </c>
      <c r="F99" s="73">
        <f>'DOE25'!I186</f>
        <v>0</v>
      </c>
      <c r="G99" s="23" t="s">
        <v>288</v>
      </c>
      <c r="H99" s="13">
        <f t="shared" si="5"/>
        <v>222900</v>
      </c>
    </row>
    <row r="100" spans="1:8" x14ac:dyDescent="0.2">
      <c r="A100" t="s">
        <v>754</v>
      </c>
      <c r="B100" s="31" t="s">
        <v>190</v>
      </c>
      <c r="C100" s="73">
        <f>SUM('DOE25'!F187:F188)</f>
        <v>462119.25</v>
      </c>
      <c r="D100" s="73">
        <f>SUM('DOE25'!G187:G188)</f>
        <v>0</v>
      </c>
      <c r="E100" s="73">
        <f>SUM('DOE25'!H187:H188)</f>
        <v>0</v>
      </c>
      <c r="F100" s="73">
        <f>SUM('DOE25'!I187:I188)</f>
        <v>0</v>
      </c>
      <c r="G100" s="23" t="s">
        <v>288</v>
      </c>
      <c r="H100" s="13">
        <f t="shared" si="5"/>
        <v>462119.25</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685019.25</v>
      </c>
      <c r="D103" s="68">
        <f>SUM(D93:D102)</f>
        <v>56539.34</v>
      </c>
      <c r="E103" s="68">
        <f>SUM(E93:E102)</f>
        <v>0</v>
      </c>
      <c r="F103" s="68">
        <f>SUM(F93:F102)</f>
        <v>0</v>
      </c>
      <c r="G103" s="68">
        <f>SUM(G93:G102)</f>
        <v>531429</v>
      </c>
      <c r="H103" s="68">
        <f t="shared" si="5"/>
        <v>1272987.5899999999</v>
      </c>
    </row>
    <row r="104" spans="1:8" ht="12.75" thickTop="1" thickBot="1" x14ac:dyDescent="0.25">
      <c r="A104" s="32" t="s">
        <v>758</v>
      </c>
      <c r="C104" s="68">
        <f>C63+C81+C91+C103</f>
        <v>35974183.619999997</v>
      </c>
      <c r="D104" s="68">
        <f>D63+D81+D91+D103</f>
        <v>767359.28999999992</v>
      </c>
      <c r="E104" s="68">
        <f>E63+E81+E91+E103</f>
        <v>3448084.74</v>
      </c>
      <c r="F104" s="68">
        <f>F63+F81+F91+F103</f>
        <v>0</v>
      </c>
      <c r="G104" s="68">
        <f>G63+G81+G103</f>
        <v>609393.06000000006</v>
      </c>
      <c r="H104" s="68">
        <f t="shared" si="5"/>
        <v>40799020.710000001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11657536.050000001</v>
      </c>
      <c r="D109" s="23" t="s">
        <v>288</v>
      </c>
      <c r="E109" s="73">
        <f>('DOE25'!L277)+('DOE25'!L296)+('DOE25'!L315)</f>
        <v>1260088.01</v>
      </c>
      <c r="F109" s="23" t="s">
        <v>288</v>
      </c>
      <c r="G109" s="23" t="s">
        <v>288</v>
      </c>
      <c r="H109" s="13">
        <f t="shared" ref="H109:H115" si="6">SUM(C109:G109)</f>
        <v>12917624.060000001</v>
      </c>
    </row>
    <row r="110" spans="1:8" x14ac:dyDescent="0.2">
      <c r="A110" t="s">
        <v>198</v>
      </c>
      <c r="B110" s="31" t="s">
        <v>199</v>
      </c>
      <c r="C110" s="73">
        <f>('DOE25'!L199)+('DOE25'!L217)+('DOE25'!L235)</f>
        <v>4590644.28</v>
      </c>
      <c r="D110" s="23" t="s">
        <v>288</v>
      </c>
      <c r="E110" s="73">
        <f>('DOE25'!L278)+('DOE25'!L297)+('DOE25'!L316)</f>
        <v>189460.45</v>
      </c>
      <c r="F110" s="23" t="s">
        <v>288</v>
      </c>
      <c r="G110" s="23" t="s">
        <v>288</v>
      </c>
      <c r="H110" s="13">
        <f t="shared" si="6"/>
        <v>4780104.7300000004</v>
      </c>
    </row>
    <row r="111" spans="1:8" x14ac:dyDescent="0.2">
      <c r="A111" t="s">
        <v>200</v>
      </c>
      <c r="B111" s="31" t="s">
        <v>165</v>
      </c>
      <c r="C111" s="73">
        <f>('DOE25'!L200)+('DOE25'!L218)+('DOE25'!L236)</f>
        <v>970259.34000000008</v>
      </c>
      <c r="D111" s="23" t="s">
        <v>288</v>
      </c>
      <c r="E111" s="73">
        <f>('DOE25'!L279)+('DOE25'!L298)+('DOE25'!L317)</f>
        <v>122239.9</v>
      </c>
      <c r="F111" s="23" t="s">
        <v>288</v>
      </c>
      <c r="G111" s="23" t="s">
        <v>288</v>
      </c>
      <c r="H111" s="13">
        <f t="shared" si="6"/>
        <v>1092499.24</v>
      </c>
    </row>
    <row r="112" spans="1:8" x14ac:dyDescent="0.2">
      <c r="A112" t="s">
        <v>201</v>
      </c>
      <c r="B112" s="31" t="s">
        <v>167</v>
      </c>
      <c r="C112" s="73">
        <f>('DOE25'!L201)+('DOE25'!L219)+('DOE25'!L237)</f>
        <v>618779.90999999992</v>
      </c>
      <c r="D112" s="23" t="s">
        <v>288</v>
      </c>
      <c r="E112" s="73">
        <f>+('DOE25'!L280)+('DOE25'!L299)+('DOE25'!L318)</f>
        <v>446988.57999999996</v>
      </c>
      <c r="F112" s="23" t="s">
        <v>288</v>
      </c>
      <c r="G112" s="23" t="s">
        <v>288</v>
      </c>
      <c r="H112" s="13">
        <f t="shared" si="6"/>
        <v>1065768.4899999998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17837219.580000002</v>
      </c>
      <c r="D115" s="68">
        <f>SUM(D109:D114)</f>
        <v>0</v>
      </c>
      <c r="E115" s="68">
        <f>SUM(E109:E114)</f>
        <v>2018776.94</v>
      </c>
      <c r="F115" s="68">
        <f>SUM(F109:F114)</f>
        <v>0</v>
      </c>
      <c r="G115" s="68">
        <f>SUM(G109:G114)</f>
        <v>0</v>
      </c>
      <c r="H115" s="68">
        <f t="shared" si="6"/>
        <v>19855996.520000003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2716459.33</v>
      </c>
      <c r="D118" s="23" t="s">
        <v>288</v>
      </c>
      <c r="E118" s="73">
        <f>+('DOE25'!L282)+('DOE25'!L301)+('DOE25'!L320)</f>
        <v>345292.32999999996</v>
      </c>
      <c r="F118" s="23" t="s">
        <v>288</v>
      </c>
      <c r="G118" s="23" t="s">
        <v>288</v>
      </c>
      <c r="H118" s="13">
        <f t="shared" ref="H118:H145" si="7">SUM(C118:G118)</f>
        <v>3061751.66</v>
      </c>
    </row>
    <row r="119" spans="1:8" x14ac:dyDescent="0.2">
      <c r="A119" t="s">
        <v>208</v>
      </c>
      <c r="B119" s="31" t="s">
        <v>209</v>
      </c>
      <c r="C119" s="73">
        <f>('DOE25'!L204)+('DOE25'!L222)+('DOE25'!L240)</f>
        <v>692599.22</v>
      </c>
      <c r="D119" s="23" t="s">
        <v>288</v>
      </c>
      <c r="E119" s="73">
        <f>+('DOE25'!L283)+('DOE25'!L302)+('DOE25'!L321)</f>
        <v>587564.27</v>
      </c>
      <c r="F119" s="23" t="s">
        <v>288</v>
      </c>
      <c r="G119" s="23" t="s">
        <v>288</v>
      </c>
      <c r="H119" s="13">
        <f t="shared" si="7"/>
        <v>1280163.49</v>
      </c>
    </row>
    <row r="120" spans="1:8" x14ac:dyDescent="0.2">
      <c r="A120" t="s">
        <v>210</v>
      </c>
      <c r="B120" s="31" t="s">
        <v>211</v>
      </c>
      <c r="C120" s="73">
        <f>('DOE25'!L205)+('DOE25'!L223)+('DOE25'!L241)</f>
        <v>1609643.64</v>
      </c>
      <c r="D120" s="23" t="s">
        <v>288</v>
      </c>
      <c r="E120" s="73">
        <f>+('DOE25'!L284)+('DOE25'!L303)+('DOE25'!L322)</f>
        <v>22927.42</v>
      </c>
      <c r="F120" s="23" t="s">
        <v>288</v>
      </c>
      <c r="G120" s="23" t="s">
        <v>288</v>
      </c>
      <c r="H120" s="13">
        <f t="shared" si="7"/>
        <v>1632571.0599999998</v>
      </c>
    </row>
    <row r="121" spans="1:8" x14ac:dyDescent="0.2">
      <c r="A121" t="s">
        <v>212</v>
      </c>
      <c r="B121" s="31" t="s">
        <v>213</v>
      </c>
      <c r="C121" s="73">
        <f>('DOE25'!L206)+('DOE25'!L224)+('DOE25'!L242)</f>
        <v>2399182.65</v>
      </c>
      <c r="D121" s="23" t="s">
        <v>288</v>
      </c>
      <c r="E121" s="73">
        <f>+('DOE25'!L285)+('DOE25'!L304)+('DOE25'!L323)</f>
        <v>446.93</v>
      </c>
      <c r="F121" s="23" t="s">
        <v>288</v>
      </c>
      <c r="G121" s="23" t="s">
        <v>288</v>
      </c>
      <c r="H121" s="13">
        <f t="shared" si="7"/>
        <v>2399629.58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4819955.4000000004</v>
      </c>
      <c r="D123" s="23" t="s">
        <v>288</v>
      </c>
      <c r="E123" s="73">
        <f>+('DOE25'!L287)+('DOE25'!L306)+('DOE25'!L325)</f>
        <v>430338.69999999995</v>
      </c>
      <c r="F123" s="23" t="s">
        <v>288</v>
      </c>
      <c r="G123" s="23" t="s">
        <v>288</v>
      </c>
      <c r="H123" s="13">
        <f t="shared" si="7"/>
        <v>5250294.1000000006</v>
      </c>
    </row>
    <row r="124" spans="1:8" x14ac:dyDescent="0.2">
      <c r="A124" t="s">
        <v>218</v>
      </c>
      <c r="B124" s="31" t="s">
        <v>219</v>
      </c>
      <c r="C124" s="73">
        <f>('DOE25'!L209)+('DOE25'!L227)+('DOE25'!L245+'DOE25'!L255)</f>
        <v>1055651.58</v>
      </c>
      <c r="D124" s="23" t="s">
        <v>288</v>
      </c>
      <c r="E124" s="73">
        <f>+('DOE25'!L288)+('DOE25'!L307)+('DOE25'!L326)</f>
        <v>33143.07</v>
      </c>
      <c r="F124" s="23" t="s">
        <v>288</v>
      </c>
      <c r="G124" s="23" t="s">
        <v>288</v>
      </c>
      <c r="H124" s="13">
        <f t="shared" si="7"/>
        <v>1088794.6500000001</v>
      </c>
    </row>
    <row r="125" spans="1:8" x14ac:dyDescent="0.2">
      <c r="A125" t="s">
        <v>220</v>
      </c>
      <c r="B125" s="31" t="s">
        <v>221</v>
      </c>
      <c r="C125" s="73">
        <f>('DOE25'!L210)+('DOE25'!L228)+('DOE25'!L246)</f>
        <v>2801381.0599999996</v>
      </c>
      <c r="D125" s="23" t="s">
        <v>288</v>
      </c>
      <c r="E125" s="73">
        <f>+('DOE25'!L289)+('DOE25'!L308)+('DOE25'!L327)</f>
        <v>41500</v>
      </c>
      <c r="F125" s="23" t="s">
        <v>288</v>
      </c>
      <c r="G125" s="23" t="s">
        <v>288</v>
      </c>
      <c r="H125" s="13">
        <f t="shared" si="7"/>
        <v>2842881.0599999996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767359.29</v>
      </c>
      <c r="E127" s="23" t="s">
        <v>288</v>
      </c>
      <c r="F127" s="23" t="s">
        <v>288</v>
      </c>
      <c r="G127" s="23" t="s">
        <v>288</v>
      </c>
      <c r="H127" s="13">
        <f t="shared" si="7"/>
        <v>767359.29</v>
      </c>
    </row>
    <row r="128" spans="1:8" ht="12.75" thickTop="1" thickBot="1" x14ac:dyDescent="0.25">
      <c r="A128" s="32" t="s">
        <v>226</v>
      </c>
      <c r="C128" s="68">
        <f>SUM(C118:C127)</f>
        <v>16094872.879999999</v>
      </c>
      <c r="D128" s="68">
        <f>SUM(D118:D127)</f>
        <v>767359.29</v>
      </c>
      <c r="E128" s="68">
        <f>SUM(E118:E127)</f>
        <v>1461212.72</v>
      </c>
      <c r="F128" s="68">
        <f>SUM(F118:F127)</f>
        <v>0</v>
      </c>
      <c r="G128" s="68">
        <f>SUM(G118:G127)</f>
        <v>0</v>
      </c>
      <c r="H128" s="68">
        <f t="shared" si="7"/>
        <v>18323444.889999997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2090000</v>
      </c>
      <c r="D131" s="23" t="s">
        <v>288</v>
      </c>
      <c r="E131" s="92">
        <f>'DOE25'!L342</f>
        <v>0</v>
      </c>
      <c r="F131" s="23" t="s">
        <v>288</v>
      </c>
      <c r="G131" s="23" t="s">
        <v>288</v>
      </c>
      <c r="H131" s="13">
        <f t="shared" si="7"/>
        <v>2090000</v>
      </c>
    </row>
    <row r="132" spans="1:8" x14ac:dyDescent="0.2">
      <c r="A132" t="s">
        <v>230</v>
      </c>
      <c r="B132" s="31">
        <v>5120</v>
      </c>
      <c r="C132" s="73">
        <f>'DOE25'!L262</f>
        <v>176709.26</v>
      </c>
      <c r="D132" s="23" t="s">
        <v>288</v>
      </c>
      <c r="E132" s="92">
        <f>'DOE25'!L343</f>
        <v>0</v>
      </c>
      <c r="F132" s="23" t="s">
        <v>288</v>
      </c>
      <c r="G132" s="23" t="s">
        <v>288</v>
      </c>
      <c r="H132" s="13">
        <f t="shared" si="7"/>
        <v>176709.26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376665.33999999997</v>
      </c>
      <c r="H134" s="13">
        <f t="shared" si="7"/>
        <v>376665.33999999997</v>
      </c>
    </row>
    <row r="135" spans="1:8" x14ac:dyDescent="0.2">
      <c r="A135" t="s">
        <v>233</v>
      </c>
      <c r="B135" s="31" t="s">
        <v>234</v>
      </c>
      <c r="C135" s="73">
        <f>'DOE25'!L264</f>
        <v>56539.34</v>
      </c>
      <c r="D135" s="23" t="s">
        <v>288</v>
      </c>
      <c r="E135" s="92">
        <f>'DOE25'!L346</f>
        <v>0</v>
      </c>
      <c r="F135" s="23" t="s">
        <v>288</v>
      </c>
      <c r="G135" s="23" t="s">
        <v>288</v>
      </c>
      <c r="H135" s="13">
        <f t="shared" si="7"/>
        <v>56539.34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264745.19</v>
      </c>
      <c r="D138" s="23" t="s">
        <v>288</v>
      </c>
      <c r="E138" s="23" t="s">
        <v>288</v>
      </c>
      <c r="F138" s="23" t="s">
        <v>288</v>
      </c>
      <c r="G138" s="23" t="s">
        <v>288</v>
      </c>
      <c r="H138" s="13">
        <f t="shared" si="7"/>
        <v>264745.19</v>
      </c>
    </row>
    <row r="139" spans="1:8" x14ac:dyDescent="0.2">
      <c r="A139" t="s">
        <v>239</v>
      </c>
      <c r="B139" s="31">
        <v>5252</v>
      </c>
      <c r="C139" s="73">
        <f>'DOE25'!L402</f>
        <v>343546.76</v>
      </c>
      <c r="D139" s="23" t="s">
        <v>288</v>
      </c>
      <c r="E139" s="23" t="s">
        <v>288</v>
      </c>
      <c r="F139" s="23" t="s">
        <v>288</v>
      </c>
      <c r="G139" s="23" t="s">
        <v>288</v>
      </c>
      <c r="H139" s="13">
        <f t="shared" si="7"/>
        <v>343546.76</v>
      </c>
    </row>
    <row r="140" spans="1:8" x14ac:dyDescent="0.2">
      <c r="A140" t="s">
        <v>240</v>
      </c>
      <c r="B140" s="31">
        <v>5253</v>
      </c>
      <c r="C140" s="73">
        <f>'DOE25'!L408</f>
        <v>1101.1099999999999</v>
      </c>
      <c r="D140" s="23" t="s">
        <v>288</v>
      </c>
      <c r="E140" s="23" t="s">
        <v>288</v>
      </c>
      <c r="F140" s="23" t="s">
        <v>288</v>
      </c>
      <c r="G140" s="23" t="s">
        <v>288</v>
      </c>
      <c r="H140" s="13">
        <f t="shared" si="7"/>
        <v>1101.1099999999999</v>
      </c>
    </row>
    <row r="141" spans="1:8" x14ac:dyDescent="0.2">
      <c r="A141" t="s">
        <v>759</v>
      </c>
      <c r="B141" s="31">
        <v>5254</v>
      </c>
      <c r="C141" s="73">
        <f>('DOE25'!L267+'DOE25'!K348) - (C138+C139+C140)</f>
        <v>-77964.059999999939</v>
      </c>
      <c r="D141" s="23" t="s">
        <v>288</v>
      </c>
      <c r="E141" s="23" t="s">
        <v>288</v>
      </c>
      <c r="F141" s="23" t="s">
        <v>288</v>
      </c>
      <c r="G141" s="23" t="s">
        <v>288</v>
      </c>
      <c r="H141" s="13">
        <f t="shared" si="7"/>
        <v>-77964.059999999939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2854677.5999999996</v>
      </c>
      <c r="D144" s="98">
        <f>SUM(D130:D143)</f>
        <v>0</v>
      </c>
      <c r="E144" s="98">
        <f>SUM(E130:E143)</f>
        <v>0</v>
      </c>
      <c r="F144" s="98">
        <f>SUM(F130:F143)</f>
        <v>0</v>
      </c>
      <c r="G144" s="98">
        <f>SUM(G130:G143)</f>
        <v>376665.33999999997</v>
      </c>
      <c r="H144" s="98">
        <f t="shared" si="7"/>
        <v>3231342.9399999995</v>
      </c>
    </row>
    <row r="145" spans="1:9" ht="12.75" thickTop="1" thickBot="1" x14ac:dyDescent="0.25">
      <c r="A145" s="32" t="s">
        <v>244</v>
      </c>
      <c r="C145" s="68">
        <f>(C115+C128+C144)</f>
        <v>36786770.060000002</v>
      </c>
      <c r="D145" s="68">
        <f>(D115+D128+D144)</f>
        <v>767359.29</v>
      </c>
      <c r="E145" s="68">
        <f>(E115+E128+E144)</f>
        <v>3479989.66</v>
      </c>
      <c r="F145" s="68">
        <f>(F115+F128+F144)</f>
        <v>0</v>
      </c>
      <c r="G145" s="68">
        <f>(G115+G128+G144)</f>
        <v>376665.33999999997</v>
      </c>
      <c r="H145" s="68">
        <f t="shared" si="7"/>
        <v>41410784.350000009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20</v>
      </c>
      <c r="E151" s="110">
        <f>'DOE25'!I491</f>
        <v>20</v>
      </c>
      <c r="F151" s="110">
        <f>'DOE25'!J491</f>
        <v>0</v>
      </c>
      <c r="G151" s="23" t="s">
        <v>288</v>
      </c>
    </row>
    <row r="152" spans="1:9" x14ac:dyDescent="0.2">
      <c r="A152" s="21" t="s">
        <v>28</v>
      </c>
      <c r="B152" s="109" t="str">
        <f>'DOE25'!F492</f>
        <v>12/03</v>
      </c>
      <c r="C152" s="109" t="str">
        <f>'DOE25'!G492</f>
        <v>7/16</v>
      </c>
      <c r="D152" s="109" t="str">
        <f>'DOE25'!H492</f>
        <v>7/17</v>
      </c>
      <c r="E152" s="109" t="str">
        <f>'DOE25'!I492</f>
        <v>6/18</v>
      </c>
      <c r="F152" s="109">
        <f>'DOE25'!J492</f>
        <v>0</v>
      </c>
      <c r="G152" s="23" t="s">
        <v>288</v>
      </c>
    </row>
    <row r="153" spans="1:9" x14ac:dyDescent="0.2">
      <c r="A153" s="21" t="s">
        <v>29</v>
      </c>
      <c r="B153" s="109" t="str">
        <f>'DOE25'!F493</f>
        <v>01/24</v>
      </c>
      <c r="C153" s="109" t="str">
        <f>'DOE25'!G493</f>
        <v>08/36</v>
      </c>
      <c r="D153" s="109" t="str">
        <f>'DOE25'!H493</f>
        <v>08/37</v>
      </c>
      <c r="E153" s="109" t="str">
        <f>'DOE25'!I493</f>
        <v>08/38</v>
      </c>
      <c r="F153" s="109">
        <f>'DOE25'!J493</f>
        <v>0</v>
      </c>
      <c r="G153" s="23" t="s">
        <v>288</v>
      </c>
    </row>
    <row r="154" spans="1:9" x14ac:dyDescent="0.2">
      <c r="A154" s="21" t="s">
        <v>30</v>
      </c>
      <c r="B154" s="19">
        <f>'DOE25'!F494</f>
        <v>42120000</v>
      </c>
      <c r="C154" s="19">
        <f>'DOE25'!G494</f>
        <v>1837700</v>
      </c>
      <c r="D154" s="19">
        <f>'DOE25'!H494</f>
        <v>1871000</v>
      </c>
      <c r="E154" s="19">
        <f>'DOE25'!I494</f>
        <v>1122900</v>
      </c>
      <c r="F154" s="19">
        <f>'DOE25'!J494</f>
        <v>0</v>
      </c>
      <c r="G154" s="23" t="s">
        <v>288</v>
      </c>
    </row>
    <row r="155" spans="1:9" x14ac:dyDescent="0.2">
      <c r="A155" s="21" t="s">
        <v>31</v>
      </c>
      <c r="B155" s="19">
        <f>'DOE25'!F495</f>
        <v>4</v>
      </c>
      <c r="C155" s="19">
        <f>'DOE25'!G495</f>
        <v>2.5</v>
      </c>
      <c r="D155" s="19">
        <f>'DOE25'!H495</f>
        <v>2.86</v>
      </c>
      <c r="E155" s="19">
        <f>'DOE25'!I495</f>
        <v>3.24</v>
      </c>
      <c r="F155" s="19">
        <f>'DOE25'!J495</f>
        <v>0</v>
      </c>
      <c r="G155" s="23" t="s">
        <v>288</v>
      </c>
    </row>
    <row r="156" spans="1:9" x14ac:dyDescent="0.2">
      <c r="A156" s="21" t="s">
        <v>32</v>
      </c>
      <c r="B156" s="19">
        <f>'DOE25'!F496</f>
        <v>1840000</v>
      </c>
      <c r="C156" s="19">
        <f>'DOE25'!G496</f>
        <v>1275000</v>
      </c>
      <c r="D156" s="19">
        <f>'DOE25'!H496</f>
        <v>1400000</v>
      </c>
      <c r="E156" s="19">
        <f>'DOE25'!I496</f>
        <v>885000</v>
      </c>
      <c r="F156" s="19">
        <f>'DOE25'!J496</f>
        <v>0</v>
      </c>
      <c r="G156" s="96">
        <f>SUM(B156:F156)</f>
        <v>5400000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1840000</v>
      </c>
      <c r="C158" s="19">
        <f>'DOE25'!G498</f>
        <v>95000</v>
      </c>
      <c r="D158" s="19">
        <f>'DOE25'!H498</f>
        <v>95000</v>
      </c>
      <c r="E158" s="19">
        <f>'DOE25'!I498</f>
        <v>60000</v>
      </c>
      <c r="F158" s="19">
        <f>'DOE25'!J498</f>
        <v>0</v>
      </c>
      <c r="G158" s="96">
        <f t="shared" si="8"/>
        <v>2090000</v>
      </c>
    </row>
    <row r="159" spans="1:9" x14ac:dyDescent="0.2">
      <c r="A159" s="21" t="s">
        <v>35</v>
      </c>
      <c r="B159" s="19">
        <f>'DOE25'!F499</f>
        <v>0</v>
      </c>
      <c r="C159" s="19">
        <f>'DOE25'!G499</f>
        <v>1180000</v>
      </c>
      <c r="D159" s="19">
        <f>'DOE25'!H499</f>
        <v>1305000</v>
      </c>
      <c r="E159" s="19">
        <f>'DOE25'!I499</f>
        <v>825000</v>
      </c>
      <c r="F159" s="19">
        <f>'DOE25'!J499</f>
        <v>0</v>
      </c>
      <c r="G159" s="96">
        <f t="shared" si="8"/>
        <v>3310000</v>
      </c>
    </row>
    <row r="160" spans="1:9" x14ac:dyDescent="0.2">
      <c r="A160" s="21" t="s">
        <v>36</v>
      </c>
      <c r="B160" s="19">
        <f>'DOE25'!F500</f>
        <v>0</v>
      </c>
      <c r="C160" s="19">
        <f>'DOE25'!G500</f>
        <v>238956.75</v>
      </c>
      <c r="D160" s="19">
        <f>'DOE25'!H500</f>
        <v>330047.5</v>
      </c>
      <c r="E160" s="19">
        <f>'DOE25'!I500</f>
        <v>232890.76</v>
      </c>
      <c r="F160" s="19">
        <f>'DOE25'!J500</f>
        <v>0</v>
      </c>
      <c r="G160" s="96">
        <f t="shared" si="8"/>
        <v>801895.01</v>
      </c>
    </row>
    <row r="161" spans="1:7" x14ac:dyDescent="0.2">
      <c r="A161" s="21" t="s">
        <v>37</v>
      </c>
      <c r="B161" s="19">
        <f>'DOE25'!F501</f>
        <v>0</v>
      </c>
      <c r="C161" s="19">
        <f>'DOE25'!G501</f>
        <v>1418956.75</v>
      </c>
      <c r="D161" s="19">
        <f>'DOE25'!H501</f>
        <v>1635047.5</v>
      </c>
      <c r="E161" s="19">
        <f>'DOE25'!I501</f>
        <v>1057890.76</v>
      </c>
      <c r="F161" s="19">
        <f>'DOE25'!J501</f>
        <v>0</v>
      </c>
      <c r="G161" s="96">
        <f t="shared" si="8"/>
        <v>4111895.01</v>
      </c>
    </row>
    <row r="162" spans="1:7" x14ac:dyDescent="0.2">
      <c r="A162" s="21" t="s">
        <v>38</v>
      </c>
      <c r="B162" s="19">
        <f>'DOE25'!F502</f>
        <v>0</v>
      </c>
      <c r="C162" s="19">
        <f>'DOE25'!G502</f>
        <v>95000</v>
      </c>
      <c r="D162" s="19">
        <f>'DOE25'!H502</f>
        <v>95000</v>
      </c>
      <c r="E162" s="19">
        <f>'DOE25'!I502</f>
        <v>55000</v>
      </c>
      <c r="F162" s="19">
        <f>'DOE25'!J502</f>
        <v>0</v>
      </c>
      <c r="G162" s="96">
        <f t="shared" si="8"/>
        <v>245000</v>
      </c>
    </row>
    <row r="163" spans="1:7" x14ac:dyDescent="0.2">
      <c r="A163" s="21" t="s">
        <v>39</v>
      </c>
      <c r="B163" s="19">
        <f>'DOE25'!F503</f>
        <v>0</v>
      </c>
      <c r="C163" s="19">
        <f>'DOE25'!G503</f>
        <v>37589</v>
      </c>
      <c r="D163" s="19">
        <f>'DOE25'!H503</f>
        <v>51332.5</v>
      </c>
      <c r="E163" s="19">
        <f>'DOE25'!I503</f>
        <v>32491.260000000002</v>
      </c>
      <c r="F163" s="19">
        <f>'DOE25'!J503</f>
        <v>0</v>
      </c>
      <c r="G163" s="96">
        <f t="shared" si="8"/>
        <v>121412.76000000001</v>
      </c>
    </row>
    <row r="164" spans="1:7" x14ac:dyDescent="0.2">
      <c r="A164" s="21" t="s">
        <v>246</v>
      </c>
      <c r="B164" s="19">
        <f>'DOE25'!F504</f>
        <v>0</v>
      </c>
      <c r="C164" s="19">
        <f>'DOE25'!G504</f>
        <v>132589</v>
      </c>
      <c r="D164" s="19">
        <f>'DOE25'!H504</f>
        <v>146332.5</v>
      </c>
      <c r="E164" s="19">
        <f>'DOE25'!I504</f>
        <v>87491.260000000009</v>
      </c>
      <c r="F164" s="19">
        <f>'DOE25'!J504</f>
        <v>0</v>
      </c>
      <c r="G164" s="96">
        <f t="shared" si="8"/>
        <v>366412.76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Conway</v>
      </c>
    </row>
    <row r="3" spans="1:4" x14ac:dyDescent="0.2">
      <c r="B3" s="136" t="s">
        <v>1792</v>
      </c>
    </row>
    <row r="4" spans="1:4" x14ac:dyDescent="0.2">
      <c r="B4" t="s">
        <v>61</v>
      </c>
      <c r="C4" s="128">
        <f>IF('DOE25'!F666+'DOE25'!F671=0,0,ROUND('DOE25'!F673,0))</f>
        <v>25532</v>
      </c>
    </row>
    <row r="5" spans="1:4" x14ac:dyDescent="0.2">
      <c r="B5" t="s">
        <v>700</v>
      </c>
      <c r="C5" s="128">
        <f>IF('DOE25'!G666+'DOE25'!G671=0,0,ROUND('DOE25'!G673,0))</f>
        <v>23350</v>
      </c>
    </row>
    <row r="6" spans="1:4" x14ac:dyDescent="0.2">
      <c r="B6" t="s">
        <v>62</v>
      </c>
      <c r="C6" s="128">
        <f>IF('DOE25'!H666+'DOE25'!H671=0,0,ROUND('DOE25'!H673,0))</f>
        <v>21112</v>
      </c>
    </row>
    <row r="7" spans="1:4" x14ac:dyDescent="0.2">
      <c r="B7" t="s">
        <v>701</v>
      </c>
      <c r="C7" s="128">
        <f>IF('DOE25'!I666+'DOE25'!I671=0,0,ROUND('DOE25'!I673,0))</f>
        <v>23169</v>
      </c>
    </row>
    <row r="9" spans="1:4" x14ac:dyDescent="0.2">
      <c r="A9" s="135" t="s">
        <v>94</v>
      </c>
      <c r="B9" s="136" t="s">
        <v>1793</v>
      </c>
      <c r="C9" s="130" t="s">
        <v>720</v>
      </c>
      <c r="D9" s="130" t="s">
        <v>721</v>
      </c>
    </row>
    <row r="10" spans="1:4" x14ac:dyDescent="0.2">
      <c r="A10">
        <v>1100</v>
      </c>
      <c r="B10" t="s">
        <v>702</v>
      </c>
      <c r="C10" s="128">
        <f>ROUND('DOE25'!L198+'DOE25'!L216+'DOE25'!L234+'DOE25'!L277+'DOE25'!L296+'DOE25'!L315,0)</f>
        <v>12917624</v>
      </c>
      <c r="D10" s="131">
        <f>ROUND((C10/$C$28)*100,1)</f>
        <v>34</v>
      </c>
    </row>
    <row r="11" spans="1:4" x14ac:dyDescent="0.2">
      <c r="A11">
        <v>1200</v>
      </c>
      <c r="B11" t="s">
        <v>703</v>
      </c>
      <c r="C11" s="128">
        <f>ROUND('DOE25'!L199+'DOE25'!L217+'DOE25'!L235+'DOE25'!L278+'DOE25'!L297+'DOE25'!L316,0)</f>
        <v>4780105</v>
      </c>
      <c r="D11" s="131">
        <f>ROUND((C11/$C$28)*100,1)</f>
        <v>12.6</v>
      </c>
    </row>
    <row r="12" spans="1:4" x14ac:dyDescent="0.2">
      <c r="A12">
        <v>1300</v>
      </c>
      <c r="B12" t="s">
        <v>704</v>
      </c>
      <c r="C12" s="128">
        <f>ROUND('DOE25'!L200+'DOE25'!L218+'DOE25'!L236+'DOE25'!L279+'DOE25'!L298+'DOE25'!L317,0)</f>
        <v>1092499</v>
      </c>
      <c r="D12" s="131">
        <f>ROUND((C12/$C$28)*100,1)</f>
        <v>2.9</v>
      </c>
    </row>
    <row r="13" spans="1:4" x14ac:dyDescent="0.2">
      <c r="A13">
        <v>1400</v>
      </c>
      <c r="B13" t="s">
        <v>705</v>
      </c>
      <c r="C13" s="128">
        <f>ROUND('DOE25'!L201+'DOE25'!L219+'DOE25'!L237+'DOE25'!L280+'DOE25'!L299+'DOE25'!L318,0)</f>
        <v>1065768</v>
      </c>
      <c r="D13" s="131">
        <f>ROUND((C13/$C$28)*100,1)</f>
        <v>2.8</v>
      </c>
    </row>
    <row r="14" spans="1:4" x14ac:dyDescent="0.2">
      <c r="D14" s="131"/>
    </row>
    <row r="15" spans="1:4" x14ac:dyDescent="0.2">
      <c r="A15">
        <v>2100</v>
      </c>
      <c r="B15" t="s">
        <v>706</v>
      </c>
      <c r="C15" s="128">
        <f>ROUND('DOE25'!L203+'DOE25'!L221+'DOE25'!L239+'DOE25'!L282+'DOE25'!L301+'DOE25'!L320,0)</f>
        <v>3061752</v>
      </c>
      <c r="D15" s="131">
        <f t="shared" ref="D15:D27" si="0">ROUND((C15/$C$28)*100,1)</f>
        <v>8.1</v>
      </c>
    </row>
    <row r="16" spans="1:4" x14ac:dyDescent="0.2">
      <c r="A16">
        <v>2200</v>
      </c>
      <c r="B16" t="s">
        <v>707</v>
      </c>
      <c r="C16" s="128">
        <f>ROUND('DOE25'!L204+'DOE25'!L222+'DOE25'!L240+'DOE25'!L283+'DOE25'!L302+'DOE25'!L321,0)</f>
        <v>1280163</v>
      </c>
      <c r="D16" s="131">
        <f t="shared" si="0"/>
        <v>3.4</v>
      </c>
    </row>
    <row r="17" spans="1:4" x14ac:dyDescent="0.2">
      <c r="A17" s="132" t="s">
        <v>723</v>
      </c>
      <c r="B17" t="s">
        <v>738</v>
      </c>
      <c r="C17" s="128">
        <f>ROUND('DOE25'!L205+'DOE25'!L210+'DOE25'!L223+'DOE25'!L228+'DOE25'!L241+'DOE25'!L246+'DOE25'!L284+'DOE25'!L289+'DOE25'!L303+'DOE25'!L308+'DOE25'!L322+'DOE25'!L327,0)</f>
        <v>4475452</v>
      </c>
      <c r="D17" s="131">
        <f t="shared" si="0"/>
        <v>11.8</v>
      </c>
    </row>
    <row r="18" spans="1:4" x14ac:dyDescent="0.2">
      <c r="A18">
        <v>2400</v>
      </c>
      <c r="B18" t="s">
        <v>711</v>
      </c>
      <c r="C18" s="128">
        <f>ROUND('DOE25'!L206+'DOE25'!L224+'DOE25'!L242+'DOE25'!L285+'DOE25'!L304+'DOE25'!L323,0)</f>
        <v>2399630</v>
      </c>
      <c r="D18" s="131">
        <f t="shared" si="0"/>
        <v>6.3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5250294</v>
      </c>
      <c r="D20" s="131">
        <f t="shared" si="0"/>
        <v>13.8</v>
      </c>
    </row>
    <row r="21" spans="1:4" x14ac:dyDescent="0.2">
      <c r="A21">
        <v>2700</v>
      </c>
      <c r="B21" t="s">
        <v>710</v>
      </c>
      <c r="C21" s="128">
        <f>ROUND('DOE25'!L209+'DOE25'!L227+'DOE25'!L245+'DOE25'!L288+'DOE25'!L307+'DOE25'!L326,0)</f>
        <v>1088795</v>
      </c>
      <c r="D21" s="131">
        <f t="shared" si="0"/>
        <v>2.9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176709</v>
      </c>
      <c r="D25" s="131">
        <f t="shared" si="0"/>
        <v>0.5</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440471.94999999995</v>
      </c>
      <c r="D27" s="131">
        <f t="shared" si="0"/>
        <v>1.2</v>
      </c>
    </row>
    <row r="28" spans="1:4" x14ac:dyDescent="0.2">
      <c r="B28" s="135" t="s">
        <v>719</v>
      </c>
      <c r="C28" s="129">
        <f>SUM(C10:C27)</f>
        <v>38029262.950000003</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38029262.950000003</v>
      </c>
    </row>
    <row r="31" spans="1:4" x14ac:dyDescent="0.2">
      <c r="B31" s="32"/>
      <c r="C31" s="129"/>
    </row>
    <row r="32" spans="1:4" x14ac:dyDescent="0.2">
      <c r="A32">
        <v>5100</v>
      </c>
      <c r="B32" s="32" t="s">
        <v>726</v>
      </c>
      <c r="C32" s="129">
        <f>ROUND('DOE25'!L261+'DOE25'!L342,0)</f>
        <v>2090000</v>
      </c>
    </row>
    <row r="34" spans="1:4" x14ac:dyDescent="0.2">
      <c r="A34" s="135" t="s">
        <v>94</v>
      </c>
      <c r="B34" s="136" t="s">
        <v>1794</v>
      </c>
      <c r="C34" s="130" t="s">
        <v>720</v>
      </c>
      <c r="D34" s="130" t="s">
        <v>721</v>
      </c>
    </row>
    <row r="35" spans="1:4" x14ac:dyDescent="0.2">
      <c r="A35">
        <v>1100</v>
      </c>
      <c r="B35" s="71" t="s">
        <v>727</v>
      </c>
      <c r="C35" s="128">
        <f>ROUND('DOE25'!F60+'DOE25'!G60+'DOE25'!H60+'DOE25'!I60+'DOE25'!J60,0)</f>
        <v>17196486</v>
      </c>
      <c r="D35" s="131">
        <f t="shared" ref="D35:D40" si="1">ROUND((C35/$C$41)*100,1)</f>
        <v>43.9</v>
      </c>
    </row>
    <row r="36" spans="1:4" x14ac:dyDescent="0.2">
      <c r="B36" s="71" t="s">
        <v>739</v>
      </c>
      <c r="C36" s="128">
        <f>SUM('DOE25'!F112:J112)-SUM('DOE25'!G97:G110)+('DOE25'!F175+'DOE25'!F176+'DOE25'!I175+'DOE25'!I176)-C35</f>
        <v>10960961.879999995</v>
      </c>
      <c r="D36" s="131">
        <f t="shared" si="1"/>
        <v>28</v>
      </c>
    </row>
    <row r="37" spans="1:4" x14ac:dyDescent="0.2">
      <c r="A37" s="132" t="s">
        <v>831</v>
      </c>
      <c r="B37" s="71" t="s">
        <v>728</v>
      </c>
      <c r="C37" s="128">
        <f>ROUND('DOE25'!F117+'DOE25'!F118,0)</f>
        <v>6258124</v>
      </c>
      <c r="D37" s="131">
        <f t="shared" si="1"/>
        <v>16</v>
      </c>
    </row>
    <row r="38" spans="1:4" x14ac:dyDescent="0.2">
      <c r="A38" s="132" t="s">
        <v>734</v>
      </c>
      <c r="B38" s="71" t="s">
        <v>729</v>
      </c>
      <c r="C38" s="128">
        <f>ROUND(SUM('DOE25'!F140:J140)-SUM('DOE25'!F117:F119),0)</f>
        <v>1095436</v>
      </c>
      <c r="D38" s="131">
        <f t="shared" si="1"/>
        <v>2.8</v>
      </c>
    </row>
    <row r="39" spans="1:4" x14ac:dyDescent="0.2">
      <c r="A39">
        <v>4000</v>
      </c>
      <c r="B39" s="71" t="s">
        <v>730</v>
      </c>
      <c r="C39" s="128">
        <f>ROUND('DOE25'!F170+'DOE25'!G170+'DOE25'!H170+'DOE25'!I170,0)</f>
        <v>3688138</v>
      </c>
      <c r="D39" s="131">
        <f t="shared" si="1"/>
        <v>9.4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39199145.879999995</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40" t="s">
        <v>763</v>
      </c>
      <c r="B1" s="341"/>
      <c r="C1" s="341"/>
      <c r="D1" s="341"/>
      <c r="E1" s="341"/>
      <c r="F1" s="341"/>
      <c r="G1" s="341"/>
      <c r="H1" s="341"/>
      <c r="I1" s="341"/>
      <c r="J1" s="154"/>
      <c r="K1" s="154"/>
      <c r="L1" s="154"/>
      <c r="M1" s="155"/>
    </row>
    <row r="2" spans="1:13" ht="12.75" x14ac:dyDescent="0.2">
      <c r="A2" s="345" t="s">
        <v>760</v>
      </c>
      <c r="B2" s="346"/>
      <c r="C2" s="346"/>
      <c r="D2" s="346"/>
      <c r="E2" s="346"/>
      <c r="F2" s="343" t="str">
        <f>'DOE25'!A2</f>
        <v>Conway</v>
      </c>
      <c r="G2" s="344"/>
      <c r="H2" s="344"/>
      <c r="I2" s="344"/>
      <c r="M2" s="156"/>
    </row>
    <row r="3" spans="1:13" x14ac:dyDescent="0.2">
      <c r="A3" s="157" t="s">
        <v>761</v>
      </c>
      <c r="B3" s="130" t="s">
        <v>762</v>
      </c>
      <c r="C3" s="325" t="s">
        <v>764</v>
      </c>
      <c r="D3" s="325"/>
      <c r="E3" s="325"/>
      <c r="F3" s="325"/>
      <c r="G3" s="325"/>
      <c r="H3" s="325"/>
      <c r="I3" s="325"/>
      <c r="J3" s="325"/>
      <c r="K3" s="325"/>
      <c r="L3" s="325"/>
      <c r="M3" s="342"/>
    </row>
    <row r="4" spans="1:13" x14ac:dyDescent="0.2">
      <c r="A4" s="158"/>
      <c r="B4" s="149"/>
      <c r="C4" s="333"/>
      <c r="D4" s="333"/>
      <c r="E4" s="333"/>
      <c r="F4" s="333"/>
      <c r="G4" s="333"/>
      <c r="H4" s="333"/>
      <c r="I4" s="333"/>
      <c r="J4" s="333"/>
      <c r="K4" s="333"/>
      <c r="L4" s="333"/>
      <c r="M4" s="334"/>
    </row>
    <row r="5" spans="1:13" x14ac:dyDescent="0.2">
      <c r="A5" s="158"/>
      <c r="B5" s="149"/>
      <c r="C5" s="333"/>
      <c r="D5" s="333"/>
      <c r="E5" s="333"/>
      <c r="F5" s="333"/>
      <c r="G5" s="333"/>
      <c r="H5" s="333"/>
      <c r="I5" s="333"/>
      <c r="J5" s="333"/>
      <c r="K5" s="333"/>
      <c r="L5" s="333"/>
      <c r="M5" s="334"/>
    </row>
    <row r="6" spans="1:13" x14ac:dyDescent="0.2">
      <c r="A6" s="158"/>
      <c r="B6" s="149"/>
      <c r="C6" s="333"/>
      <c r="D6" s="333"/>
      <c r="E6" s="333"/>
      <c r="F6" s="333"/>
      <c r="G6" s="333"/>
      <c r="H6" s="333"/>
      <c r="I6" s="333"/>
      <c r="J6" s="333"/>
      <c r="K6" s="333"/>
      <c r="L6" s="333"/>
      <c r="M6" s="334"/>
    </row>
    <row r="7" spans="1:13" x14ac:dyDescent="0.2">
      <c r="A7" s="158"/>
      <c r="B7" s="149"/>
      <c r="C7" s="333"/>
      <c r="D7" s="333"/>
      <c r="E7" s="333"/>
      <c r="F7" s="333"/>
      <c r="G7" s="333"/>
      <c r="H7" s="333"/>
      <c r="I7" s="333"/>
      <c r="J7" s="333"/>
      <c r="K7" s="333"/>
      <c r="L7" s="333"/>
      <c r="M7" s="334"/>
    </row>
    <row r="8" spans="1:13" x14ac:dyDescent="0.2">
      <c r="A8" s="158"/>
      <c r="B8" s="149"/>
      <c r="C8" s="333"/>
      <c r="D8" s="333"/>
      <c r="E8" s="333"/>
      <c r="F8" s="333"/>
      <c r="G8" s="333"/>
      <c r="H8" s="333"/>
      <c r="I8" s="333"/>
      <c r="J8" s="333"/>
      <c r="K8" s="333"/>
      <c r="L8" s="333"/>
      <c r="M8" s="334"/>
    </row>
    <row r="9" spans="1:13" x14ac:dyDescent="0.2">
      <c r="A9" s="158"/>
      <c r="B9" s="149"/>
      <c r="C9" s="333"/>
      <c r="D9" s="333"/>
      <c r="E9" s="333"/>
      <c r="F9" s="333"/>
      <c r="G9" s="333"/>
      <c r="H9" s="333"/>
      <c r="I9" s="333"/>
      <c r="J9" s="333"/>
      <c r="K9" s="333"/>
      <c r="L9" s="333"/>
      <c r="M9" s="334"/>
    </row>
    <row r="10" spans="1:13" x14ac:dyDescent="0.2">
      <c r="A10" s="158"/>
      <c r="B10" s="149"/>
      <c r="C10" s="333"/>
      <c r="D10" s="333"/>
      <c r="E10" s="333"/>
      <c r="F10" s="333"/>
      <c r="G10" s="333"/>
      <c r="H10" s="333"/>
      <c r="I10" s="333"/>
      <c r="J10" s="333"/>
      <c r="K10" s="333"/>
      <c r="L10" s="333"/>
      <c r="M10" s="334"/>
    </row>
    <row r="11" spans="1:13" x14ac:dyDescent="0.2">
      <c r="A11" s="158"/>
      <c r="B11" s="149"/>
      <c r="C11" s="333"/>
      <c r="D11" s="333"/>
      <c r="E11" s="333"/>
      <c r="F11" s="333"/>
      <c r="G11" s="333"/>
      <c r="H11" s="333"/>
      <c r="I11" s="333"/>
      <c r="J11" s="333"/>
      <c r="K11" s="333"/>
      <c r="L11" s="333"/>
      <c r="M11" s="334"/>
    </row>
    <row r="12" spans="1:13" x14ac:dyDescent="0.2">
      <c r="A12" s="158"/>
      <c r="B12" s="149"/>
      <c r="C12" s="333"/>
      <c r="D12" s="333"/>
      <c r="E12" s="333"/>
      <c r="F12" s="333"/>
      <c r="G12" s="333"/>
      <c r="H12" s="333"/>
      <c r="I12" s="333"/>
      <c r="J12" s="333"/>
      <c r="K12" s="333"/>
      <c r="L12" s="333"/>
      <c r="M12" s="334"/>
    </row>
    <row r="13" spans="1:13" x14ac:dyDescent="0.2">
      <c r="A13" s="158"/>
      <c r="B13" s="149"/>
      <c r="C13" s="333"/>
      <c r="D13" s="333"/>
      <c r="E13" s="333"/>
      <c r="F13" s="333"/>
      <c r="G13" s="333"/>
      <c r="H13" s="333"/>
      <c r="I13" s="333"/>
      <c r="J13" s="333"/>
      <c r="K13" s="333"/>
      <c r="L13" s="333"/>
      <c r="M13" s="334"/>
    </row>
    <row r="14" spans="1:13" x14ac:dyDescent="0.2">
      <c r="A14" s="158"/>
      <c r="B14" s="149"/>
      <c r="C14" s="333"/>
      <c r="D14" s="333"/>
      <c r="E14" s="333"/>
      <c r="F14" s="333"/>
      <c r="G14" s="333"/>
      <c r="H14" s="333"/>
      <c r="I14" s="333"/>
      <c r="J14" s="333"/>
      <c r="K14" s="333"/>
      <c r="L14" s="333"/>
      <c r="M14" s="334"/>
    </row>
    <row r="15" spans="1:13" x14ac:dyDescent="0.2">
      <c r="A15" s="158"/>
      <c r="B15" s="149"/>
      <c r="C15" s="333"/>
      <c r="D15" s="333"/>
      <c r="E15" s="333"/>
      <c r="F15" s="333"/>
      <c r="G15" s="333"/>
      <c r="H15" s="333"/>
      <c r="I15" s="333"/>
      <c r="J15" s="333"/>
      <c r="K15" s="333"/>
      <c r="L15" s="333"/>
      <c r="M15" s="334"/>
    </row>
    <row r="16" spans="1:13" x14ac:dyDescent="0.2">
      <c r="A16" s="158"/>
      <c r="B16" s="149"/>
      <c r="C16" s="333"/>
      <c r="D16" s="333"/>
      <c r="E16" s="333"/>
      <c r="F16" s="333"/>
      <c r="G16" s="333"/>
      <c r="H16" s="333"/>
      <c r="I16" s="333"/>
      <c r="J16" s="333"/>
      <c r="K16" s="333"/>
      <c r="L16" s="333"/>
      <c r="M16" s="334"/>
    </row>
    <row r="17" spans="1:256" x14ac:dyDescent="0.2">
      <c r="A17" s="158"/>
      <c r="B17" s="149"/>
      <c r="C17" s="333"/>
      <c r="D17" s="333"/>
      <c r="E17" s="333"/>
      <c r="F17" s="333"/>
      <c r="G17" s="333"/>
      <c r="H17" s="333"/>
      <c r="I17" s="333"/>
      <c r="J17" s="333"/>
      <c r="K17" s="333"/>
      <c r="L17" s="333"/>
      <c r="M17" s="334"/>
    </row>
    <row r="18" spans="1:256" x14ac:dyDescent="0.2">
      <c r="A18" s="158"/>
      <c r="B18" s="149"/>
      <c r="C18" s="333"/>
      <c r="D18" s="333"/>
      <c r="E18" s="333"/>
      <c r="F18" s="333"/>
      <c r="G18" s="333"/>
      <c r="H18" s="333"/>
      <c r="I18" s="333"/>
      <c r="J18" s="333"/>
      <c r="K18" s="333"/>
      <c r="L18" s="333"/>
      <c r="M18" s="334"/>
    </row>
    <row r="19" spans="1:256" x14ac:dyDescent="0.2">
      <c r="A19" s="158"/>
      <c r="B19" s="149"/>
      <c r="C19" s="333"/>
      <c r="D19" s="333"/>
      <c r="E19" s="333"/>
      <c r="F19" s="333"/>
      <c r="G19" s="333"/>
      <c r="H19" s="333"/>
      <c r="I19" s="333"/>
      <c r="J19" s="333"/>
      <c r="K19" s="333"/>
      <c r="L19" s="333"/>
      <c r="M19" s="334"/>
    </row>
    <row r="20" spans="1:256" x14ac:dyDescent="0.2">
      <c r="A20" s="158"/>
      <c r="B20" s="149"/>
      <c r="C20" s="333"/>
      <c r="D20" s="333"/>
      <c r="E20" s="333"/>
      <c r="F20" s="333"/>
      <c r="G20" s="333"/>
      <c r="H20" s="333"/>
      <c r="I20" s="333"/>
      <c r="J20" s="333"/>
      <c r="K20" s="333"/>
      <c r="L20" s="333"/>
      <c r="M20" s="334"/>
    </row>
    <row r="21" spans="1:256" x14ac:dyDescent="0.2">
      <c r="A21" s="158"/>
      <c r="B21" s="149"/>
      <c r="C21" s="333"/>
      <c r="D21" s="333"/>
      <c r="E21" s="333"/>
      <c r="F21" s="333"/>
      <c r="G21" s="333"/>
      <c r="H21" s="333"/>
      <c r="I21" s="333"/>
      <c r="J21" s="333"/>
      <c r="K21" s="333"/>
      <c r="L21" s="333"/>
      <c r="M21" s="334"/>
    </row>
    <row r="22" spans="1:256" x14ac:dyDescent="0.2">
      <c r="A22" s="158"/>
      <c r="B22" s="149"/>
      <c r="C22" s="333"/>
      <c r="D22" s="333"/>
      <c r="E22" s="333"/>
      <c r="F22" s="333"/>
      <c r="G22" s="333"/>
      <c r="H22" s="333"/>
      <c r="I22" s="333"/>
      <c r="J22" s="333"/>
      <c r="K22" s="333"/>
      <c r="L22" s="333"/>
      <c r="M22" s="334"/>
    </row>
    <row r="23" spans="1:256" x14ac:dyDescent="0.2">
      <c r="A23" s="158"/>
      <c r="B23" s="149"/>
      <c r="C23" s="333"/>
      <c r="D23" s="333"/>
      <c r="E23" s="333"/>
      <c r="F23" s="333"/>
      <c r="G23" s="333"/>
      <c r="H23" s="333"/>
      <c r="I23" s="333"/>
      <c r="J23" s="333"/>
      <c r="K23" s="333"/>
      <c r="L23" s="333"/>
      <c r="M23" s="334"/>
    </row>
    <row r="24" spans="1:256" x14ac:dyDescent="0.2">
      <c r="A24" s="158"/>
      <c r="B24" s="149"/>
      <c r="C24" s="333"/>
      <c r="D24" s="333"/>
      <c r="E24" s="333"/>
      <c r="F24" s="333"/>
      <c r="G24" s="333"/>
      <c r="H24" s="333"/>
      <c r="I24" s="333"/>
      <c r="J24" s="333"/>
      <c r="K24" s="333"/>
      <c r="L24" s="333"/>
      <c r="M24" s="334"/>
    </row>
    <row r="25" spans="1:256" x14ac:dyDescent="0.2">
      <c r="A25" s="158"/>
      <c r="B25" s="149"/>
      <c r="C25" s="333"/>
      <c r="D25" s="333"/>
      <c r="E25" s="333"/>
      <c r="F25" s="333"/>
      <c r="G25" s="333"/>
      <c r="H25" s="333"/>
      <c r="I25" s="333"/>
      <c r="J25" s="333"/>
      <c r="K25" s="333"/>
      <c r="L25" s="333"/>
      <c r="M25" s="334"/>
    </row>
    <row r="26" spans="1:256" x14ac:dyDescent="0.2">
      <c r="A26" s="158"/>
      <c r="B26" s="149"/>
      <c r="C26" s="333"/>
      <c r="D26" s="333"/>
      <c r="E26" s="333"/>
      <c r="F26" s="333"/>
      <c r="G26" s="333"/>
      <c r="H26" s="333"/>
      <c r="I26" s="333"/>
      <c r="J26" s="333"/>
      <c r="K26" s="333"/>
      <c r="L26" s="333"/>
      <c r="M26" s="334"/>
    </row>
    <row r="27" spans="1:256" x14ac:dyDescent="0.2">
      <c r="A27" s="158"/>
      <c r="B27" s="149"/>
      <c r="C27" s="333"/>
      <c r="D27" s="333"/>
      <c r="E27" s="333"/>
      <c r="F27" s="333"/>
      <c r="G27" s="333"/>
      <c r="H27" s="333"/>
      <c r="I27" s="333"/>
      <c r="J27" s="333"/>
      <c r="K27" s="333"/>
      <c r="L27" s="333"/>
      <c r="M27" s="334"/>
    </row>
    <row r="28" spans="1:256" x14ac:dyDescent="0.2">
      <c r="A28" s="158"/>
      <c r="B28" s="149"/>
      <c r="C28" s="333"/>
      <c r="D28" s="333"/>
      <c r="E28" s="333"/>
      <c r="F28" s="333"/>
      <c r="G28" s="333"/>
      <c r="H28" s="333"/>
      <c r="I28" s="333"/>
      <c r="J28" s="333"/>
      <c r="K28" s="333"/>
      <c r="L28" s="333"/>
      <c r="M28" s="334"/>
    </row>
    <row r="29" spans="1:256" x14ac:dyDescent="0.2">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4"/>
    </row>
    <row r="51" spans="1:256" x14ac:dyDescent="0.2">
      <c r="A51" s="158"/>
      <c r="B51" s="149"/>
      <c r="C51" s="333"/>
      <c r="D51" s="333"/>
      <c r="E51" s="333"/>
      <c r="F51" s="333"/>
      <c r="G51" s="333"/>
      <c r="H51" s="333"/>
      <c r="I51" s="333"/>
      <c r="J51" s="333"/>
      <c r="K51" s="333"/>
      <c r="L51" s="333"/>
      <c r="M51" s="334"/>
    </row>
    <row r="52" spans="1:256" x14ac:dyDescent="0.2">
      <c r="A52" s="158"/>
      <c r="B52" s="149"/>
      <c r="C52" s="333"/>
      <c r="D52" s="333"/>
      <c r="E52" s="333"/>
      <c r="F52" s="333"/>
      <c r="G52" s="333"/>
      <c r="H52" s="333"/>
      <c r="I52" s="333"/>
      <c r="J52" s="333"/>
      <c r="K52" s="333"/>
      <c r="L52" s="333"/>
      <c r="M52" s="334"/>
    </row>
    <row r="53" spans="1:256" x14ac:dyDescent="0.2">
      <c r="A53" s="158"/>
      <c r="B53" s="149"/>
      <c r="C53" s="333"/>
      <c r="D53" s="333"/>
      <c r="E53" s="333"/>
      <c r="F53" s="333"/>
      <c r="G53" s="333"/>
      <c r="H53" s="333"/>
      <c r="I53" s="333"/>
      <c r="J53" s="333"/>
      <c r="K53" s="333"/>
      <c r="L53" s="333"/>
      <c r="M53" s="334"/>
    </row>
    <row r="54" spans="1:256" x14ac:dyDescent="0.2">
      <c r="A54" s="158"/>
      <c r="B54" s="149"/>
      <c r="C54" s="333"/>
      <c r="D54" s="333"/>
      <c r="E54" s="333"/>
      <c r="F54" s="333"/>
      <c r="G54" s="333"/>
      <c r="H54" s="333"/>
      <c r="I54" s="333"/>
      <c r="J54" s="333"/>
      <c r="K54" s="333"/>
      <c r="L54" s="333"/>
      <c r="M54" s="334"/>
    </row>
    <row r="55" spans="1:256" x14ac:dyDescent="0.2">
      <c r="A55" s="158"/>
      <c r="B55" s="149"/>
      <c r="C55" s="333"/>
      <c r="D55" s="333"/>
      <c r="E55" s="333"/>
      <c r="F55" s="333"/>
      <c r="G55" s="333"/>
      <c r="H55" s="333"/>
      <c r="I55" s="333"/>
      <c r="J55" s="333"/>
      <c r="K55" s="333"/>
      <c r="L55" s="333"/>
      <c r="M55" s="334"/>
    </row>
    <row r="56" spans="1:256" x14ac:dyDescent="0.2">
      <c r="A56" s="158"/>
      <c r="B56" s="149"/>
      <c r="C56" s="333"/>
      <c r="D56" s="333"/>
      <c r="E56" s="333"/>
      <c r="F56" s="333"/>
      <c r="G56" s="333"/>
      <c r="H56" s="333"/>
      <c r="I56" s="333"/>
      <c r="J56" s="333"/>
      <c r="K56" s="333"/>
      <c r="L56" s="333"/>
      <c r="M56" s="334"/>
    </row>
    <row r="57" spans="1:256" x14ac:dyDescent="0.2">
      <c r="A57" s="158"/>
      <c r="B57" s="149"/>
      <c r="C57" s="333"/>
      <c r="D57" s="333"/>
      <c r="E57" s="333"/>
      <c r="F57" s="333"/>
      <c r="G57" s="333"/>
      <c r="H57" s="333"/>
      <c r="I57" s="333"/>
      <c r="J57" s="333"/>
      <c r="K57" s="333"/>
      <c r="L57" s="333"/>
      <c r="M57" s="334"/>
    </row>
    <row r="58" spans="1:256" x14ac:dyDescent="0.2">
      <c r="A58" s="158"/>
      <c r="B58" s="149"/>
      <c r="C58" s="333"/>
      <c r="D58" s="333"/>
      <c r="E58" s="333"/>
      <c r="F58" s="333"/>
      <c r="G58" s="333"/>
      <c r="H58" s="333"/>
      <c r="I58" s="333"/>
      <c r="J58" s="333"/>
      <c r="K58" s="333"/>
      <c r="L58" s="333"/>
      <c r="M58" s="334"/>
    </row>
    <row r="59" spans="1:256" x14ac:dyDescent="0.2">
      <c r="A59" s="158"/>
      <c r="B59" s="149"/>
      <c r="C59" s="333"/>
      <c r="D59" s="333"/>
      <c r="E59" s="333"/>
      <c r="F59" s="333"/>
      <c r="G59" s="333"/>
      <c r="H59" s="333"/>
      <c r="I59" s="333"/>
      <c r="J59" s="333"/>
      <c r="K59" s="333"/>
      <c r="L59" s="333"/>
      <c r="M59" s="334"/>
    </row>
    <row r="60" spans="1:256" x14ac:dyDescent="0.2">
      <c r="A60" s="158"/>
      <c r="B60" s="149"/>
      <c r="C60" s="333"/>
      <c r="D60" s="333"/>
      <c r="E60" s="333"/>
      <c r="F60" s="333"/>
      <c r="G60" s="333"/>
      <c r="H60" s="333"/>
      <c r="I60" s="333"/>
      <c r="J60" s="333"/>
      <c r="K60" s="333"/>
      <c r="L60" s="333"/>
      <c r="M60" s="334"/>
    </row>
    <row r="61" spans="1:256" x14ac:dyDescent="0.2">
      <c r="A61" s="158"/>
      <c r="B61" s="149"/>
      <c r="C61" s="333"/>
      <c r="D61" s="333"/>
      <c r="E61" s="333"/>
      <c r="F61" s="333"/>
      <c r="G61" s="333"/>
      <c r="H61" s="333"/>
      <c r="I61" s="333"/>
      <c r="J61" s="333"/>
      <c r="K61" s="333"/>
      <c r="L61" s="333"/>
      <c r="M61" s="334"/>
    </row>
    <row r="62" spans="1:256" x14ac:dyDescent="0.2">
      <c r="A62" s="158"/>
      <c r="B62" s="149"/>
      <c r="C62" s="333"/>
      <c r="D62" s="333"/>
      <c r="E62" s="333"/>
      <c r="F62" s="333"/>
      <c r="G62" s="333"/>
      <c r="H62" s="333"/>
      <c r="I62" s="333"/>
      <c r="J62" s="333"/>
      <c r="K62" s="333"/>
      <c r="L62" s="333"/>
      <c r="M62" s="334"/>
    </row>
    <row r="63" spans="1:256" x14ac:dyDescent="0.2">
      <c r="A63" s="158"/>
      <c r="B63" s="149"/>
      <c r="C63" s="333"/>
      <c r="D63" s="333"/>
      <c r="E63" s="333"/>
      <c r="F63" s="333"/>
      <c r="G63" s="333"/>
      <c r="H63" s="333"/>
      <c r="I63" s="333"/>
      <c r="J63" s="333"/>
      <c r="K63" s="333"/>
      <c r="L63" s="333"/>
      <c r="M63" s="334"/>
    </row>
    <row r="64" spans="1:256" x14ac:dyDescent="0.2">
      <c r="A64" s="158"/>
      <c r="B64" s="149"/>
      <c r="C64" s="333"/>
      <c r="D64" s="333"/>
      <c r="E64" s="333"/>
      <c r="F64" s="333"/>
      <c r="G64" s="333"/>
      <c r="H64" s="333"/>
      <c r="I64" s="333"/>
      <c r="J64" s="333"/>
      <c r="K64" s="333"/>
      <c r="L64" s="333"/>
      <c r="M64" s="334"/>
    </row>
    <row r="65" spans="1:13" x14ac:dyDescent="0.2">
      <c r="A65" s="158"/>
      <c r="B65" s="149"/>
      <c r="C65" s="333"/>
      <c r="D65" s="333"/>
      <c r="E65" s="333"/>
      <c r="F65" s="333"/>
      <c r="G65" s="333"/>
      <c r="H65" s="333"/>
      <c r="I65" s="333"/>
      <c r="J65" s="333"/>
      <c r="K65" s="333"/>
      <c r="L65" s="333"/>
      <c r="M65" s="334"/>
    </row>
    <row r="66" spans="1:13" x14ac:dyDescent="0.2">
      <c r="A66" s="158"/>
      <c r="B66" s="149"/>
      <c r="C66" s="333"/>
      <c r="D66" s="333"/>
      <c r="E66" s="333"/>
      <c r="F66" s="333"/>
      <c r="G66" s="333"/>
      <c r="H66" s="333"/>
      <c r="I66" s="333"/>
      <c r="J66" s="333"/>
      <c r="K66" s="333"/>
      <c r="L66" s="333"/>
      <c r="M66" s="334"/>
    </row>
    <row r="67" spans="1:13" x14ac:dyDescent="0.2">
      <c r="A67" s="158"/>
      <c r="B67" s="149"/>
      <c r="C67" s="333"/>
      <c r="D67" s="333"/>
      <c r="E67" s="333"/>
      <c r="F67" s="333"/>
      <c r="G67" s="333"/>
      <c r="H67" s="333"/>
      <c r="I67" s="333"/>
      <c r="J67" s="333"/>
      <c r="K67" s="333"/>
      <c r="L67" s="333"/>
      <c r="M67" s="334"/>
    </row>
    <row r="68" spans="1:13" x14ac:dyDescent="0.2">
      <c r="A68" s="158"/>
      <c r="B68" s="149"/>
      <c r="C68" s="333"/>
      <c r="D68" s="333"/>
      <c r="E68" s="333"/>
      <c r="F68" s="333"/>
      <c r="G68" s="333"/>
      <c r="H68" s="333"/>
      <c r="I68" s="333"/>
      <c r="J68" s="333"/>
      <c r="K68" s="333"/>
      <c r="L68" s="333"/>
      <c r="M68" s="334"/>
    </row>
    <row r="69" spans="1:13" x14ac:dyDescent="0.2">
      <c r="A69" s="158"/>
      <c r="B69" s="149"/>
      <c r="C69" s="333"/>
      <c r="D69" s="333"/>
      <c r="E69" s="333"/>
      <c r="F69" s="333"/>
      <c r="G69" s="333"/>
      <c r="H69" s="333"/>
      <c r="I69" s="333"/>
      <c r="J69" s="333"/>
      <c r="K69" s="333"/>
      <c r="L69" s="333"/>
      <c r="M69" s="334"/>
    </row>
    <row r="70" spans="1:13" ht="12" thickBot="1" x14ac:dyDescent="0.25">
      <c r="A70" s="159"/>
      <c r="B70" s="160"/>
      <c r="C70" s="335"/>
      <c r="D70" s="335"/>
      <c r="E70" s="335"/>
      <c r="F70" s="335"/>
      <c r="G70" s="335"/>
      <c r="H70" s="335"/>
      <c r="I70" s="335"/>
      <c r="J70" s="335"/>
      <c r="K70" s="335"/>
      <c r="L70" s="335"/>
      <c r="M70" s="336"/>
    </row>
    <row r="71" spans="1:13" ht="12" thickTop="1" x14ac:dyDescent="0.2">
      <c r="A71" s="150"/>
      <c r="B71" s="150"/>
      <c r="C71" s="151"/>
      <c r="D71" s="151"/>
      <c r="E71" s="151"/>
      <c r="F71" s="151"/>
      <c r="G71" s="151"/>
      <c r="H71" s="151"/>
      <c r="I71" s="151"/>
      <c r="J71" s="151"/>
      <c r="K71" s="151"/>
      <c r="L71" s="151"/>
    </row>
    <row r="72" spans="1:13" ht="12.75" x14ac:dyDescent="0.2">
      <c r="A72" s="337" t="s">
        <v>828</v>
      </c>
      <c r="B72" s="337"/>
      <c r="C72" s="337"/>
      <c r="D72" s="337"/>
      <c r="E72" s="337"/>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54</v>
      </c>
      <c r="K4" s="256" t="b">
        <f>C4=C5</f>
        <v>0</v>
      </c>
      <c r="L4">
        <v>113</v>
      </c>
      <c r="M4" t="s">
        <v>978</v>
      </c>
      <c r="N4" t="s">
        <v>1600</v>
      </c>
      <c r="O4">
        <v>27010</v>
      </c>
      <c r="P4" t="s">
        <v>1517</v>
      </c>
      <c r="Q4">
        <v>9</v>
      </c>
      <c r="R4" t="s">
        <v>1662</v>
      </c>
      <c r="S4" s="281">
        <f>ROWS($Q$4:Q4)</f>
        <v>1</v>
      </c>
      <c r="T4" s="281">
        <f>IF('School Level Expenditures'!$B$2='School Tables'!L4,'School Tables'!S4,"")</f>
        <v>1</v>
      </c>
      <c r="U4" s="281">
        <f>IFERROR(SMALL($T$4:$T$95,ROWS($T$4:T4)),"")</f>
        <v>1</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40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149</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247</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f>IF('School Level Expenditures'!$B$2='School Tables'!W43,'School Tables'!AD43,"")</f>
        <v>40</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f>IF('School Level Expenditures'!$B$2=A57,'School Tables'!H57,"")</f>
        <v>54</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f>IF('School Level Expenditures'!$B$2=A152,'School Tables'!H152,"")</f>
        <v>149</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f>IF('School Level Expenditures'!$B$2=A250,'School Tables'!H250,"")</f>
        <v>247</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2024-12-06T19:38:20Z</cp:lastPrinted>
  <dcterms:created xsi:type="dcterms:W3CDTF">1997-12-04T19:04:30Z</dcterms:created>
  <dcterms:modified xsi:type="dcterms:W3CDTF">2024-12-20T12:49:52Z</dcterms:modified>
</cp:coreProperties>
</file>