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7C44343-74D8-453A-B0E5-7C6BB39BA00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F44" i="1"/>
  <c r="F49" i="1"/>
  <c r="F50" i="1"/>
  <c r="K5" i="14" l="1"/>
  <c r="F187" i="1"/>
  <c r="F13" i="1"/>
  <c r="G97" i="1"/>
  <c r="K264" i="1"/>
  <c r="F22" i="1"/>
  <c r="G12" i="1"/>
  <c r="G180" i="1"/>
  <c r="H524" i="1"/>
  <c r="H584" i="1"/>
  <c r="H583" i="1"/>
  <c r="G198" i="1"/>
  <c r="I198" i="1"/>
  <c r="H235" i="1"/>
  <c r="H256" i="1"/>
  <c r="D9" i="13"/>
  <c r="Q6" i="14"/>
  <c r="P6" i="14"/>
  <c r="O6" i="14"/>
  <c r="H522" i="1"/>
  <c r="J522" i="1"/>
  <c r="I522" i="1"/>
  <c r="F522" i="1"/>
  <c r="G524" i="1"/>
  <c r="K522" i="1"/>
  <c r="H527" i="1"/>
  <c r="G522" i="1"/>
  <c r="C39" i="12"/>
  <c r="B20" i="12"/>
  <c r="B19" i="12"/>
  <c r="B11" i="12"/>
  <c r="B10" i="12"/>
  <c r="H155" i="1" l="1"/>
  <c r="H162" i="1"/>
  <c r="F198" i="1"/>
  <c r="F277" i="1"/>
  <c r="H12" i="1"/>
  <c r="I277" i="1"/>
  <c r="H359" i="1"/>
  <c r="G440" i="1"/>
  <c r="F146" i="1"/>
  <c r="K198" i="1"/>
  <c r="K427" i="1"/>
  <c r="G206" i="1" l="1"/>
  <c r="H592" i="1" l="1"/>
  <c r="H337" i="1"/>
  <c r="H287" i="1"/>
  <c r="H284" i="1"/>
  <c r="H283" i="1"/>
  <c r="I282" i="1"/>
  <c r="H282" i="1"/>
  <c r="H278" i="1"/>
  <c r="J278" i="1"/>
  <c r="I278" i="1"/>
  <c r="F278" i="1"/>
  <c r="I283" i="1"/>
  <c r="F283" i="1"/>
  <c r="H277" i="1"/>
  <c r="J359" i="1"/>
  <c r="H209" i="1"/>
  <c r="K208" i="1"/>
  <c r="J208" i="1"/>
  <c r="I208" i="1"/>
  <c r="H208" i="1"/>
  <c r="G208" i="1"/>
  <c r="F208" i="1"/>
  <c r="K206" i="1"/>
  <c r="J206" i="1"/>
  <c r="I206" i="1"/>
  <c r="H206" i="1"/>
  <c r="F206" i="1"/>
  <c r="K205" i="1"/>
  <c r="I205" i="1"/>
  <c r="H205" i="1"/>
  <c r="G205" i="1"/>
  <c r="F205" i="1"/>
  <c r="I204" i="1"/>
  <c r="H204" i="1"/>
  <c r="G204" i="1"/>
  <c r="F204" i="1"/>
  <c r="K203" i="1"/>
  <c r="J203" i="1"/>
  <c r="I203" i="1"/>
  <c r="G203" i="1"/>
  <c r="F203" i="1"/>
  <c r="H203" i="1"/>
  <c r="I201" i="1"/>
  <c r="H201" i="1"/>
  <c r="G201" i="1"/>
  <c r="F201" i="1"/>
  <c r="G235" i="1"/>
  <c r="F235" i="1"/>
  <c r="K199" i="1"/>
  <c r="J199" i="1"/>
  <c r="I199" i="1"/>
  <c r="H199" i="1"/>
  <c r="G199" i="1"/>
  <c r="F199" i="1"/>
  <c r="H234" i="1"/>
  <c r="J198" i="1"/>
  <c r="H198" i="1"/>
  <c r="H159" i="1"/>
  <c r="G110" i="1"/>
  <c r="F108" i="1"/>
  <c r="F96" i="1"/>
  <c r="H30" i="1"/>
  <c r="H29" i="1"/>
  <c r="H24" i="1"/>
  <c r="H13" i="1"/>
  <c r="F29" i="1" l="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G589" i="1"/>
  <c r="H589" i="1"/>
  <c r="F589" i="1"/>
  <c r="P2" i="14" l="1"/>
  <c r="O2" i="14"/>
  <c r="Q45" i="14"/>
  <c r="P45" i="14"/>
  <c r="O45" i="14"/>
  <c r="N45" i="14"/>
  <c r="M45" i="14"/>
  <c r="L45" i="14"/>
  <c r="Q34" i="14"/>
  <c r="P34" i="14"/>
  <c r="O34" i="14"/>
  <c r="N34" i="14"/>
  <c r="M34" i="14"/>
  <c r="L34" i="14"/>
  <c r="K34"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E34" i="14"/>
  <c r="D34" i="14"/>
  <c r="E21" i="14"/>
  <c r="G36" i="13" l="1"/>
  <c r="G29" i="13"/>
  <c r="B22" i="12" l="1"/>
  <c r="F88" i="2" l="1"/>
  <c r="E88" i="2"/>
  <c r="D88" i="2"/>
  <c r="C88" i="2"/>
  <c r="I163" i="1"/>
  <c r="H163" i="1"/>
  <c r="G163" i="1"/>
  <c r="F163" i="1"/>
  <c r="H88" i="2" l="1"/>
  <c r="B31" i="16"/>
  <c r="B27" i="16"/>
  <c r="B9" i="16"/>
  <c r="B5" i="16"/>
  <c r="F44" i="14" l="1"/>
  <c r="F40" i="14" l="1"/>
  <c r="F41" i="14"/>
  <c r="F42" i="14"/>
  <c r="F43" i="14"/>
  <c r="F27" i="14"/>
  <c r="F28" i="14"/>
  <c r="F29" i="14"/>
  <c r="F30" i="14"/>
  <c r="F31" i="14"/>
  <c r="F32" i="14"/>
  <c r="F33" i="14"/>
  <c r="F7" i="14"/>
  <c r="F8" i="14"/>
  <c r="F9" i="14"/>
  <c r="F10" i="14"/>
  <c r="F11" i="14"/>
  <c r="F12" i="14"/>
  <c r="F13" i="14"/>
  <c r="F14" i="14"/>
  <c r="F15" i="14"/>
  <c r="F16" i="14"/>
  <c r="F17" i="14"/>
  <c r="F18" i="14"/>
  <c r="F19" i="14"/>
  <c r="F20" i="14"/>
  <c r="F26" i="14"/>
  <c r="F25" i="14" l="1"/>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15" i="15" l="1"/>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C11" i="13" s="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6" i="14" s="1"/>
  <c r="L21" i="14" s="1"/>
  <c r="L221" i="1"/>
  <c r="L239" i="1"/>
  <c r="G7" i="13"/>
  <c r="H7" i="13"/>
  <c r="L204" i="1"/>
  <c r="L222" i="1"/>
  <c r="L240" i="1"/>
  <c r="G12" i="13"/>
  <c r="H12" i="13"/>
  <c r="L206" i="1"/>
  <c r="N6" i="14" s="1"/>
  <c r="N21" i="14" s="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56" i="2" s="1"/>
  <c r="F79" i="1"/>
  <c r="C57" i="2" s="1"/>
  <c r="F94" i="1"/>
  <c r="C58" i="2" s="1"/>
  <c r="F111" i="1"/>
  <c r="G111" i="1"/>
  <c r="H79" i="1"/>
  <c r="H94" i="1"/>
  <c r="H111" i="1"/>
  <c r="I111" i="1"/>
  <c r="J111" i="1"/>
  <c r="F121" i="1"/>
  <c r="F136" i="1"/>
  <c r="G121" i="1"/>
  <c r="G136" i="1"/>
  <c r="H121" i="1"/>
  <c r="H136" i="1"/>
  <c r="H140" i="1" s="1"/>
  <c r="I121" i="1"/>
  <c r="I136" i="1"/>
  <c r="J121" i="1"/>
  <c r="J136" i="1"/>
  <c r="F147" i="1"/>
  <c r="C85" i="2"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C125"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I19" i="1"/>
  <c r="G621" i="1" s="1"/>
  <c r="F32" i="1"/>
  <c r="G32" i="1"/>
  <c r="H32" i="1"/>
  <c r="I32" i="1"/>
  <c r="I51" i="1"/>
  <c r="F178" i="1"/>
  <c r="I178" i="1"/>
  <c r="F184" i="1"/>
  <c r="G184" i="1"/>
  <c r="H184" i="1"/>
  <c r="I184" i="1"/>
  <c r="J184" i="1"/>
  <c r="J193" i="1" s="1"/>
  <c r="F189" i="1"/>
  <c r="G189" i="1"/>
  <c r="H189" i="1"/>
  <c r="I189" i="1"/>
  <c r="F212" i="1"/>
  <c r="G212" i="1"/>
  <c r="H212" i="1"/>
  <c r="I212" i="1"/>
  <c r="J212" i="1"/>
  <c r="H605" i="1" s="1"/>
  <c r="H606"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447" i="1"/>
  <c r="H447" i="1"/>
  <c r="G642" i="1" s="1"/>
  <c r="F453" i="1"/>
  <c r="G453" i="1"/>
  <c r="H453"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I599" i="1"/>
  <c r="H651" i="1" s="1"/>
  <c r="J599" i="1"/>
  <c r="H652" i="1" s="1"/>
  <c r="K603" i="1"/>
  <c r="K604" i="1"/>
  <c r="K605" i="1"/>
  <c r="I606" i="1"/>
  <c r="J606" i="1"/>
  <c r="F615" i="1"/>
  <c r="G615" i="1"/>
  <c r="H615" i="1"/>
  <c r="I615" i="1"/>
  <c r="J615" i="1"/>
  <c r="K615" i="1"/>
  <c r="H631" i="1"/>
  <c r="H637" i="1"/>
  <c r="G644" i="1"/>
  <c r="G645" i="1"/>
  <c r="G651" i="1"/>
  <c r="G652" i="1"/>
  <c r="J652" i="1" s="1"/>
  <c r="H653" i="1"/>
  <c r="G654" i="1"/>
  <c r="H654" i="1"/>
  <c r="H655" i="1"/>
  <c r="H656" i="1"/>
  <c r="K6" i="14" l="1"/>
  <c r="K21" i="14" s="1"/>
  <c r="H27" i="2"/>
  <c r="H24" i="2"/>
  <c r="E124" i="2"/>
  <c r="E111" i="2"/>
  <c r="F409" i="1"/>
  <c r="H644" i="1" s="1"/>
  <c r="H72" i="2"/>
  <c r="H35" i="2"/>
  <c r="H13" i="2"/>
  <c r="H9" i="2"/>
  <c r="I409" i="1"/>
  <c r="H94" i="2"/>
  <c r="M6" i="14"/>
  <c r="M21" i="14" s="1"/>
  <c r="H650" i="1"/>
  <c r="D5" i="14"/>
  <c r="J140" i="1"/>
  <c r="F664" i="1"/>
  <c r="C32" i="10"/>
  <c r="D18" i="13"/>
  <c r="C18" i="13" s="1"/>
  <c r="D15" i="13"/>
  <c r="C15" i="13" s="1"/>
  <c r="G620" i="1"/>
  <c r="H48" i="1"/>
  <c r="G646" i="1"/>
  <c r="G618" i="1"/>
  <c r="G641" i="1"/>
  <c r="G460" i="1"/>
  <c r="G461" i="1" s="1"/>
  <c r="G462" i="1" s="1"/>
  <c r="H641" i="1" s="1"/>
  <c r="J641" i="1" s="1"/>
  <c r="G409" i="1"/>
  <c r="H646" i="1" s="1"/>
  <c r="G40" i="1"/>
  <c r="C120" i="2"/>
  <c r="H120" i="2" s="1"/>
  <c r="C119" i="2"/>
  <c r="C13" i="10"/>
  <c r="K36" i="14"/>
  <c r="K2" i="14"/>
  <c r="F170" i="1"/>
  <c r="H29" i="2"/>
  <c r="G640" i="1"/>
  <c r="F460" i="1"/>
  <c r="H30" i="2"/>
  <c r="H137" i="2"/>
  <c r="H102" i="2"/>
  <c r="H100" i="2"/>
  <c r="H98" i="2"/>
  <c r="H73" i="2"/>
  <c r="H23" i="2"/>
  <c r="H15" i="2"/>
  <c r="H11" i="2"/>
  <c r="H143" i="2"/>
  <c r="H38" i="2"/>
  <c r="H43" i="2"/>
  <c r="H69" i="2"/>
  <c r="H28" i="2"/>
  <c r="H96" i="2"/>
  <c r="H77" i="2"/>
  <c r="D29" i="13"/>
  <c r="C29" i="13" s="1"/>
  <c r="E13" i="13"/>
  <c r="C13" i="13" s="1"/>
  <c r="H89" i="2"/>
  <c r="H59" i="2"/>
  <c r="H34" i="2"/>
  <c r="I112" i="1"/>
  <c r="D144" i="2"/>
  <c r="H17" i="2"/>
  <c r="C112" i="2"/>
  <c r="H112" i="2" s="1"/>
  <c r="H12" i="2"/>
  <c r="H8" i="2"/>
  <c r="G663" i="1"/>
  <c r="C12" i="10"/>
  <c r="H25" i="2"/>
  <c r="H125" i="2"/>
  <c r="H101" i="2"/>
  <c r="H99" i="2"/>
  <c r="H79" i="2"/>
  <c r="H76" i="2"/>
  <c r="H58" i="2"/>
  <c r="H113" i="2"/>
  <c r="H132" i="2"/>
  <c r="G662" i="1"/>
  <c r="H36" i="2"/>
  <c r="H44" i="2"/>
  <c r="H48" i="2"/>
  <c r="H97" i="2"/>
  <c r="H93" i="2"/>
  <c r="H87" i="2"/>
  <c r="H61" i="2"/>
  <c r="H26" i="2"/>
  <c r="H22" i="2"/>
  <c r="J112"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E103" i="2"/>
  <c r="D18" i="2"/>
  <c r="H553" i="1"/>
  <c r="L310" i="1"/>
  <c r="I546" i="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K552" i="1"/>
  <c r="I25" i="13"/>
  <c r="K551" i="1"/>
  <c r="L535" i="1"/>
  <c r="K50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G42" i="2"/>
  <c r="G16" i="2"/>
  <c r="G18" i="2" s="1"/>
  <c r="J19" i="1"/>
  <c r="G622" i="1" s="1"/>
  <c r="F546" i="1"/>
  <c r="H435" i="1"/>
  <c r="D103" i="2"/>
  <c r="I140" i="1"/>
  <c r="A22" i="12"/>
  <c r="J653" i="1"/>
  <c r="G572" i="1"/>
  <c r="I435" i="1"/>
  <c r="G435" i="1"/>
  <c r="I664" i="1"/>
  <c r="I3" i="14" l="1"/>
  <c r="F5" i="14"/>
  <c r="H21" i="2"/>
  <c r="J646" i="1"/>
  <c r="I663" i="1"/>
  <c r="H114" i="2"/>
  <c r="H91" i="2"/>
  <c r="K3" i="14"/>
  <c r="E144" i="2"/>
  <c r="H111" i="2"/>
  <c r="L572" i="1"/>
  <c r="K39" i="14"/>
  <c r="K45" i="14" s="1"/>
  <c r="K37" i="14" s="1"/>
  <c r="D39" i="14"/>
  <c r="D21" i="14"/>
  <c r="F6" i="14"/>
  <c r="F4" i="14" s="1"/>
  <c r="H51" i="1"/>
  <c r="E47" i="2"/>
  <c r="E50" i="2" s="1"/>
  <c r="E51" i="2" s="1"/>
  <c r="B17" i="16"/>
  <c r="B19" i="16" s="1"/>
  <c r="G473" i="1"/>
  <c r="F51" i="1"/>
  <c r="C49" i="2"/>
  <c r="G647" i="1"/>
  <c r="J469" i="1"/>
  <c r="G51" i="1"/>
  <c r="D39" i="2"/>
  <c r="H119" i="2"/>
  <c r="I460" i="1"/>
  <c r="F461" i="1"/>
  <c r="F462" i="1" s="1"/>
  <c r="H640" i="1" s="1"/>
  <c r="J640" i="1" s="1"/>
  <c r="C81" i="2"/>
  <c r="H81" i="2" s="1"/>
  <c r="H78" i="2"/>
  <c r="H85" i="2"/>
  <c r="D128" i="2"/>
  <c r="D145" i="2" s="1"/>
  <c r="H127" i="2"/>
  <c r="F194" i="1"/>
  <c r="H103" i="2"/>
  <c r="I662" i="1"/>
  <c r="H57" i="2"/>
  <c r="H16" i="2"/>
  <c r="H134" i="2"/>
  <c r="H31" i="2"/>
  <c r="H62" i="2"/>
  <c r="H18" i="2"/>
  <c r="H42" i="2"/>
  <c r="G25" i="14"/>
  <c r="H25" i="14" s="1"/>
  <c r="I25" i="14" s="1"/>
  <c r="H110" i="2"/>
  <c r="H121" i="2"/>
  <c r="E128" i="2"/>
  <c r="H118" i="2"/>
  <c r="F661" i="1"/>
  <c r="F665" i="1" s="1"/>
  <c r="F670" i="1" s="1"/>
  <c r="E115" i="2"/>
  <c r="H109" i="2"/>
  <c r="F144" i="2"/>
  <c r="H130" i="2"/>
  <c r="H661" i="1"/>
  <c r="H665" i="1" s="1"/>
  <c r="H194" i="1"/>
  <c r="H649" i="1"/>
  <c r="J649" i="1" s="1"/>
  <c r="C141" i="2"/>
  <c r="F51" i="2"/>
  <c r="G38" i="14"/>
  <c r="E104" i="2"/>
  <c r="C36" i="10"/>
  <c r="L435" i="1"/>
  <c r="G104" i="2"/>
  <c r="L339" i="1"/>
  <c r="L353" i="1" s="1"/>
  <c r="I194" i="1"/>
  <c r="G631" i="1" s="1"/>
  <c r="J631" i="1" s="1"/>
  <c r="G636" i="1"/>
  <c r="D104" i="2"/>
  <c r="L409" i="1"/>
  <c r="C27" i="10"/>
  <c r="C28" i="10" s="1"/>
  <c r="D23" i="10" s="1"/>
  <c r="G4" i="14"/>
  <c r="L546" i="1"/>
  <c r="J626" i="1"/>
  <c r="F104" i="2"/>
  <c r="B14" i="16"/>
  <c r="E33" i="13"/>
  <c r="D35" i="13" s="1"/>
  <c r="J648" i="1"/>
  <c r="L258" i="1"/>
  <c r="L272" i="1" s="1"/>
  <c r="C115" i="2"/>
  <c r="C63" i="2"/>
  <c r="C39" i="10"/>
  <c r="G33" i="13"/>
  <c r="C128" i="2"/>
  <c r="D31" i="13"/>
  <c r="C31" i="13" s="1"/>
  <c r="G661" i="1"/>
  <c r="G665" i="1" s="1"/>
  <c r="C25" i="13"/>
  <c r="I33" i="13"/>
  <c r="K553" i="1"/>
  <c r="G632" i="1"/>
  <c r="G194" i="1"/>
  <c r="C38" i="10"/>
  <c r="G629" i="1" l="1"/>
  <c r="G469" i="1"/>
  <c r="I37" i="14"/>
  <c r="D45" i="14"/>
  <c r="F39" i="14"/>
  <c r="F38" i="14" s="1"/>
  <c r="H38" i="14"/>
  <c r="I38" i="14" s="1"/>
  <c r="H4" i="14"/>
  <c r="I4" i="14" s="1"/>
  <c r="G625" i="1"/>
  <c r="H52" i="1"/>
  <c r="H620" i="1" s="1"/>
  <c r="J620" i="1" s="1"/>
  <c r="G630" i="1"/>
  <c r="H469" i="1"/>
  <c r="G634" i="1"/>
  <c r="H473" i="1"/>
  <c r="B22" i="16"/>
  <c r="G475" i="1"/>
  <c r="H636" i="1"/>
  <c r="J636" i="1" s="1"/>
  <c r="H49" i="2"/>
  <c r="C50" i="2"/>
  <c r="C51" i="2" s="1"/>
  <c r="G623" i="1"/>
  <c r="F52" i="1"/>
  <c r="H618" i="1" s="1"/>
  <c r="J618" i="1" s="1"/>
  <c r="G628" i="1"/>
  <c r="F469" i="1"/>
  <c r="G633" i="1"/>
  <c r="F473" i="1"/>
  <c r="H632" i="1"/>
  <c r="J632" i="1" s="1"/>
  <c r="J471" i="1"/>
  <c r="H638" i="1"/>
  <c r="G639" i="1"/>
  <c r="J473" i="1"/>
  <c r="H39" i="2"/>
  <c r="D50" i="2"/>
  <c r="D51" i="2" s="1"/>
  <c r="G624" i="1"/>
  <c r="G52" i="1"/>
  <c r="H619" i="1" s="1"/>
  <c r="J619" i="1" s="1"/>
  <c r="J48" i="1"/>
  <c r="I461" i="1"/>
  <c r="I462" i="1" s="1"/>
  <c r="H643" i="1" s="1"/>
  <c r="J643" i="1" s="1"/>
  <c r="C104" i="2"/>
  <c r="H104" i="2" s="1"/>
  <c r="H63"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471" i="1" l="1"/>
  <c r="G477" i="1" s="1"/>
  <c r="H629" i="1"/>
  <c r="J629" i="1"/>
  <c r="H471" i="1"/>
  <c r="H630" i="1"/>
  <c r="J630" i="1" s="1"/>
  <c r="H634" i="1"/>
  <c r="H475" i="1"/>
  <c r="J634" i="1"/>
  <c r="F471" i="1"/>
  <c r="H628" i="1"/>
  <c r="J628" i="1" s="1"/>
  <c r="F475" i="1"/>
  <c r="H633" i="1"/>
  <c r="J633" i="1" s="1"/>
  <c r="H639" i="1"/>
  <c r="J639" i="1" s="1"/>
  <c r="J475" i="1"/>
  <c r="J477" i="1" s="1"/>
  <c r="H627" i="1" s="1"/>
  <c r="H144" i="2"/>
  <c r="G47" i="2"/>
  <c r="J51" i="1"/>
  <c r="H145" i="2"/>
  <c r="I670" i="1"/>
  <c r="I673" i="1" s="1"/>
  <c r="C7" i="10" s="1"/>
  <c r="F673" i="1"/>
  <c r="C4" i="10" s="1"/>
  <c r="I668" i="1"/>
  <c r="D28" i="10"/>
  <c r="D37" i="10"/>
  <c r="D36" i="10"/>
  <c r="D35" i="10"/>
  <c r="D40" i="10"/>
  <c r="D39" i="10"/>
  <c r="H624" i="1" l="1"/>
  <c r="J624" i="1" s="1"/>
  <c r="B33" i="16"/>
  <c r="H477" i="1"/>
  <c r="H625" i="1" s="1"/>
  <c r="J625" i="1" s="1"/>
  <c r="F477" i="1"/>
  <c r="H623" i="1" s="1"/>
  <c r="J623" i="1" s="1"/>
  <c r="H47" i="2"/>
  <c r="G50" i="2"/>
  <c r="J52" i="1"/>
  <c r="H622" i="1" s="1"/>
  <c r="J622" i="1" s="1"/>
  <c r="G627" i="1"/>
  <c r="D41" i="10"/>
  <c r="J627" i="1" l="1"/>
  <c r="H657" i="1"/>
  <c r="G51" i="2"/>
  <c r="H51" i="2" s="1"/>
  <c r="H5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<sst xmlns="http://schemas.openxmlformats.org/spreadsheetml/2006/main" count="6643" uniqueCount="1844">
  <si>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</si>
  <si>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</si>
  <si>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</si>
  <si>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</si>
  <si>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</si>
  <si>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</si>
  <si>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</si>
  <si>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</si>
  <si>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</si>
  <si>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</si>
  <si>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</si>
  <si>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</si>
  <si>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</si>
  <si>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</si>
  <si>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</si>
  <si>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</si>
  <si>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</si>
  <si>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</si>
  <si>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</si>
  <si>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</si>
  <si>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</si>
  <si>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</si>
  <si>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</si>
  <si>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</si>
  <si>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</si>
  <si>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</si>
  <si>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</si>
  <si>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</si>
  <si>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</si>
  <si>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</si>
  <si>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</si>
  <si>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</si>
  <si>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</si>
  <si>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</si>
  <si>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</si>
  <si>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</si>
  <si>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</si>
  <si>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</si>
  <si>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</si>
  <si>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</si>
  <si>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</si>
  <si>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</si>
  <si>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</si>
  <si>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</si>
  <si>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</si>
  <si>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</si>
  <si>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</si>
  <si>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</si>
  <si>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</si>
  <si>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</si>
  <si>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</si>
  <si>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</si>
  <si>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</si>
  <si>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</si>
  <si>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</si>
  <si>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</si>
  <si>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</si>
  <si>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</si>
  <si>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</si>
  <si>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</si>
  <si>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</si>
  <si>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</si>
  <si>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</si>
  <si>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</si>
  <si>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</si>
  <si>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</si>
  <si>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</si>
  <si>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</si>
  <si>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</si>
  <si>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</si>
  <si>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</si>
  <si>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</si>
  <si>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</si>
  <si>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</si>
  <si>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</si>
  <si>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</si>
  <si>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</si>
  <si>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</si>
  <si>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</si>
  <si>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</si>
  <si>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</si>
  <si>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</si>
  <si>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</si>
  <si>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</si>
  <si>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</si>
  <si>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</si>
  <si>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</si>
  <si>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</si>
  <si>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</si>
  <si>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</si>
  <si>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</si>
  <si>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</si>
  <si>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</si>
  <si>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</si>
  <si>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</si>
  <si>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</si>
  <si>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</si>
  <si>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</si>
  <si>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</si>
  <si>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</si>
  <si>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</si>
  <si>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</si>
  <si>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</si>
  <si>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</si>
  <si>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</si>
  <si>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</si>
  <si>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</si>
  <si>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</si>
  <si>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</si>
  <si>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</si>
  <si>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</si>
  <si>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</si>
  <si>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</si>
  <si>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</si>
  <si>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</si>
  <si>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</si>
  <si>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</si>
  <si>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</si>
  <si>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</si>
  <si>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</si>
  <si>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</si>
  <si>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</si>
  <si>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</si>
  <si>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</si>
  <si>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</si>
  <si>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</si>
  <si>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</si>
  <si>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</si>
  <si>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</si>
  <si>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</si>
  <si>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</si>
  <si>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</si>
  <si>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</si>
  <si>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</si>
  <si>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</si>
  <si>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</si>
  <si>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</si>
  <si>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</si>
  <si>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</si>
  <si>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</si>
  <si>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</si>
  <si>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</si>
  <si>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</si>
  <si>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</si>
  <si>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</si>
  <si>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</si>
  <si>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</si>
  <si>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</si>
  <si>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</si>
  <si>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</si>
  <si>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</si>
  <si>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</si>
  <si>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</si>
  <si>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</si>
  <si>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</si>
  <si>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</si>
  <si>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</si>
  <si>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</si>
  <si>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</si>
  <si>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</si>
  <si>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</si>
  <si>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</si>
  <si>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</si>
  <si>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</si>
  <si>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</si>
  <si>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</si>
  <si>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</si>
  <si>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</si>
  <si>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</si>
  <si>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</si>
  <si>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</si>
  <si>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</si>
  <si>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</si>
  <si>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</si>
  <si>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</si>
  <si>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</si>
  <si>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</si>
  <si>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</si>
  <si>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</si>
  <si>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</si>
  <si>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</si>
  <si>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</si>
  <si>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</si>
  <si>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</si>
  <si>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</si>
  <si>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</si>
  <si>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</si>
  <si>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</si>
  <si>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</si>
  <si>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</si>
  <si>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</si>
  <si>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</si>
  <si>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</si>
  <si>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</si>
  <si>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</si>
  <si>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</si>
  <si>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</si>
  <si>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</si>
  <si>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</si>
  <si>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</si>
  <si>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</si>
  <si>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</si>
  <si>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</si>
  <si>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</si>
  <si>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</si>
  <si>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</si>
  <si>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</si>
  <si>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</si>
  <si>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</si>
  <si>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</si>
  <si>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</si>
  <si>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</si>
  <si>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</si>
  <si>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</si>
  <si>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</si>
  <si>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</si>
  <si>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</si>
  <si>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</si>
  <si>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</si>
  <si>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</si>
  <si>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</si>
  <si>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</si>
  <si>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</si>
  <si>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</si>
  <si>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</si>
  <si>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</si>
  <si>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</si>
  <si>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</si>
  <si>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</si>
  <si>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</si>
  <si>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</si>
  <si>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</si>
  <si>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</si>
  <si>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</si>
  <si>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</si>
  <si>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</si>
  <si>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</si>
  <si>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</si>
  <si>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</si>
  <si>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</si>
  <si>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</si>
  <si>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</si>
  <si>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</si>
  <si>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</si>
  <si>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</si>
  <si>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</si>
  <si>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</si>
  <si>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</si>
  <si>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</si>
  <si>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</si>
  <si>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</si>
  <si>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</si>
  <si>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</si>
  <si>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</si>
  <si>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</si>
  <si>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</si>
  <si>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</si>
  <si>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</si>
  <si>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</si>
  <si>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</si>
  <si>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</si>
  <si>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</si>
  <si>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</si>
  <si>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</si>
  <si>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</si>
  <si>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</si>
  <si>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</si>
  <si>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</si>
  <si>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</si>
  <si>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</si>
  <si>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</si>
  <si>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</si>
  <si>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</si>
  <si>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</si>
  <si>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</si>
  <si>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</si>
  <si>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</si>
  <si>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</si>
  <si>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</si>
  <si>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</si>
  <si>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</si>
  <si>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</si>
  <si>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</si>
  <si>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</si>
  <si>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</si>
  <si>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</si>
  <si>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</si>
  <si>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</si>
  <si>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</si>
  <si>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</si>
  <si>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</si>
  <si>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</si>
  <si>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</si>
  <si>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</si>
  <si>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</si>
  <si>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</si>
  <si>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</si>
  <si>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</si>
  <si>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</si>
  <si>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</si>
  <si>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</si>
  <si>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</si>
  <si>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</si>
  <si>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</si>
  <si>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</si>
  <si>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</si>
  <si>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</si>
  <si>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</si>
  <si>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</si>
  <si>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</si>
  <si>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</si>
  <si>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</si>
  <si>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</si>
  <si>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</si>
  <si>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</si>
  <si>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</si>
  <si>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</si>
  <si>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</si>
  <si>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</si>
  <si>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</si>
  <si>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</si>
  <si>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</si>
  <si>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</si>
  <si>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</si>
  <si>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</si>
  <si>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</si>
  <si>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</si>
  <si>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</si>
  <si>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</si>
  <si>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</si>
  <si>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</si>
  <si>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</si>
  <si>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</si>
  <si>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</si>
  <si>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</si>
  <si>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</si>
  <si>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</si>
  <si>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</si>
  <si>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</si>
  <si>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</si>
  <si>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</si>
  <si>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</si>
  <si>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</si>
  <si>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</si>
  <si>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</si>
  <si>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</si>
  <si>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</si>
  <si>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</si>
  <si>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</si>
  <si>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</si>
  <si>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</si>
  <si>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</si>
  <si>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</si>
  <si>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</si>
  <si>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</si>
  <si>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</si>
  <si>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</si>
  <si>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</si>
  <si>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</si>
  <si>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</si>
  <si>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</si>
  <si>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</si>
  <si>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</si>
  <si>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</si>
  <si>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</si>
  <si>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</si>
  <si>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</si>
  <si>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</si>
  <si>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</si>
  <si>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</si>
  <si>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</si>
  <si>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</si>
  <si>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</si>
  <si>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</si>
  <si>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</si>
  <si>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</si>
  <si>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</si>
  <si>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</si>
  <si>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</si>
  <si>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</si>
  <si>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</si>
  <si>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</si>
  <si>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</si>
  <si>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</si>
  <si>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</si>
  <si>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</si>
  <si>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</si>
  <si>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</si>
  <si>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</si>
  <si>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</si>
  <si>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</si>
  <si>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</si>
  <si>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</si>
  <si>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</si>
  <si>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</si>
  <si>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</si>
  <si>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</si>
  <si>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</si>
  <si>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</si>
  <si>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</si>
  <si>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</si>
  <si>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</si>
  <si>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</si>
  <si>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</si>
  <si>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</si>
  <si>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</si>
  <si>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</si>
  <si>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</si>
  <si>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</si>
  <si>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</si>
  <si>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</si>
  <si>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</si>
  <si>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</si>
  <si>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</si>
  <si>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</si>
  <si>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</si>
  <si>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</si>
  <si>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</si>
  <si>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</si>
  <si>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</si>
  <si>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</si>
  <si>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</si>
  <si>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</si>
  <si>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</si>
  <si>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</si>
  <si>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</si>
  <si>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</si>
  <si>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</si>
  <si>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</si>
  <si>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</si>
  <si>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</si>
  <si>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</si>
  <si>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</si>
  <si>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</si>
  <si>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</si>
  <si>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</si>
  <si>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</si>
  <si>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</si>
  <si>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</si>
  <si>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</si>
  <si>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</si>
  <si>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</si>
  <si>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</si>
  <si>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</si>
  <si>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</si>
  <si>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</si>
  <si>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</si>
  <si>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</si>
  <si>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</si>
  <si>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</si>
  <si>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</si>
  <si>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</si>
  <si>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</si>
  <si>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</si>
  <si>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</si>
  <si>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</si>
  <si>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</si>
  <si>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</si>
  <si>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</si>
  <si>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</si>
  <si>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</si>
  <si>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</si>
  <si>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</si>
  <si>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</si>
  <si>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</si>
  <si>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</si>
  <si>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</si>
  <si>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</si>
  <si>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</si>
  <si>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</si>
  <si>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</si>
  <si>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</si>
  <si>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</si>
  <si>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</si>
  <si>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</si>
  <si>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</si>
  <si>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</si>
  <si>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</si>
  <si>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</si>
  <si>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</si>
  <si>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</si>
  <si>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</si>
  <si>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</si>
  <si>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</si>
  <si>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</si>
  <si>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</si>
  <si>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</si>
  <si>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</si>
  <si>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</si>
  <si>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</si>
  <si>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</si>
  <si>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</si>
  <si>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</si>
  <si>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</si>
  <si>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</si>
  <si>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</si>
  <si>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</si>
  <si>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</si>
  <si>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</si>
  <si>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</si>
  <si>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</si>
  <si>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</si>
  <si>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</si>
  <si>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</si>
  <si>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</si>
  <si>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</si>
  <si>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</si>
  <si>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</si>
  <si>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</si>
  <si>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</si>
  <si>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</si>
  <si>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</si>
  <si>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</si>
  <si>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</si>
  <si>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</si>
  <si>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</si>
  <si>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</si>
  <si>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</si>
  <si>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</si>
  <si>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</si>
  <si>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</si>
  <si>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</si>
  <si>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</si>
  <si>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</si>
  <si>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</si>
  <si>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</si>
  <si>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</si>
  <si>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</si>
  <si>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</si>
  <si>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</si>
  <si>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</si>
  <si>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</si>
  <si>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</si>
  <si>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</si>
  <si>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</si>
  <si>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</si>
  <si>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</si>
  <si>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</si>
  <si>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</si>
  <si>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</si>
  <si>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</si>
  <si>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</si>
  <si>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</si>
  <si>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</si>
  <si>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</si>
  <si>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</si>
  <si>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</si>
  <si>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</si>
  <si>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</si>
  <si>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</si>
  <si>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</si>
  <si>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</si>
  <si>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</si>
  <si>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</si>
  <si>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</si>
  <si>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</si>
  <si>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</si>
  <si>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</si>
  <si>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</si>
  <si>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</si>
  <si>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</si>
  <si>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</si>
  <si>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</si>
  <si>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</si>
  <si>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</si>
  <si>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</si>
  <si>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</si>
  <si>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</si>
  <si>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</si>
  <si>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</si>
  <si>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</si>
  <si>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</si>
  <si>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</si>
  <si>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</si>
  <si>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</si>
  <si>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</si>
  <si>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</si>
  <si>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</si>
  <si>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</si>
  <si>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</si>
  <si>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</si>
  <si>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</si>
  <si>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</si>
  <si>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</si>
  <si>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</si>
  <si>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</si>
  <si>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</si>
  <si>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</si>
  <si>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</si>
  <si>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</si>
  <si>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</si>
  <si>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</si>
  <si>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</si>
  <si>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</si>
  <si>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</si>
  <si>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</si>
  <si>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</si>
  <si>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</si>
  <si>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</si>
  <si>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</si>
  <si>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</si>
  <si>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</si>
  <si>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</si>
  <si>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</si>
  <si>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</si>
  <si>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</si>
  <si>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</si>
  <si>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</si>
  <si>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</si>
  <si>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</si>
  <si>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</si>
  <si>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</si>
  <si>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</si>
  <si>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</si>
  <si>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</si>
  <si>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</si>
  <si>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</si>
  <si>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</si>
  <si>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</si>
  <si>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</si>
  <si>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</si>
  <si>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</si>
  <si>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</si>
  <si>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</si>
  <si>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</si>
  <si>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</si>
  <si>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</si>
  <si>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</si>
  <si>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</si>
  <si>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</si>
  <si>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</si>
  <si>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</si>
  <si>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</si>
  <si>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</si>
  <si>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</si>
  <si>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</si>
  <si>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</si>
  <si>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</si>
  <si>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</si>
  <si>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</si>
  <si>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</si>
  <si>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</si>
  <si>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</si>
  <si>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</si>
  <si>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</si>
  <si>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</si>
  <si>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</si>
  <si>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</si>
  <si>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</si>
  <si>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</si>
  <si>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</si>
  <si>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</si>
  <si>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</si>
  <si>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</si>
  <si>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</si>
  <si>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</si>
  <si>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</si>
  <si>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</si>
  <si>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</si>
  <si>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</si>
  <si>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</si>
  <si>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</si>
  <si>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</si>
  <si>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</si>
  <si>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</si>
  <si>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</si>
  <si>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</si>
  <si>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</si>
  <si>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</si>
  <si>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</si>
  <si>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</si>
  <si>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</si>
  <si>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</si>
  <si>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</si>
  <si>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</si>
  <si>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</si>
  <si>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</si>
  <si>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</si>
  <si>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</si>
  <si>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</si>
  <si>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</si>
  <si>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</si>
  <si>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</si>
  <si>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</si>
  <si>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</si>
  <si>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</si>
  <si>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</si>
  <si>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</si>
  <si>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</si>
  <si>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</si>
  <si>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</si>
  <si>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</si>
  <si>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</si>
  <si>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</si>
  <si>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</si>
  <si>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</si>
  <si>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</si>
  <si>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</si>
  <si>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</si>
  <si>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</si>
  <si>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</si>
  <si>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</si>
  <si>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</si>
  <si>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</si>
  <si>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</si>
  <si>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</si>
  <si>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</si>
  <si>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</si>
  <si>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</si>
  <si>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</si>
  <si>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</si>
  <si>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</si>
  <si>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</si>
  <si>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</si>
  <si>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</si>
  <si>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</si>
  <si>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</si>
  <si>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</si>
  <si>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</si>
  <si>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</si>
  <si>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</si>
  <si>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</si>
  <si>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</si>
  <si>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</si>
  <si>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</si>
  <si>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</si>
  <si>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</si>
  <si>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</si>
  <si>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</si>
  <si>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</si>
  <si>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</si>
  <si>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</si>
  <si>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</si>
  <si>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</si>
  <si>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</si>
  <si>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</si>
  <si>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</si>
  <si>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</si>
  <si>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</si>
  <si>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</si>
  <si>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</si>
  <si>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</si>
  <si>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</si>
  <si>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</si>
  <si>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</si>
  <si>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</si>
  <si>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</si>
  <si>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</si>
  <si>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</si>
  <si>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</si>
  <si>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</si>
  <si>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</si>
  <si>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</si>
  <si>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</si>
  <si>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</si>
  <si>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</si>
  <si>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</si>
  <si>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</si>
  <si>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</si>
  <si>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</si>
  <si>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</si>
  <si>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</si>
  <si>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</si>
  <si>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</si>
  <si>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</si>
  <si>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</si>
  <si>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</si>
  <si>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</si>
  <si>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</si>
  <si>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</si>
  <si>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</si>
  <si>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</si>
  <si>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</si>
  <si>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</si>
  <si>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</si>
  <si>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</si>
  <si>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</si>
  <si>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</si>
  <si>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</si>
  <si>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</si>
  <si>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</si>
  <si>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</si>
  <si>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</si>
  <si>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</si>
  <si>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</si>
  <si>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</si>
  <si>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</si>
  <si>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</si>
  <si>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</si>
  <si>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</si>
  <si>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</si>
  <si>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</si>
  <si>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</si>
  <si>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</si>
  <si>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</si>
  <si>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</si>
  <si>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</si>
  <si>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</si>
  <si>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</si>
  <si>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</si>
  <si>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</si>
  <si>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</si>
  <si>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</si>
  <si>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</si>
  <si>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</si>
  <si>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</si>
  <si>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</si>
  <si>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</si>
  <si>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</si>
  <si>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</si>
  <si>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</si>
  <si>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</si>
  <si>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</si>
  <si>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</si>
  <si>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</si>
  <si>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</si>
  <si>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</si>
  <si>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</si>
  <si>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</si>
  <si>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</si>
  <si>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</si>
  <si>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</si>
  <si>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</si>
  <si>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</si>
  <si>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</si>
  <si>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</si>
  <si>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</si>
  <si>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</si>
  <si>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</si>
  <si>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</si>
  <si>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</si>
  <si>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</si>
  <si>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</si>
  <si>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</si>
  <si>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</si>
  <si>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</si>
  <si>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</si>
  <si>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</si>
  <si>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</si>
  <si>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</si>
  <si>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</si>
  <si>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</si>
  <si>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</si>
  <si>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</si>
  <si>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</si>
  <si>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</si>
  <si>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</si>
  <si>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</si>
  <si>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</si>
  <si>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</si>
  <si>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</si>
  <si>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</si>
  <si>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</si>
  <si>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</si>
  <si>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</si>
  <si>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</si>
  <si>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</si>
  <si>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</si>
  <si>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</si>
  <si>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</si>
  <si>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</si>
  <si>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</si>
  <si>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</si>
  <si>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</si>
  <si>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</si>
  <si>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</si>
  <si>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</si>
  <si>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</si>
  <si>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</si>
  <si>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</si>
  <si>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</si>
  <si>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</si>
  <si>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</si>
  <si>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</si>
  <si>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</si>
  <si>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</si>
  <si>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</si>
  <si>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</si>
  <si>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</si>
  <si>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</si>
  <si>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</si>
  <si>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</si>
  <si>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</si>
  <si>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</si>
  <si>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</si>
  <si>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</si>
  <si>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</si>
  <si>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</si>
  <si>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</si>
  <si>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</si>
  <si>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</si>
  <si>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</si>
  <si>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</si>
  <si>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</si>
  <si>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</si>
  <si>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</si>
  <si>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</si>
  <si>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</si>
  <si>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</si>
  <si>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</si>
  <si>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</si>
  <si>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</si>
  <si>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</si>
  <si>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</si>
  <si>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</si>
  <si>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</si>
  <si>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</si>
  <si>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</si>
  <si>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</si>
  <si>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</si>
  <si>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</si>
  <si>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</si>
  <si>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</si>
  <si>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</si>
  <si>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</si>
  <si>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</si>
  <si>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</si>
  <si>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</si>
  <si>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</si>
  <si>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</si>
  <si>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</si>
  <si>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</si>
  <si>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</si>
  <si>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</si>
  <si>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</si>
  <si>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</si>
  <si>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</si>
  <si>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</si>
  <si>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</si>
  <si>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</si>
  <si>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</si>
  <si>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</si>
  <si>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</si>
  <si>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</si>
  <si>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</si>
  <si>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</si>
  <si>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</si>
  <si>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</si>
  <si>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</si>
  <si>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</si>
  <si>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</si>
  <si>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</si>
  <si>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</si>
  <si>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</si>
  <si>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</si>
  <si>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</si>
  <si>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</si>
  <si>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</si>
  <si>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</si>
  <si>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</si>
  <si>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</si>
  <si>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</si>
  <si>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</si>
  <si>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</si>
  <si>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</si>
  <si>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</si>
  <si>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</si>
  <si>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</si>
  <si>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</si>
  <si>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</si>
  <si>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</si>
  <si>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</si>
  <si>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</si>
  <si>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</si>
  <si>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</si>
  <si>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</si>
  <si>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</si>
  <si>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</si>
  <si>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</si>
  <si>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</si>
  <si>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</si>
  <si>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</si>
  <si>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</si>
  <si>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</si>
  <si>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</si>
  <si>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</si>
  <si>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</si>
  <si>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</si>
  <si>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</si>
  <si>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</si>
  <si>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</si>
  <si>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</si>
  <si>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</si>
  <si>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</si>
  <si>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</si>
  <si>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</si>
  <si>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</si>
  <si>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</si>
  <si>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</si>
  <si>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</si>
  <si>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</si>
  <si>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</si>
  <si>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</si>
  <si>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</si>
  <si>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</si>
  <si>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</si>
  <si>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</si>
  <si>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</si>
  <si>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</si>
  <si>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</si>
  <si>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</si>
  <si>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</si>
  <si>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</si>
  <si>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</si>
  <si>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</si>
  <si>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</si>
  <si>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</si>
  <si>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</si>
  <si>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</si>
  <si>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</si>
  <si>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</si>
  <si>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</si>
  <si>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</si>
  <si>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</si>
  <si>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</si>
  <si>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</si>
  <si>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</si>
  <si>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</si>
  <si>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</si>
  <si>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</si>
  <si>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</si>
  <si>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</si>
  <si>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</si>
  <si>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</si>
  <si>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</si>
  <si>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</si>
  <si>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</si>
  <si>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</si>
  <si>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</si>
  <si>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</si>
  <si>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</si>
  <si>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</si>
  <si>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</si>
  <si>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</si>
  <si>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</si>
  <si>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</si>
  <si>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</si>
  <si>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</si>
  <si>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</si>
  <si>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</si>
  <si>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</si>
  <si>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</si>
  <si>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</si>
  <si>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</si>
  <si>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</si>
  <si>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</si>
  <si>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</si>
  <si>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</si>
  <si>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</si>
  <si>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</si>
  <si>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</si>
  <si>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</si>
  <si>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</si>
  <si>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</si>
  <si>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</si>
  <si>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</si>
  <si>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</si>
  <si>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</si>
  <si>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</si>
  <si>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</si>
  <si>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</si>
  <si>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</si>
  <si>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</si>
  <si>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</si>
  <si>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</si>
  <si>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</si>
  <si>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</si>
  <si>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</si>
  <si>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</si>
  <si>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</si>
  <si>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</si>
  <si>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</si>
  <si>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</si>
  <si>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</si>
  <si>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</si>
  <si>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</si>
  <si>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</si>
  <si>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</si>
  <si>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</si>
  <si>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</si>
  <si>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</si>
  <si>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</si>
  <si>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</si>
  <si>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</si>
  <si>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</si>
  <si>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</si>
  <si>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</si>
  <si>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</si>
  <si>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</si>
  <si>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</si>
  <si>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</si>
  <si>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</si>
  <si>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</si>
  <si>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</si>
  <si>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</si>
  <si>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</si>
  <si>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</si>
  <si>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</si>
  <si>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</si>
  <si>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</si>
  <si>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</si>
  <si>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</si>
  <si>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</si>
  <si>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</si>
  <si>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</si>
  <si>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</si>
  <si>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</si>
  <si>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</si>
  <si>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</si>
  <si>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</si>
  <si>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</si>
  <si>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</si>
  <si>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</si>
  <si>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</si>
  <si>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</si>
  <si>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</si>
  <si>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</si>
  <si>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</si>
  <si>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</si>
  <si>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</si>
  <si>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</si>
  <si>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</si>
  <si>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</si>
  <si>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</si>
  <si>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</si>
  <si>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</si>
  <si>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</si>
  <si>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</si>
  <si>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</si>
  <si>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</si>
  <si>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</si>
  <si>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</si>
  <si>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</si>
  <si>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</si>
  <si>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</si>
  <si>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</si>
  <si>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</si>
  <si>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</si>
  <si>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</si>
  <si>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</si>
  <si>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</si>
  <si>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</si>
  <si>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</si>
  <si>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</si>
  <si>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</si>
  <si>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</si>
  <si>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</si>
  <si>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</si>
  <si>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</si>
  <si>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</si>
  <si>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</si>
  <si>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</si>
  <si>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</si>
  <si>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</si>
  <si>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</si>
  <si>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</si>
  <si>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</si>
  <si>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</si>
  <si>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</si>
  <si>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</si>
  <si>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</si>
  <si>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</si>
  <si>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</si>
  <si>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</si>
  <si>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</si>
  <si>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</si>
  <si>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</si>
  <si>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</si>
  <si>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</si>
  <si>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</si>
  <si>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</si>
  <si>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</si>
  <si>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</si>
  <si>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</si>
  <si>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</si>
  <si>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</si>
  <si>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</si>
  <si>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</si>
  <si>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</si>
  <si>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</si>
  <si>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</si>
  <si>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</si>
  <si>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</si>
  <si>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</si>
  <si>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</si>
  <si>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</si>
  <si>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</si>
  <si>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</si>
  <si>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</si>
  <si>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</si>
  <si>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</si>
  <si>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</si>
  <si>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</si>
  <si>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</si>
  <si>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</si>
  <si>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</si>
  <si>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</si>
  <si>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</si>
  <si>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</si>
  <si>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</si>
  <si>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</si>
  <si>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</si>
  <si>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</si>
  <si>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</si>
  <si>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</si>
  <si>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</si>
  <si>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</si>
  <si>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</si>
  <si>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</si>
  <si>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</si>
  <si>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</si>
  <si>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</si>
  <si>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</si>
  <si>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</si>
  <si>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</si>
  <si>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</si>
  <si>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</si>
  <si>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</si>
  <si>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</si>
  <si>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</si>
  <si>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</si>
  <si>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</si>
  <si>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</si>
  <si>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</si>
  <si>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</si>
  <si>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</si>
  <si>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</si>
  <si>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</si>
  <si>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</si>
  <si>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</si>
  <si>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</si>
  <si>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</si>
  <si>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</si>
  <si>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</si>
  <si>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</si>
  <si>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</si>
  <si>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</si>
  <si>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</si>
  <si>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</si>
  <si>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</si>
  <si>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</si>
  <si>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</si>
  <si>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</si>
  <si>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</si>
  <si>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</si>
  <si>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</si>
  <si>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</si>
  <si>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</si>
  <si>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</si>
  <si>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</si>
  <si>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</si>
  <si>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</si>
  <si>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</si>
  <si>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</si>
  <si>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</si>
  <si>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</si>
  <si>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</si>
  <si>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</si>
  <si>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</si>
  <si>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</si>
  <si>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</si>
  <si>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</si>
  <si>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</si>
  <si>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</si>
  <si>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</si>
  <si>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</si>
  <si>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</si>
  <si>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</si>
  <si>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</si>
  <si>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</si>
  <si>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</si>
  <si>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</si>
  <si>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</si>
  <si>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</si>
  <si>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</si>
  <si>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</si>
  <si>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</si>
  <si>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</si>
  <si>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</si>
  <si>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</si>
  <si>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</si>
  <si>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</si>
  <si>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</si>
  <si>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</si>
  <si>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</si>
  <si>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</si>
  <si>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</si>
  <si>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</si>
  <si>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</si>
  <si>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</si>
  <si>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</si>
  <si>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</si>
  <si>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</si>
  <si>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</si>
  <si>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</si>
  <si>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</si>
  <si>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</si>
  <si>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</si>
  <si>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</si>
  <si>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</si>
  <si>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</si>
  <si>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</si>
  <si>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</si>
  <si>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</si>
  <si>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</si>
  <si>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</si>
  <si>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</si>
  <si>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</si>
  <si>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</si>
  <si>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</si>
  <si>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</si>
  <si>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</si>
  <si>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</si>
  <si>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</si>
  <si>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</si>
  <si>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</si>
  <si>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</si>
  <si>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</si>
  <si>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</si>
  <si>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</si>
  <si>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</si>
  <si>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</si>
  <si>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</si>
  <si>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</si>
  <si>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</si>
  <si>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</si>
  <si>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</si>
  <si>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</si>
  <si>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</si>
  <si>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</si>
  <si>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</si>
  <si>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</si>
  <si>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</si>
  <si>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</si>
  <si>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</si>
  <si>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</si>
  <si>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</si>
  <si>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</si>
  <si>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</si>
  <si>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</si>
  <si>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</si>
  <si>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</si>
  <si>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</si>
  <si>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</si>
  <si>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</si>
  <si>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</si>
  <si>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</si>
  <si>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</si>
  <si>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</si>
  <si>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</si>
  <si>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</si>
  <si>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</si>
  <si>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</si>
  <si>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</si>
  <si>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</si>
  <si>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</si>
  <si>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</si>
  <si>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</si>
  <si>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</si>
  <si>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</si>
  <si>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</si>
  <si>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</si>
  <si>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</si>
  <si>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</si>
  <si>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</si>
  <si>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</si>
  <si>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</si>
  <si>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</si>
  <si>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</si>
  <si>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</si>
  <si>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</si>
  <si>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</si>
  <si>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</si>
  <si>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</si>
  <si>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</si>
  <si>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</si>
  <si>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</si>
  <si>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</si>
  <si>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</si>
  <si>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</si>
  <si>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</si>
  <si>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</si>
  <si>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</si>
  <si>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</si>
  <si>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</si>
  <si>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</si>
  <si>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</si>
  <si>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</si>
  <si>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</si>
  <si>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</si>
  <si>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</si>
  <si>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</si>
  <si>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</si>
  <si>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</si>
  <si>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</si>
  <si>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</si>
  <si>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</si>
  <si>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</si>
  <si>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</si>
  <si>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</si>
  <si>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</si>
  <si>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</si>
  <si>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</si>
  <si>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</si>
  <si>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</si>
  <si>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</si>
  <si>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</si>
  <si>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</si>
  <si>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</si>
  <si>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</si>
  <si>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</si>
  <si>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</si>
  <si>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</si>
  <si>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</si>
  <si>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</si>
  <si>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</si>
  <si>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</si>
  <si>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</si>
  <si>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</si>
  <si>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</si>
  <si>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</si>
  <si>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</si>
  <si>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</si>
  <si>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</si>
  <si>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</si>
  <si>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</si>
  <si>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</si>
  <si>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</si>
  <si>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</si>
  <si>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</si>
  <si>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</si>
  <si>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</si>
  <si>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</si>
  <si>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</si>
  <si>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</si>
  <si>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</si>
  <si>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</si>
  <si>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</si>
  <si>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</si>
  <si>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</si>
  <si>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</si>
  <si>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</si>
  <si>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</si>
  <si>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</si>
  <si>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</si>
  <si>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</si>
  <si>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</si>
  <si>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</si>
  <si>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</si>
  <si>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</si>
  <si>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</si>
  <si>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</si>
  <si>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</si>
  <si>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</si>
  <si>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</si>
  <si>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</si>
  <si>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</si>
  <si>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</si>
  <si>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</si>
  <si>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</si>
  <si>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</si>
  <si>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</si>
  <si>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</si>
  <si>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</si>
  <si>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</si>
  <si>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</si>
  <si>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</si>
  <si>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</si>
  <si>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</si>
  <si>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</si>
  <si>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</si>
  <si>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</si>
  <si>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</si>
  <si>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</si>
  <si>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</si>
  <si>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</si>
  <si>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</si>
  <si>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</si>
  <si>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</si>
  <si>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</si>
  <si>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</si>
  <si>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</si>
  <si>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</si>
  <si>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</si>
  <si>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</si>
  <si>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</si>
  <si>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</si>
  <si>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</si>
  <si>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</si>
  <si>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</si>
  <si>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</si>
  <si>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</si>
  <si>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</si>
  <si>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</si>
  <si>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</si>
  <si>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</si>
  <si>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</si>
  <si>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</si>
  <si>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</si>
  <si>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</si>
  <si>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</si>
  <si>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</si>
  <si>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</si>
  <si>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</si>
  <si>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</si>
  <si>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</si>
  <si>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</si>
  <si>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</si>
  <si>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</si>
  <si>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</si>
  <si>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</si>
  <si>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</si>
  <si>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</si>
  <si>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</si>
  <si>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</si>
  <si>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</si>
  <si>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</si>
  <si>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</si>
  <si>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</si>
  <si>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</si>
  <si>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</si>
  <si>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</si>
  <si>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</si>
  <si>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</si>
  <si>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</si>
  <si>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</si>
  <si>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</si>
  <si>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</si>
  <si>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</si>
  <si>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</si>
  <si>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</si>
  <si>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</si>
  <si>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</si>
  <si>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</si>
  <si>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</si>
  <si>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</si>
  <si>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</si>
  <si>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</si>
  <si>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</si>
  <si>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</si>
  <si>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</si>
  <si>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</si>
  <si>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</si>
  <si>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</si>
  <si>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</si>
  <si>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</si>
  <si>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</si>
  <si>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</si>
  <si>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</si>
  <si>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</si>
  <si>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</si>
  <si>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</si>
  <si>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</si>
  <si>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</si>
  <si>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</si>
  <si>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</si>
  <si>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</si>
  <si>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</si>
  <si>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</si>
  <si>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</si>
  <si>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</si>
  <si>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</si>
  <si>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</si>
  <si>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</si>
  <si>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</si>
  <si>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</si>
  <si>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</si>
  <si>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</si>
  <si>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</si>
  <si>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</si>
  <si>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</si>
  <si>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</si>
  <si>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</si>
  <si>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</si>
  <si>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</si>
  <si>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</si>
  <si>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</si>
  <si>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</si>
  <si>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</si>
  <si>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</si>
  <si>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</si>
  <si>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</si>
  <si>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</si>
  <si>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</si>
  <si>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</si>
  <si>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</si>
  <si>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</si>
  <si>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</si>
  <si>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</si>
  <si>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</si>
  <si>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</si>
  <si>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</si>
  <si>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</si>
  <si>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</si>
  <si>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</si>
  <si>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</si>
  <si>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</si>
  <si>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</si>
  <si>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</si>
  <si>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</si>
  <si>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</si>
  <si>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</si>
  <si>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</si>
  <si>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</si>
  <si>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</si>
  <si>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</si>
  <si>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</si>
  <si>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</si>
  <si>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</si>
  <si>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</si>
  <si>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</si>
  <si>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</si>
  <si>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</si>
  <si>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</si>
  <si>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</si>
  <si>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</si>
  <si>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</si>
  <si>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</si>
  <si>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</si>
  <si>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</si>
  <si>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</si>
  <si>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</si>
  <si>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</si>
  <si>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</si>
  <si>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</si>
  <si>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</si>
  <si>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</si>
  <si>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</si>
  <si>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</si>
  <si>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</si>
  <si>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</si>
  <si>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</si>
  <si>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</si>
  <si>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</si>
  <si>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</si>
  <si>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</si>
  <si>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</si>
  <si>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</si>
  <si>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</si>
  <si>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</si>
  <si>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</si>
  <si>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</si>
  <si>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</si>
  <si>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</si>
  <si>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</si>
  <si>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</si>
  <si>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</si>
  <si>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</si>
  <si>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</si>
  <si>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</si>
  <si>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</si>
  <si>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</si>
  <si>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</si>
  <si>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</si>
  <si>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</si>
  <si>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</si>
  <si>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</si>
  <si>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</si>
  <si>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</si>
  <si>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</si>
  <si>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</si>
  <si>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</si>
  <si>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</si>
  <si>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</si>
  <si>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</si>
  <si>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</si>
  <si>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</si>
  <si>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</si>
  <si>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</si>
  <si>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</si>
  <si>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</si>
  <si>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</si>
  <si>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</si>
  <si>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</si>
  <si>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</si>
  <si>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</si>
  <si>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</si>
  <si>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</si>
  <si>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</si>
  <si>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</si>
  <si>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</si>
  <si>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</si>
  <si>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</si>
  <si>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</si>
  <si>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</si>
  <si>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</si>
  <si>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</si>
  <si>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</si>
  <si>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</si>
  <si>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</si>
  <si>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</si>
  <si>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</si>
  <si>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</si>
  <si>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</si>
  <si>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</si>
  <si>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</si>
  <si>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</si>
  <si>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</si>
  <si>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</si>
  <si>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</si>
  <si>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</si>
  <si>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</si>
  <si>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</si>
  <si>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</si>
  <si>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</si>
  <si>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</si>
  <si>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</si>
  <si>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</si>
  <si>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</si>
  <si>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</si>
  <si>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</si>
  <si>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</si>
  <si>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</si>
  <si>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</si>
  <si>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</si>
  <si>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</si>
  <si>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</si>
  <si>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</si>
  <si>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</si>
  <si>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</si>
  <si>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</si>
  <si>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</si>
  <si>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</si>
  <si>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</si>
  <si>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</si>
  <si>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</si>
  <si>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</si>
  <si>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</si>
  <si>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</si>
  <si>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</si>
  <si>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</si>
  <si>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</si>
  <si>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</si>
  <si>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</si>
  <si>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</si>
  <si>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</si>
  <si>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</si>
  <si>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</si>
  <si>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</si>
  <si>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</si>
  <si>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</si>
  <si>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</si>
  <si>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</si>
  <si>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</si>
  <si>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</si>
  <si>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</si>
  <si>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</si>
  <si>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</si>
  <si>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</si>
  <si>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</si>
  <si>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</si>
  <si>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</si>
  <si>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</si>
  <si>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</si>
  <si>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</si>
  <si>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</si>
  <si>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</si>
  <si>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</si>
  <si>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</si>
  <si>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</si>
  <si>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</si>
  <si>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</si>
  <si>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</si>
  <si>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</si>
  <si>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</si>
  <si>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</si>
  <si>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</si>
  <si>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</si>
  <si>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</si>
  <si>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</si>
  <si>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</si>
  <si>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</si>
  <si>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</si>
  <si>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</si>
  <si>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</si>
  <si>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</si>
  <si>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</si>
  <si>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</si>
  <si>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</si>
  <si>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</si>
  <si>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</si>
  <si>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</si>
  <si>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</si>
  <si>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</si>
  <si>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</si>
  <si>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</si>
  <si>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</si>
  <si>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</si>
  <si>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</si>
  <si>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</si>
  <si>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</si>
  <si>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</si>
  <si>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</si>
  <si>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</si>
  <si>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</si>
  <si>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</si>
  <si>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</si>
  <si>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</si>
  <si>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</si>
  <si>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</si>
  <si>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</si>
  <si>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</si>
  <si>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</si>
  <si>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</si>
  <si>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</si>
  <si>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</si>
  <si>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</si>
  <si>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</si>
  <si>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</si>
  <si>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</si>
  <si>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</si>
  <si>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</si>
  <si>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</si>
  <si>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</si>
  <si>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</si>
  <si>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</si>
  <si>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</si>
  <si>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</si>
  <si>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</si>
  <si>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</si>
  <si>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</si>
  <si>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</si>
  <si>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</si>
  <si>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</si>
  <si>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</si>
  <si>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</si>
  <si>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</si>
  <si>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</si>
  <si>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</si>
  <si>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</si>
  <si>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</si>
  <si>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</si>
  <si>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</si>
  <si>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</si>
  <si>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</si>
  <si>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</si>
  <si>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</si>
  <si>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</si>
  <si>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</si>
  <si>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</si>
  <si>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</si>
  <si>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NHDEC Water Grant</t>
  </si>
  <si>
    <t>17-19</t>
  </si>
  <si>
    <t>No Special Education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</si>
</sst>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0" fillId="0" borderId="0" xfId="0" applyNumberFormat="1" applyAlignment="1" applyProtection="1">
      <alignment wrapText="1"/>
      <protection locked="0"/>
    </xf>
    <xf numFmtId="40"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565" zoomScaleNormal="100" workbookViewId="0">
      <selection activeCell="H599" sqref="H599"/>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983</v>
      </c>
      <c r="B2">
        <f>INDEX('School Tables'!$AH$3:$AH$213,MATCH('DOE25'!A2,'School Tables'!$AJ$3:$AJ$213,0))</f>
        <v>115</v>
      </c>
      <c r="C2">
        <f>INDEX('School Tables'!$AI$3:$AI$213,MATCH('DOE25'!A2,'School Tables'!$AJ$3:$AJ$213,0))</f>
        <v>115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480353.5</v>
      </c>
      <c r="G9" s="18"/>
      <c r="H9" s="18"/>
      <c r="I9" s="18"/>
      <c r="J9" s="13">
        <f>SUM(I440)</f>
        <v>467777.95</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f>10576.08+115.2</f>
        <v>10691.28</v>
      </c>
      <c r="H12" s="18">
        <f>2096.9+5207.56-0.01+2054.8-0.15+117266.27-6060.92-0.22+0.33-1568.16+3815+464.25+29.35-23073.34-44364.2</f>
        <v>55867.460000000021</v>
      </c>
      <c r="I12" s="18"/>
      <c r="J12" s="13">
        <f>SUM(I442)</f>
        <v>19000.03</v>
      </c>
      <c r="K12" s="23" t="s">
        <v>288</v>
      </c>
      <c r="L12" s="23" t="s">
        <v>288</v>
      </c>
      <c r="M12" s="8"/>
      <c r="N12" s="164"/>
    </row>
    <row r="13" spans="1:14" s="3" customFormat="1" ht="12.2" customHeight="1" x14ac:dyDescent="0.15">
      <c r="A13" s="1" t="s">
        <v>604</v>
      </c>
      <c r="B13" s="2" t="s">
        <v>289</v>
      </c>
      <c r="C13" s="6">
        <v>5</v>
      </c>
      <c r="D13" s="2" t="s">
        <v>428</v>
      </c>
      <c r="E13" s="6">
        <v>140</v>
      </c>
      <c r="F13" s="18">
        <f>2500+3857.78+90781.68</f>
        <v>97139.459999999992</v>
      </c>
      <c r="G13" s="18">
        <v>6389.03</v>
      </c>
      <c r="H13" s="18">
        <f>3902.18+560+6314.72+4000+22206.05</f>
        <v>36982.949999999997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2224.27</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579717.23</v>
      </c>
      <c r="G19" s="38">
        <f>SUM(G9:G18)</f>
        <v>17080.310000000001</v>
      </c>
      <c r="H19" s="38">
        <f>SUM(H9:H18)</f>
        <v>92850.410000000018</v>
      </c>
      <c r="I19" s="38">
        <f>SUM(I9:I18)</f>
        <v>0</v>
      </c>
      <c r="J19" s="38">
        <f>SUM(J9:J18)</f>
        <v>486777.98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129807.77-44364.2+115.2</f>
        <v>85558.77</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97139.46</v>
      </c>
      <c r="K23" s="23" t="s">
        <v>288</v>
      </c>
      <c r="L23" s="23" t="s">
        <v>288</v>
      </c>
      <c r="M23" s="8"/>
      <c r="N23" s="164"/>
    </row>
    <row r="24" spans="1:14" s="3" customFormat="1" ht="12.2" customHeight="1" x14ac:dyDescent="0.15">
      <c r="A24" s="1" t="s">
        <v>570</v>
      </c>
      <c r="B24" s="2" t="s">
        <v>289</v>
      </c>
      <c r="C24" s="6">
        <v>14</v>
      </c>
      <c r="D24" s="2" t="s">
        <v>429</v>
      </c>
      <c r="E24" s="6">
        <v>420</v>
      </c>
      <c r="F24" s="18">
        <v>284312.65999999997</v>
      </c>
      <c r="G24" s="18">
        <v>9911.74</v>
      </c>
      <c r="H24" s="18">
        <f>6000+500+2431.84</f>
        <v>8931.84</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1706.06+15101.6+1594.81+3575.92+1259.78+64.8</f>
        <v>23302.969999999998</v>
      </c>
      <c r="G29" s="18"/>
      <c r="H29" s="18">
        <f>6.36+137.43+3.54+105.84</f>
        <v>253.17000000000002</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5838</v>
      </c>
      <c r="H30" s="18">
        <f>4708.36+2615.22</f>
        <v>7323.58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393174.39999999997</v>
      </c>
      <c r="G32" s="38">
        <f>SUM(G22:G31)</f>
        <v>15749.74</v>
      </c>
      <c r="H32" s="38">
        <f>SUM(H22:H31)</f>
        <v>16508.59</v>
      </c>
      <c r="I32" s="38">
        <f>SUM(I22:I31)</f>
        <v>0</v>
      </c>
      <c r="J32" s="38">
        <f>SUM(J22:J31)</f>
        <v>97139.46</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G19-G32</f>
        <v>1330.5700000000015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f>5000</f>
        <v>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f>H19-H32</f>
        <v>76341.820000000022</v>
      </c>
      <c r="I48" s="18"/>
      <c r="J48" s="13">
        <f>SUM(I460)</f>
        <v>389638.52</v>
      </c>
      <c r="K48" s="23" t="s">
        <v>288</v>
      </c>
      <c r="L48" s="23" t="s">
        <v>288</v>
      </c>
      <c r="M48" s="8"/>
      <c r="N48" s="164"/>
    </row>
    <row r="49" spans="1:14" s="3" customFormat="1" ht="12.2" customHeight="1" x14ac:dyDescent="0.15">
      <c r="A49" s="1" t="s">
        <v>855</v>
      </c>
      <c r="B49" s="2" t="s">
        <v>289</v>
      </c>
      <c r="C49" s="6">
        <v>34</v>
      </c>
      <c r="D49" s="2"/>
      <c r="E49" s="6">
        <v>753</v>
      </c>
      <c r="F49" s="18">
        <f>20334.77</f>
        <v>20334.77</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F19-F32-20334.77-5000</f>
        <v>161208.06000000003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186542.83000000002</v>
      </c>
      <c r="G51" s="38">
        <f>SUM(G35:G50)</f>
        <v>1330.5700000000015</v>
      </c>
      <c r="H51" s="38">
        <f>SUM(H35:H50)</f>
        <v>76341.820000000022</v>
      </c>
      <c r="I51" s="38">
        <f>SUM(I35:I50)</f>
        <v>0</v>
      </c>
      <c r="J51" s="38">
        <f>SUM(J35:J50)</f>
        <v>389638.52</v>
      </c>
      <c r="K51" s="42" t="s">
        <v>288</v>
      </c>
      <c r="L51" s="42" t="s">
        <v>288</v>
      </c>
      <c r="N51" s="130"/>
    </row>
    <row r="52" spans="1:14" s="3" customFormat="1" ht="12.2" customHeight="1" thickTop="1" x14ac:dyDescent="0.15">
      <c r="A52" s="35" t="s">
        <v>455</v>
      </c>
      <c r="B52" s="36" t="s">
        <v>289</v>
      </c>
      <c r="C52" s="6">
        <v>37</v>
      </c>
      <c r="D52" s="36" t="s">
        <v>653</v>
      </c>
      <c r="E52" s="36"/>
      <c r="F52" s="38">
        <f>F51+F32</f>
        <v>579717.23</v>
      </c>
      <c r="G52" s="38">
        <f>G51+G32</f>
        <v>17080.310000000001</v>
      </c>
      <c r="H52" s="38">
        <f>H51+H32</f>
        <v>92850.410000000018</v>
      </c>
      <c r="I52" s="38">
        <f>I51+I32</f>
        <v>0</v>
      </c>
      <c r="J52" s="38">
        <f>J51+J32</f>
        <v>486777.98000000004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3438303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3438303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3000.29</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3000.29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229.78+2587.83+15.34</f>
        <v>2832.9500000000003</v>
      </c>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f>48159.67+34095.84</f>
        <v>82255.509999999995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f>72929</f>
        <v>72929</v>
      </c>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1638.03</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85269.9</v>
      </c>
      <c r="G110" s="18">
        <f>630+551</f>
        <v>1181</v>
      </c>
      <c r="H110" s="18">
        <v>0</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162669.88</v>
      </c>
      <c r="G111" s="38">
        <f>SUM(G96:G110)</f>
        <v>83436.509999999995</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3603973.17</v>
      </c>
      <c r="G112" s="38">
        <f>G60+G111</f>
        <v>83436.509999999995</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797979.7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342942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1241.4100000000001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1142163.1099999999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619.61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619.61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1142163.1099999999</v>
      </c>
      <c r="G140" s="38">
        <f>G121+SUM(G136:G137)</f>
        <v>619.61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f>97809+6804.36</f>
        <v>104613.36</v>
      </c>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104613.36</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11546.39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19900.7+12268.52+1320.93</f>
        <v>33490.15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11598.96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60379.79+428.28</f>
        <v>60808.07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20796.810000000001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23206.05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165259.32+17289.77</f>
        <v>182549.09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20796.810000000001</v>
      </c>
      <c r="G163" s="38">
        <f>SUM(G150:G162)</f>
        <v>11598.96</v>
      </c>
      <c r="H163" s="38">
        <f>SUM(H150:H162)</f>
        <v>311599.75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125410.17</v>
      </c>
      <c r="G170" s="38">
        <f>G147+G163+SUM(G164:G169)</f>
        <v>11598.96</v>
      </c>
      <c r="H170" s="38">
        <f>H147+H163+SUM(H164:H169)</f>
        <v>311599.75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16651.31+115.2</f>
        <v>16766.510000000002</v>
      </c>
      <c r="H180" s="18"/>
      <c r="I180" s="18"/>
      <c r="J180" s="18">
        <v>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16766.510000000002</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f>2500+3857.78+90781.68</f>
        <v>97139.459999999992</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97139.459999999992</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97139.459999999992</v>
      </c>
      <c r="G193" s="38">
        <f>G184+SUM(G189:G192)</f>
        <v>16766.510000000002</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4968685.9099999992</v>
      </c>
      <c r="G194" s="38">
        <f>G112+G140+G170+G193</f>
        <v>112421.59</v>
      </c>
      <c r="H194" s="38">
        <f>H112+H140+H170+H193</f>
        <v>311599.75</v>
      </c>
      <c r="I194" s="38">
        <f>I112+I140+I170+I193</f>
        <v>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756915.1+98331.48-946.64+15559.94-1052</f>
        <v>868807.87999999989</v>
      </c>
      <c r="G198" s="18">
        <f>179394.08+36725.06+2030.7+63320.82+150475.93+4450.35+1052+127218.04</f>
        <v>564666.98</v>
      </c>
      <c r="H198" s="18">
        <f>11660+3596.27</f>
        <v>15256.27</v>
      </c>
      <c r="I198" s="18">
        <f>14050.51+4152+16476.65+8295.5+3540.62+8108.6+4.3-2253.48</f>
        <v>52374.700000000004</v>
      </c>
      <c r="J198" s="18">
        <f>4908.14</f>
        <v>4908.1400000000003</v>
      </c>
      <c r="K198" s="18">
        <f>7781.12+3857.78</f>
        <v>11638.9</v>
      </c>
      <c r="L198" s="13">
        <f>SUM(F198:K198)</f>
        <v>1517652.8699999996</v>
      </c>
      <c r="M198" s="8"/>
      <c r="N198" s="164"/>
    </row>
    <row r="199" spans="1:14" s="3" customFormat="1" ht="12.2" customHeight="1" x14ac:dyDescent="0.15">
      <c r="A199" s="1" t="s">
        <v>439</v>
      </c>
      <c r="B199" s="2" t="s">
        <v>341</v>
      </c>
      <c r="C199" s="2" t="s">
        <v>291</v>
      </c>
      <c r="D199" s="2" t="s">
        <v>431</v>
      </c>
      <c r="E199" s="6">
        <v>1200</v>
      </c>
      <c r="F199" s="18">
        <f>35934.54+161370.48+45435.68+941.95</f>
        <v>243682.65000000002</v>
      </c>
      <c r="G199" s="18">
        <f>48166.59+1853.54+562.1+22094.56+41026.76+5104.22</f>
        <v>118807.76999999999</v>
      </c>
      <c r="H199" s="18">
        <f>55684.32+8075+24987.5+37000+94000+1545.78+1722.76+30439.8+176.88</f>
        <v>253632.04</v>
      </c>
      <c r="I199" s="18">
        <f>1619.48</f>
        <v>1619.48</v>
      </c>
      <c r="J199" s="18">
        <f>106.16</f>
        <v>106.16</v>
      </c>
      <c r="K199" s="18">
        <f>199.45+68292</f>
        <v>68491.45</v>
      </c>
      <c r="L199" s="13">
        <f>SUM(F199:K199)</f>
        <v>686339.55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5000+1600+2200</f>
        <v>8800</v>
      </c>
      <c r="G201" s="18">
        <f>371.96+859.8+4.23</f>
        <v>1235.99</v>
      </c>
      <c r="H201" s="18">
        <f>1715+750</f>
        <v>2465</v>
      </c>
      <c r="I201" s="18">
        <f>1355.3</f>
        <v>1355.3</v>
      </c>
      <c r="J201" s="18"/>
      <c r="K201" s="18">
        <v>350</v>
      </c>
      <c r="L201" s="13">
        <f>SUM(F201:K201)</f>
        <v>14206.289999999999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61669+63969</f>
        <v>125638</v>
      </c>
      <c r="G203" s="18">
        <f>18181.74+1145.4+135.51+4461.39+12111.7+26718.13+1673.83+140.52+4591.67+12563.54+639.76</f>
        <v>82363.190000000017</v>
      </c>
      <c r="H203" s="18">
        <f>5000+83072.32+5759.2+3219.61</f>
        <v>97051.13</v>
      </c>
      <c r="I203" s="18">
        <f>469.99+480+9185+1117.14</f>
        <v>11252.13</v>
      </c>
      <c r="J203" s="18">
        <f>180+3098.76+10331.25+199.99+255.84</f>
        <v>14065.84</v>
      </c>
      <c r="K203" s="18">
        <f>340+150</f>
        <v>490</v>
      </c>
      <c r="L203" s="13">
        <f t="shared" ref="L203:L209" si="0">SUM(F203:K203)</f>
        <v>330860.29000000004</v>
      </c>
      <c r="M203" s="8"/>
      <c r="N203" s="164"/>
    </row>
    <row r="204" spans="1:14" s="3" customFormat="1" ht="12.2" customHeight="1" x14ac:dyDescent="0.15">
      <c r="A204" s="1" t="s">
        <v>443</v>
      </c>
      <c r="B204" s="2" t="s">
        <v>341</v>
      </c>
      <c r="C204" s="2" t="s">
        <v>295</v>
      </c>
      <c r="D204" s="2" t="s">
        <v>431</v>
      </c>
      <c r="E204" s="6">
        <v>2200</v>
      </c>
      <c r="F204" s="18">
        <f>2615.25+44186.45</f>
        <v>46801.7</v>
      </c>
      <c r="G204" s="18">
        <f>220.96+465.54+4540.28+409.15+112.92+3293+5505</f>
        <v>14546.849999999999</v>
      </c>
      <c r="H204" s="18">
        <f>14567+369+4799+3560.6+15339.21</f>
        <v>38634.81</v>
      </c>
      <c r="I204" s="18">
        <f>362.83+299.9+299.5+1588.99+4572.39</f>
        <v>7123.6100000000006</v>
      </c>
      <c r="J204" s="18"/>
      <c r="K204" s="18"/>
      <c r="L204" s="13">
        <f t="shared" si="0"/>
        <v>107106.96999999999</v>
      </c>
      <c r="M204" s="8"/>
      <c r="N204" s="164"/>
    </row>
    <row r="205" spans="1:14" s="3" customFormat="1" ht="12.2" customHeight="1" x14ac:dyDescent="0.15">
      <c r="A205" s="1" t="s">
        <v>444</v>
      </c>
      <c r="B205" s="2" t="s">
        <v>341</v>
      </c>
      <c r="C205" s="2" t="s">
        <v>296</v>
      </c>
      <c r="D205" s="2" t="s">
        <v>431</v>
      </c>
      <c r="E205" s="6">
        <v>2300</v>
      </c>
      <c r="F205" s="18">
        <f>207+53745</f>
        <v>53952</v>
      </c>
      <c r="G205" s="18">
        <f>7283.54+430.92+3996.36+7271.68+1560</f>
        <v>20542.5</v>
      </c>
      <c r="H205" s="18">
        <f>3817+911.2+1183.75+10265+18918.9+1277.95+232311.54+6000+156.6+191.69</f>
        <v>275033.63</v>
      </c>
      <c r="I205" s="18">
        <f>1392.16+980.77+2600.85</f>
        <v>4973.7800000000007</v>
      </c>
      <c r="J205" s="18"/>
      <c r="K205" s="18">
        <f>3161.06+1759.09+2193.1</f>
        <v>7113.25</v>
      </c>
      <c r="L205" s="13">
        <f t="shared" si="0"/>
        <v>361615.16000000003</v>
      </c>
      <c r="M205" s="8"/>
      <c r="N205" s="164"/>
    </row>
    <row r="206" spans="1:14" s="3" customFormat="1" ht="12.2" customHeight="1" x14ac:dyDescent="0.15">
      <c r="A206" s="1" t="s">
        <v>445</v>
      </c>
      <c r="B206" s="2" t="s">
        <v>341</v>
      </c>
      <c r="C206" s="2" t="s">
        <v>297</v>
      </c>
      <c r="D206" s="2" t="s">
        <v>431</v>
      </c>
      <c r="E206" s="6">
        <v>2400</v>
      </c>
      <c r="F206" s="18">
        <f>99500+53298.96</f>
        <v>152798.96</v>
      </c>
      <c r="G206" s="18">
        <f>22590.73+1630.93+297.98+11189.28+25093.45+152101.86+165.58+137.88+206.25+4350+13698.42+221.49-70.34+942.07+3865</f>
        <v>236420.58</v>
      </c>
      <c r="H206" s="18">
        <f>1492.17+253.35+944.58+873.65</f>
        <v>3563.75</v>
      </c>
      <c r="I206" s="18">
        <f>747.92+155.42</f>
        <v>903.33999999999992</v>
      </c>
      <c r="J206" s="18">
        <f>34.99</f>
        <v>34.99</v>
      </c>
      <c r="K206" s="18">
        <f>1567.1+284.72</f>
        <v>1851.82</v>
      </c>
      <c r="L206" s="13">
        <f t="shared" si="0"/>
        <v>395573.44</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47794.32+789.82</f>
        <v>48584.14</v>
      </c>
      <c r="G208" s="18">
        <f>234.02+3716.57+6466.54</f>
        <v>10417.130000000001</v>
      </c>
      <c r="H208" s="18">
        <f>15550.52+1113+81064+6625+5000+32104.16+7497</f>
        <v>148953.68</v>
      </c>
      <c r="I208" s="18">
        <f>10566.36+32000+1268.29+8790.2+25274.75+112.46</f>
        <v>78012.060000000012</v>
      </c>
      <c r="J208" s="18">
        <f>1229.4</f>
        <v>1229.4000000000001</v>
      </c>
      <c r="K208" s="18">
        <f>1134.91</f>
        <v>1134.9100000000001</v>
      </c>
      <c r="L208" s="13">
        <f t="shared" si="0"/>
        <v>288331.32</v>
      </c>
      <c r="M208" s="8"/>
      <c r="N208" s="164"/>
    </row>
    <row r="209" spans="1:14" s="3" customFormat="1" ht="12.2" customHeight="1" x14ac:dyDescent="0.15">
      <c r="A209" s="1" t="s">
        <v>448</v>
      </c>
      <c r="B209" s="2" t="s">
        <v>341</v>
      </c>
      <c r="C209" s="2" t="s">
        <v>300</v>
      </c>
      <c r="D209" s="2" t="s">
        <v>431</v>
      </c>
      <c r="E209" s="6">
        <v>2700</v>
      </c>
      <c r="F209" s="18"/>
      <c r="G209" s="18"/>
      <c r="H209" s="18">
        <f>7742.77+205.15+4560+176532.54+1284.73</f>
        <v>190325.19000000003</v>
      </c>
      <c r="I209" s="18"/>
      <c r="J209" s="18"/>
      <c r="K209" s="18"/>
      <c r="L209" s="13">
        <f t="shared" si="0"/>
        <v>190325.19000000003</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1549065.3299999996</v>
      </c>
      <c r="G212" s="38">
        <f t="shared" si="1"/>
        <v>1049000.99</v>
      </c>
      <c r="H212" s="38">
        <f t="shared" si="1"/>
        <v>1024915.5000000001</v>
      </c>
      <c r="I212" s="38">
        <f t="shared" si="1"/>
        <v>157614.40000000002</v>
      </c>
      <c r="J212" s="38">
        <f t="shared" si="1"/>
        <v>20344.530000000002</v>
      </c>
      <c r="K212" s="38">
        <f t="shared" si="1"/>
        <v>91070.33</v>
      </c>
      <c r="L212" s="38">
        <f t="shared" si="1"/>
        <v>3892011.08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544585+222115</f>
        <v>766700</v>
      </c>
      <c r="I234" s="18"/>
      <c r="J234" s="18"/>
      <c r="K234" s="18"/>
      <c r="L234" s="13">
        <f>SUM(F234:K234)</f>
        <v>766700</v>
      </c>
      <c r="M234" s="8"/>
      <c r="N234" s="164"/>
    </row>
    <row r="235" spans="1:14" s="3" customFormat="1" ht="12.2" customHeight="1" x14ac:dyDescent="0.15">
      <c r="A235" s="1" t="s">
        <v>439</v>
      </c>
      <c r="B235" s="2" t="s">
        <v>350</v>
      </c>
      <c r="C235" s="2" t="s">
        <v>291</v>
      </c>
      <c r="D235" s="2" t="s">
        <v>431</v>
      </c>
      <c r="E235" s="6">
        <v>1200</v>
      </c>
      <c r="F235" s="18">
        <f>154.65</f>
        <v>154.65</v>
      </c>
      <c r="G235" s="18">
        <f>11.83+6385.12</f>
        <v>6396.95</v>
      </c>
      <c r="H235" s="18">
        <f>15187.8+14440+14394.24+14394.24</f>
        <v>58416.28</v>
      </c>
      <c r="I235" s="18"/>
      <c r="J235" s="18"/>
      <c r="K235" s="18"/>
      <c r="L235" s="13">
        <f>SUM(F235:K235)</f>
        <v>64967.88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154.65</v>
      </c>
      <c r="G248" s="38">
        <f t="shared" si="5"/>
        <v>6396.95</v>
      </c>
      <c r="H248" s="38">
        <f t="shared" si="5"/>
        <v>825116.28</v>
      </c>
      <c r="I248" s="38">
        <f t="shared" si="5"/>
        <v>0</v>
      </c>
      <c r="J248" s="38">
        <f t="shared" si="5"/>
        <v>0</v>
      </c>
      <c r="K248" s="38">
        <f t="shared" si="5"/>
        <v>0</v>
      </c>
      <c r="L248" s="38">
        <f t="shared" si="5"/>
        <v>831667.88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24269.85+97809+19100+19745.45+5940.53</f>
        <v>166864.83000000002</v>
      </c>
      <c r="I256" s="18"/>
      <c r="J256" s="18"/>
      <c r="K256" s="18"/>
      <c r="L256" s="13">
        <f t="shared" si="6"/>
        <v>166864.83000000002</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166864.83000000002</v>
      </c>
      <c r="I257" s="38">
        <f t="shared" si="7"/>
        <v>0</v>
      </c>
      <c r="J257" s="38">
        <f t="shared" si="7"/>
        <v>0</v>
      </c>
      <c r="K257" s="38">
        <f t="shared" si="7"/>
        <v>0</v>
      </c>
      <c r="L257" s="38">
        <f>SUM(F257:K257)</f>
        <v>166864.83000000002</v>
      </c>
      <c r="M257" s="8"/>
      <c r="N257" s="164"/>
    </row>
    <row r="258" spans="1:14" s="3" customFormat="1" ht="12.2" customHeight="1" thickTop="1" x14ac:dyDescent="0.15">
      <c r="A258" s="35" t="s">
        <v>462</v>
      </c>
      <c r="B258" s="37">
        <v>10</v>
      </c>
      <c r="C258" s="37">
        <v>8</v>
      </c>
      <c r="D258" s="36" t="s">
        <v>431</v>
      </c>
      <c r="E258" s="37"/>
      <c r="F258" s="38">
        <f t="shared" ref="F258:L258" si="8">F212+F230+F248+F257</f>
        <v>1549219.9799999995</v>
      </c>
      <c r="G258" s="38">
        <f t="shared" si="8"/>
        <v>1055397.94</v>
      </c>
      <c r="H258" s="38">
        <f t="shared" si="8"/>
        <v>2016896.6100000003</v>
      </c>
      <c r="I258" s="38">
        <f t="shared" si="8"/>
        <v>157614.40000000002</v>
      </c>
      <c r="J258" s="38">
        <f t="shared" si="8"/>
        <v>20344.530000000002</v>
      </c>
      <c r="K258" s="38">
        <f t="shared" si="8"/>
        <v>91070.33</v>
      </c>
      <c r="L258" s="38">
        <f t="shared" si="8"/>
        <v>4890543.79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16651.31+115.2</f>
        <v>16766.510000000002</v>
      </c>
      <c r="L264" s="13">
        <f>SUM(F264:K264)</f>
        <v>16766.510000000002</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16766.510000000002</v>
      </c>
      <c r="L271" s="38">
        <f t="shared" si="9"/>
        <v>16766.510000000002</v>
      </c>
      <c r="M271" s="8"/>
      <c r="N271" s="164"/>
    </row>
    <row r="272" spans="1:14" s="33" customFormat="1" ht="12.2" customHeight="1" thickTop="1" x14ac:dyDescent="0.2">
      <c r="A272" s="40" t="s">
        <v>464</v>
      </c>
      <c r="B272" s="37">
        <v>10</v>
      </c>
      <c r="C272" s="37">
        <v>18</v>
      </c>
      <c r="D272" s="36" t="s">
        <v>431</v>
      </c>
      <c r="E272" s="37"/>
      <c r="F272" s="39">
        <f t="shared" ref="F272:L272" si="11">F258+F271</f>
        <v>1549219.9799999995</v>
      </c>
      <c r="G272" s="39">
        <f t="shared" si="11"/>
        <v>1055397.94</v>
      </c>
      <c r="H272" s="39">
        <f t="shared" si="11"/>
        <v>2016896.6100000003</v>
      </c>
      <c r="I272" s="39">
        <f t="shared" si="11"/>
        <v>157614.40000000002</v>
      </c>
      <c r="J272" s="39">
        <f t="shared" si="11"/>
        <v>20344.530000000002</v>
      </c>
      <c r="K272" s="39">
        <f t="shared" si="11"/>
        <v>107836.84</v>
      </c>
      <c r="L272" s="39">
        <f t="shared" si="11"/>
        <v>4907310.3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8423.33+1052</f>
        <v>9475.33</v>
      </c>
      <c r="G277" s="18">
        <v>0</v>
      </c>
      <c r="H277" s="18">
        <f>525</f>
        <v>525</v>
      </c>
      <c r="I277" s="18">
        <f>320+1226.06+300+29.49+108.88+7980.42+4939+2650-115.91</f>
        <v>17437.939999999999</v>
      </c>
      <c r="J277" s="18"/>
      <c r="K277" s="18"/>
      <c r="L277" s="13">
        <f>SUM(F277:K277)</f>
        <v>27438.269999999997</v>
      </c>
      <c r="M277" s="8"/>
      <c r="N277" s="164"/>
    </row>
    <row r="278" spans="1:14" s="3" customFormat="1" ht="12.2" customHeight="1" x14ac:dyDescent="0.15">
      <c r="A278" s="1" t="s">
        <v>439</v>
      </c>
      <c r="B278" s="2" t="s">
        <v>357</v>
      </c>
      <c r="C278" s="2" t="s">
        <v>291</v>
      </c>
      <c r="D278" s="2" t="s">
        <v>431</v>
      </c>
      <c r="E278" s="6">
        <v>1200</v>
      </c>
      <c r="F278" s="18">
        <f>35934.46+18273.64</f>
        <v>54208.1</v>
      </c>
      <c r="G278" s="18"/>
      <c r="H278" s="18">
        <f>428.5</f>
        <v>428.5</v>
      </c>
      <c r="I278" s="18">
        <f>5743.2</f>
        <v>5743.2</v>
      </c>
      <c r="J278" s="18">
        <f>428.5</f>
        <v>428.5</v>
      </c>
      <c r="K278" s="18"/>
      <c r="L278" s="13">
        <f>SUM(F278:K278)</f>
        <v>60808.299999999996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12268.52+12499.6</f>
        <v>24768.120000000003</v>
      </c>
      <c r="I282" s="18">
        <f>3440</f>
        <v>3440</v>
      </c>
      <c r="J282" s="18"/>
      <c r="K282" s="18"/>
      <c r="L282" s="13">
        <f t="shared" ref="L282:L288" si="12">SUM(F282:K282)</f>
        <v>28208.120000000003</v>
      </c>
      <c r="M282" s="8"/>
      <c r="N282" s="164"/>
    </row>
    <row r="283" spans="1:14" s="3" customFormat="1" ht="12.2" customHeight="1" x14ac:dyDescent="0.15">
      <c r="A283" s="1" t="s">
        <v>443</v>
      </c>
      <c r="B283" s="2" t="s">
        <v>357</v>
      </c>
      <c r="C283" s="2" t="s">
        <v>295</v>
      </c>
      <c r="D283" s="2" t="s">
        <v>431</v>
      </c>
      <c r="E283" s="6">
        <v>2200</v>
      </c>
      <c r="F283" s="18">
        <f>2500</f>
        <v>2500</v>
      </c>
      <c r="G283" s="18"/>
      <c r="H283" s="18">
        <f>6319.6+10203.46+991.44+2250+26470.4</f>
        <v>46234.899999999994</v>
      </c>
      <c r="I283" s="18">
        <f>497+380.64</f>
        <v>877.64</v>
      </c>
      <c r="J283" s="18"/>
      <c r="K283" s="18"/>
      <c r="L283" s="13">
        <f t="shared" si="12"/>
        <v>49612.539999999994</v>
      </c>
      <c r="M283" s="8"/>
      <c r="N283" s="164"/>
    </row>
    <row r="284" spans="1:14" s="3" customFormat="1" ht="12.2" customHeight="1" x14ac:dyDescent="0.15">
      <c r="A284" s="1" t="s">
        <v>444</v>
      </c>
      <c r="B284" s="2" t="s">
        <v>357</v>
      </c>
      <c r="C284" s="2" t="s">
        <v>296</v>
      </c>
      <c r="D284" s="2" t="s">
        <v>431</v>
      </c>
      <c r="E284" s="6">
        <v>2300</v>
      </c>
      <c r="F284" s="18"/>
      <c r="G284" s="18"/>
      <c r="H284" s="18">
        <f>9000</f>
        <v>9000</v>
      </c>
      <c r="I284" s="18"/>
      <c r="J284" s="18"/>
      <c r="K284" s="18"/>
      <c r="L284" s="13">
        <f t="shared" si="12"/>
        <v>9000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6950.47-4853.98</f>
        <v>2096.4900000000007</v>
      </c>
      <c r="I287" s="18"/>
      <c r="J287" s="18"/>
      <c r="K287" s="18"/>
      <c r="L287" s="13">
        <f t="shared" si="12"/>
        <v>2096.4900000000007</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66183.429999999993</v>
      </c>
      <c r="G291" s="39">
        <f t="shared" si="13"/>
        <v>0</v>
      </c>
      <c r="H291" s="39">
        <f t="shared" si="13"/>
        <v>83053.009999999995</v>
      </c>
      <c r="I291" s="39">
        <f t="shared" si="13"/>
        <v>27498.78</v>
      </c>
      <c r="J291" s="39">
        <f t="shared" si="13"/>
        <v>428.5</v>
      </c>
      <c r="K291" s="39">
        <f t="shared" si="13"/>
        <v>0</v>
      </c>
      <c r="L291" s="38">
        <f t="shared" si="13"/>
        <v>177163.71999999997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f>105664.4+5449.9</f>
        <v>111114.29999999999</v>
      </c>
      <c r="I337" s="18">
        <v>23206.05</v>
      </c>
      <c r="J337" s="18"/>
      <c r="K337" s="18"/>
      <c r="L337" s="13">
        <f t="shared" si="18"/>
        <v>134320.34999999998</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111114.29999999999</v>
      </c>
      <c r="I338" s="38">
        <f t="shared" si="19"/>
        <v>23206.05</v>
      </c>
      <c r="J338" s="38">
        <f t="shared" si="19"/>
        <v>0</v>
      </c>
      <c r="K338" s="38">
        <f t="shared" si="19"/>
        <v>0</v>
      </c>
      <c r="L338" s="38">
        <f t="shared" si="18"/>
        <v>134320.34999999998</v>
      </c>
      <c r="M338" s="8"/>
      <c r="N338" s="164"/>
    </row>
    <row r="339" spans="1:43" s="3" customFormat="1" ht="12.2" customHeight="1" thickTop="1" x14ac:dyDescent="0.15">
      <c r="A339" s="35" t="s">
        <v>468</v>
      </c>
      <c r="B339" s="37">
        <v>14</v>
      </c>
      <c r="C339" s="37">
        <v>7</v>
      </c>
      <c r="D339" s="36" t="s">
        <v>431</v>
      </c>
      <c r="E339" s="37"/>
      <c r="F339" s="38">
        <f t="shared" ref="F339:L339" si="20">F291+F310+F329+F338</f>
        <v>66183.429999999993</v>
      </c>
      <c r="G339" s="38">
        <f t="shared" si="20"/>
        <v>0</v>
      </c>
      <c r="H339" s="38">
        <f t="shared" si="20"/>
        <v>194167.31</v>
      </c>
      <c r="I339" s="38">
        <f t="shared" si="20"/>
        <v>50704.83</v>
      </c>
      <c r="J339" s="38">
        <f t="shared" si="20"/>
        <v>428.5</v>
      </c>
      <c r="K339" s="38">
        <f t="shared" si="20"/>
        <v>0</v>
      </c>
      <c r="L339" s="38">
        <f t="shared" si="20"/>
        <v>311484.06999999995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66183.429999999993</v>
      </c>
      <c r="G353" s="38">
        <f>G339</f>
        <v>0</v>
      </c>
      <c r="H353" s="38">
        <f>H339</f>
        <v>194167.31</v>
      </c>
      <c r="I353" s="38">
        <f>I339</f>
        <v>50704.83</v>
      </c>
      <c r="J353" s="38">
        <f>J339</f>
        <v>428.5</v>
      </c>
      <c r="K353" s="38">
        <f>K339+K352</f>
        <v>0</v>
      </c>
      <c r="L353" s="38">
        <f>L339+L352</f>
        <v>311484.06999999995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2500</v>
      </c>
      <c r="G359" s="18">
        <v>191.25</v>
      </c>
      <c r="H359" s="18">
        <f>109389+86.15+1431</f>
        <v>110906.15</v>
      </c>
      <c r="I359" s="18"/>
      <c r="J359" s="18">
        <f>139.99</f>
        <v>139.99</v>
      </c>
      <c r="K359" s="18"/>
      <c r="L359" s="13">
        <f>SUM(F359:K359)</f>
        <v>113737.39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2500</v>
      </c>
      <c r="G363" s="38">
        <f t="shared" si="22"/>
        <v>191.25</v>
      </c>
      <c r="H363" s="38">
        <f t="shared" si="22"/>
        <v>110906.15</v>
      </c>
      <c r="I363" s="38">
        <f t="shared" si="22"/>
        <v>0</v>
      </c>
      <c r="J363" s="38">
        <f t="shared" si="22"/>
        <v>139.99</v>
      </c>
      <c r="K363" s="38">
        <f t="shared" si="22"/>
        <v>0</v>
      </c>
      <c r="L363" s="38">
        <f t="shared" si="22"/>
        <v>113737.39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0</v>
      </c>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v>90781.68</v>
      </c>
      <c r="L424" s="13">
        <f t="shared" si="29"/>
        <v>90781.68</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0</v>
      </c>
      <c r="I427" s="18"/>
      <c r="J427" s="18"/>
      <c r="K427" s="18">
        <f>2500+3857.78</f>
        <v>6357.7800000000007</v>
      </c>
      <c r="L427" s="13">
        <f t="shared" si="29"/>
        <v>6357.7800000000007</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97139.459999999992</v>
      </c>
      <c r="L428" s="38">
        <f t="shared" si="30"/>
        <v>97139.459999999992</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97139.459999999992</v>
      </c>
      <c r="L435" s="38">
        <f t="shared" si="32"/>
        <v>97139.459999999992</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326285.52</v>
      </c>
      <c r="G440" s="18">
        <f>141492.43</f>
        <v>141492.43</v>
      </c>
      <c r="H440" s="18"/>
      <c r="I440" s="13">
        <f t="shared" ref="I440:I446" si="33">SUM(F440:H440)</f>
        <v>467777.95</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19000.03</v>
      </c>
      <c r="G442" s="18"/>
      <c r="H442" s="18"/>
      <c r="I442" s="13">
        <f t="shared" si="33"/>
        <v>19000.03</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t="s">
        <v>286</v>
      </c>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345285.55000000005</v>
      </c>
      <c r="G447" s="13">
        <f>SUM(G440:G446)</f>
        <v>141492.43</v>
      </c>
      <c r="H447" s="13">
        <f>SUM(H440:H446)</f>
        <v>0</v>
      </c>
      <c r="I447" s="13">
        <f>SUM(I440:I446)</f>
        <v>486777.98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97139.46</v>
      </c>
      <c r="H450" s="18"/>
      <c r="I450" s="13">
        <f>SUM(F450:H450)</f>
        <v>97139.46</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97139.46</v>
      </c>
      <c r="H453" s="57">
        <f>SUM(H449:H452)</f>
        <v>0</v>
      </c>
      <c r="I453" s="57">
        <f>SUM(I449:I452)</f>
        <v>97139.46</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F447-F453</f>
        <v>345285.55000000005</v>
      </c>
      <c r="G460" s="18">
        <f>G447-G453</f>
        <v>44352.969999999987</v>
      </c>
      <c r="H460" s="18"/>
      <c r="I460" s="13">
        <f t="shared" si="34"/>
        <v>389638.52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345285.55000000005</v>
      </c>
      <c r="G461" s="65">
        <f>SUM(G455:G460)</f>
        <v>44352.969999999987</v>
      </c>
      <c r="H461" s="65">
        <f>SUM(H455:H460)</f>
        <v>0</v>
      </c>
      <c r="I461" s="65">
        <f>SUM(I455:I460)</f>
        <v>389638.52</v>
      </c>
      <c r="J461" s="23" t="s">
        <v>288</v>
      </c>
      <c r="K461" s="23" t="s">
        <v>288</v>
      </c>
      <c r="L461" s="23" t="s">
        <v>288</v>
      </c>
      <c r="N461" s="130"/>
    </row>
    <row r="462" spans="1:86" ht="12.2" customHeight="1" thickTop="1" x14ac:dyDescent="0.2">
      <c r="A462" s="40" t="s">
        <v>424</v>
      </c>
      <c r="B462" s="41">
        <v>18</v>
      </c>
      <c r="C462" s="64">
        <v>21</v>
      </c>
      <c r="D462" s="114" t="s">
        <v>432</v>
      </c>
      <c r="E462" s="64"/>
      <c r="F462" s="39">
        <f>F453+F461</f>
        <v>345285.55000000005</v>
      </c>
      <c r="G462" s="39">
        <f>G453+G461</f>
        <v>141492.43</v>
      </c>
      <c r="H462" s="39">
        <f>H453+H461</f>
        <v>0</v>
      </c>
      <c r="I462" s="39">
        <f>I453+I461</f>
        <v>486777.98000000004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125167.22</v>
      </c>
      <c r="G466" s="18">
        <v>2646.37</v>
      </c>
      <c r="H466" s="18">
        <v>76226.14</v>
      </c>
      <c r="I466" s="18"/>
      <c r="J466" s="18">
        <v>486777.98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4968685.9099999992</v>
      </c>
      <c r="G469" s="18">
        <f>G194</f>
        <v>112421.59</v>
      </c>
      <c r="H469" s="18">
        <f>H194</f>
        <v>311599.75</v>
      </c>
      <c r="I469" s="18"/>
      <c r="J469" s="18">
        <f>J194</f>
        <v>0</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4968685.9099999992</v>
      </c>
      <c r="G471" s="19">
        <f>SUM(G469:G470)</f>
        <v>112421.59</v>
      </c>
      <c r="H471" s="19">
        <f>SUM(H469:H470)</f>
        <v>311599.75</v>
      </c>
      <c r="I471" s="19">
        <f>SUM(I469:I470)</f>
        <v>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4907310.3</v>
      </c>
      <c r="G473" s="18">
        <f>L363</f>
        <v>113737.39</v>
      </c>
      <c r="H473" s="18">
        <f>L353</f>
        <v>311484.06999999995</v>
      </c>
      <c r="I473" s="18"/>
      <c r="J473" s="18">
        <f>L435</f>
        <v>97139.459999999992</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4907310.3</v>
      </c>
      <c r="G475" s="19">
        <f>SUM(G473:G474)</f>
        <v>113737.39</v>
      </c>
      <c r="H475" s="19">
        <f>SUM(H473:H474)</f>
        <v>311484.06999999995</v>
      </c>
      <c r="I475" s="19">
        <f>SUM(I473:I474)</f>
        <v>0</v>
      </c>
      <c r="J475" s="19">
        <f>SUM(J473:J474)</f>
        <v>97139.459999999992</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186542.82999999914</v>
      </c>
      <c r="G477" s="19">
        <f>(G466+G471)- G475</f>
        <v>1330.5699999999924</v>
      </c>
      <c r="H477" s="19">
        <f>(H466+H471)- H475</f>
        <v>76341.820000000065</v>
      </c>
      <c r="I477" s="19">
        <f>(I466+I471)- I475</f>
        <v>0</v>
      </c>
      <c r="J477" s="19">
        <f>(J466+J471)- J475</f>
        <v>389638.52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35934.54+161370.48+45435.68+941.95+35934.46+18273.64</f>
        <v>297890.75000000006</v>
      </c>
      <c r="G522" s="18">
        <f>48166.59+1853.54+562.1+22094.56+41026.76+5104.22</f>
        <v>118807.76999999999</v>
      </c>
      <c r="H522" s="18">
        <f>55684.32+1545.78+30439.8+176.88+428.5</f>
        <v>88275.28</v>
      </c>
      <c r="I522" s="18">
        <f>1619.48+5743.2</f>
        <v>7362.68</v>
      </c>
      <c r="J522" s="18">
        <f>106.16+428.5</f>
        <v>534.66</v>
      </c>
      <c r="K522" s="18">
        <f>199.45+68292</f>
        <v>68491.45</v>
      </c>
      <c r="L522" s="69">
        <f>SUM(F522:K522)</f>
        <v>581362.59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154.65</v>
      </c>
      <c r="G524" s="18">
        <f>11.83+6385.12</f>
        <v>6396.95</v>
      </c>
      <c r="H524" s="18">
        <f>15187.8+14440+14394.24+14394.24</f>
        <v>58416.28</v>
      </c>
      <c r="I524" s="18"/>
      <c r="J524" s="18"/>
      <c r="K524" s="18"/>
      <c r="L524" s="69">
        <f>SUM(F524:K524)</f>
        <v>64967.88</v>
      </c>
      <c r="N524" s="130"/>
    </row>
    <row r="525" spans="1:14" ht="12.2" customHeight="1" thickTop="1" x14ac:dyDescent="0.2">
      <c r="A525" s="97" t="s">
        <v>63</v>
      </c>
      <c r="B525" s="41">
        <v>21</v>
      </c>
      <c r="C525" s="41">
        <v>4</v>
      </c>
      <c r="D525" s="115" t="s">
        <v>432</v>
      </c>
      <c r="E525" s="41"/>
      <c r="F525" s="81">
        <f>SUM(F522:F524)</f>
        <v>298045.40000000008</v>
      </c>
      <c r="G525" s="81">
        <f t="shared" ref="G525:L525" si="36">SUM(G522:G524)</f>
        <v>125204.71999999999</v>
      </c>
      <c r="H525" s="81">
        <f t="shared" si="36"/>
        <v>146691.56</v>
      </c>
      <c r="I525" s="81">
        <f t="shared" si="36"/>
        <v>7362.68</v>
      </c>
      <c r="J525" s="81">
        <f t="shared" si="36"/>
        <v>534.66</v>
      </c>
      <c r="K525" s="81">
        <f t="shared" si="36"/>
        <v>68491.45</v>
      </c>
      <c r="L525" s="70">
        <f t="shared" si="36"/>
        <v>646330.47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8075+24987.5+37000+94000</f>
        <v>164062.5</v>
      </c>
      <c r="I527" s="18"/>
      <c r="J527" s="18"/>
      <c r="K527" s="18"/>
      <c r="L527" s="69">
        <f>SUM(F527:K527)</f>
        <v>164062.5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164062.5</v>
      </c>
      <c r="I530" s="70">
        <f t="shared" si="37"/>
        <v>0</v>
      </c>
      <c r="J530" s="70">
        <f t="shared" si="37"/>
        <v>0</v>
      </c>
      <c r="K530" s="70">
        <f t="shared" si="37"/>
        <v>0</v>
      </c>
      <c r="L530" s="70">
        <f t="shared" si="37"/>
        <v>164062.5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1722.76</v>
      </c>
      <c r="I537" s="18"/>
      <c r="J537" s="18"/>
      <c r="K537" s="18"/>
      <c r="L537" s="69">
        <f>SUM(F537:K537)</f>
        <v>1722.76</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1722.76</v>
      </c>
      <c r="I540" s="70">
        <f t="shared" si="39"/>
        <v>0</v>
      </c>
      <c r="J540" s="70">
        <f t="shared" si="39"/>
        <v>0</v>
      </c>
      <c r="K540" s="70">
        <f t="shared" si="39"/>
        <v>0</v>
      </c>
      <c r="L540" s="70">
        <f t="shared" si="39"/>
        <v>1722.76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298045.40000000008</v>
      </c>
      <c r="G546" s="70">
        <f t="shared" ref="G546:L546" si="41">G525+G530+G535+G540+G545</f>
        <v>125204.71999999999</v>
      </c>
      <c r="H546" s="70">
        <f t="shared" si="41"/>
        <v>312476.82</v>
      </c>
      <c r="I546" s="70">
        <f t="shared" si="41"/>
        <v>7362.68</v>
      </c>
      <c r="J546" s="70">
        <f t="shared" si="41"/>
        <v>534.66</v>
      </c>
      <c r="K546" s="70">
        <f t="shared" si="41"/>
        <v>68491.45</v>
      </c>
      <c r="L546" s="70">
        <f t="shared" si="41"/>
        <v>812115.73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581362.59</v>
      </c>
      <c r="G550" s="69">
        <f>L527</f>
        <v>164062.5</v>
      </c>
      <c r="H550" s="69">
        <f>L532</f>
        <v>0</v>
      </c>
      <c r="I550" s="69">
        <f>L537</f>
        <v>1722.76</v>
      </c>
      <c r="J550" s="69">
        <f>L542</f>
        <v>0</v>
      </c>
      <c r="K550" s="69">
        <f>SUM(F550:J550)</f>
        <v>747147.85</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64967.88</v>
      </c>
      <c r="G552" s="69">
        <f>L529</f>
        <v>0</v>
      </c>
      <c r="H552" s="69">
        <f>L534</f>
        <v>0</v>
      </c>
      <c r="I552" s="69">
        <f>L539</f>
        <v>0</v>
      </c>
      <c r="J552" s="69">
        <f>L544</f>
        <v>0</v>
      </c>
      <c r="K552" s="69">
        <f>SUM(F552:J552)</f>
        <v>64967.88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646330.47</v>
      </c>
      <c r="G553" s="70">
        <f t="shared" si="42"/>
        <v>164062.5</v>
      </c>
      <c r="H553" s="70">
        <f t="shared" si="42"/>
        <v>0</v>
      </c>
      <c r="I553" s="70">
        <f t="shared" si="42"/>
        <v>1722.76</v>
      </c>
      <c r="J553" s="70">
        <f t="shared" si="42"/>
        <v>0</v>
      </c>
      <c r="K553" s="70">
        <f t="shared" si="42"/>
        <v>812115.73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544585</v>
      </c>
      <c r="I576" s="69">
        <f>SUM(F576:H576)</f>
        <v>544585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222115</v>
      </c>
      <c r="I577" s="69">
        <f t="shared" ref="I577:I588" si="47">SUM(F577:H577)</f>
        <v>222115</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30439.8</v>
      </c>
      <c r="G580" s="18"/>
      <c r="H580" s="18"/>
      <c r="I580" s="69">
        <f t="shared" si="47"/>
        <v>30439.8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f>14440</f>
        <v>14440</v>
      </c>
      <c r="I583" s="69">
        <f t="shared" si="47"/>
        <v>14440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f>14394.24+14392.24</f>
        <v>28786.48</v>
      </c>
      <c r="I584" s="69">
        <f t="shared" si="47"/>
        <v>28786.48</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30439.8</v>
      </c>
      <c r="G589" s="79">
        <f t="shared" ref="G589:I589" si="48">SUM(G576:G588)</f>
        <v>0</v>
      </c>
      <c r="H589" s="79">
        <f t="shared" si="48"/>
        <v>809926.48</v>
      </c>
      <c r="I589" s="79">
        <f t="shared" si="48"/>
        <v>840366.28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176532.54+1284.73</f>
        <v>177817.27000000002</v>
      </c>
      <c r="I592" s="18"/>
      <c r="J592" s="18"/>
      <c r="K592" s="80">
        <f t="shared" ref="K592:K598" si="49">SUM(H592:J592)</f>
        <v>177817.27000000002</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7742.77</v>
      </c>
      <c r="I595" s="18"/>
      <c r="J595" s="18"/>
      <c r="K595" s="80">
        <f t="shared" si="49"/>
        <v>7742.77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205.15</v>
      </c>
      <c r="I596" s="18"/>
      <c r="J596" s="18"/>
      <c r="K596" s="80">
        <f t="shared" si="49"/>
        <v>205.15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4560</v>
      </c>
      <c r="I598" s="18"/>
      <c r="J598" s="18"/>
      <c r="K598" s="80">
        <f t="shared" si="49"/>
        <v>4560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190325.19</v>
      </c>
      <c r="I599" s="81">
        <f>SUM(I592:I598)</f>
        <v>0</v>
      </c>
      <c r="J599" s="81">
        <f>SUM(J592:J598)</f>
        <v>0</v>
      </c>
      <c r="K599" s="81">
        <f>SUM(K592:K598)</f>
        <v>190325.19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20773.030000000002</v>
      </c>
      <c r="I605" s="18"/>
      <c r="J605" s="18"/>
      <c r="K605" s="80">
        <f>SUM(H605:J605)</f>
        <v>20773.030000000002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20773.030000000002</v>
      </c>
      <c r="I606" s="81">
        <f>SUM(I603:I605)</f>
        <v>0</v>
      </c>
      <c r="J606" s="81">
        <f>SUM(J603:J605)</f>
        <v>0</v>
      </c>
      <c r="K606" s="81">
        <f>SUM(K603:K605)</f>
        <v>20773.030000000002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579717.23</v>
      </c>
      <c r="H618" s="80">
        <f>SUM(F52)</f>
        <v>579717.23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17080.310000000001</v>
      </c>
      <c r="H619" s="80">
        <f>SUM(G52)</f>
        <v>17080.310000000001</v>
      </c>
      <c r="I619" s="87" t="s">
        <v>872</v>
      </c>
      <c r="J619" s="80">
        <f>G619-H619</f>
        <v>0</v>
      </c>
      <c r="K619" s="80"/>
      <c r="L619" s="80"/>
      <c r="M619" s="8"/>
    </row>
    <row r="620" spans="1:14" s="3" customFormat="1" ht="12.2" customHeight="1" x14ac:dyDescent="0.15">
      <c r="A620" s="74"/>
      <c r="B620" s="22"/>
      <c r="C620" s="22"/>
      <c r="D620" s="22"/>
      <c r="E620" s="22"/>
      <c r="F620" s="87" t="s">
        <v>685</v>
      </c>
      <c r="G620" s="80">
        <f>SUM(H19)</f>
        <v>92850.410000000018</v>
      </c>
      <c r="H620" s="80">
        <f>SUM(H52)</f>
        <v>92850.410000000018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486777.98</v>
      </c>
      <c r="H622" s="80">
        <f>SUM(J52)</f>
        <v>486777.98000000004</v>
      </c>
      <c r="I622" s="87" t="s">
        <v>875</v>
      </c>
      <c r="J622" s="80">
        <f>G622-H622</f>
        <v>0</v>
      </c>
      <c r="K622" s="80"/>
      <c r="L622" s="80"/>
      <c r="M622" s="8"/>
    </row>
    <row r="623" spans="1:14" s="3" customFormat="1" ht="12.2" customHeight="1" x14ac:dyDescent="0.15">
      <c r="A623" s="74"/>
      <c r="B623" s="22"/>
      <c r="C623" s="22"/>
      <c r="D623" s="22"/>
      <c r="E623" s="22"/>
      <c r="F623" s="87" t="s">
        <v>861</v>
      </c>
      <c r="G623" s="80">
        <f>F51</f>
        <v>186542.83000000002</v>
      </c>
      <c r="H623" s="80">
        <f>F477</f>
        <v>186542.82999999914</v>
      </c>
      <c r="I623" s="87" t="s">
        <v>101</v>
      </c>
      <c r="J623" s="80">
        <f t="shared" ref="J623:J656" si="51">G623-H623</f>
        <v>8.7311491370201111E-10</v>
      </c>
      <c r="K623" s="80"/>
      <c r="L623" s="80"/>
      <c r="M623" s="8"/>
    </row>
    <row r="624" spans="1:14" s="3" customFormat="1" ht="12.2" customHeight="1" x14ac:dyDescent="0.15">
      <c r="A624" s="74"/>
      <c r="B624" s="22"/>
      <c r="C624" s="85"/>
      <c r="D624" s="85"/>
      <c r="E624" s="85"/>
      <c r="F624" s="85" t="s">
        <v>862</v>
      </c>
      <c r="G624" s="80">
        <f>G51</f>
        <v>1330.5700000000015</v>
      </c>
      <c r="H624" s="80">
        <f>G477</f>
        <v>1330.5699999999924</v>
      </c>
      <c r="I624" s="87" t="s">
        <v>102</v>
      </c>
      <c r="J624" s="80">
        <f t="shared" si="51"/>
        <v>9.0949470177292824E-12</v>
      </c>
      <c r="K624" s="80"/>
      <c r="L624" s="80"/>
      <c r="M624" s="8"/>
    </row>
    <row r="625" spans="1:13" s="3" customFormat="1" ht="12.2" customHeight="1" x14ac:dyDescent="0.15">
      <c r="A625" s="74"/>
      <c r="B625" s="22"/>
      <c r="C625" s="22"/>
      <c r="D625" s="22"/>
      <c r="E625" s="22"/>
      <c r="F625" s="86" t="s">
        <v>863</v>
      </c>
      <c r="G625" s="80">
        <f>H51</f>
        <v>76341.820000000022</v>
      </c>
      <c r="H625" s="80">
        <f>H477</f>
        <v>76341.820000000065</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389638.52</v>
      </c>
      <c r="H627" s="80">
        <f>J477</f>
        <v>389638.52</v>
      </c>
      <c r="I627" s="87" t="s">
        <v>105</v>
      </c>
      <c r="J627" s="80">
        <f t="shared" si="51"/>
        <v>0</v>
      </c>
      <c r="K627" s="67"/>
      <c r="L627" s="69"/>
      <c r="M627" s="8"/>
    </row>
    <row r="628" spans="1:13" s="3" customFormat="1" ht="12.2" customHeight="1" x14ac:dyDescent="0.15">
      <c r="A628" s="21"/>
      <c r="B628" s="22"/>
      <c r="C628" s="22"/>
      <c r="D628" s="22"/>
      <c r="E628" s="22"/>
      <c r="F628" s="86" t="s">
        <v>658</v>
      </c>
      <c r="G628" s="80">
        <f>F194</f>
        <v>4968685.9099999992</v>
      </c>
      <c r="H628" s="80">
        <f>SUM(F469)</f>
        <v>4968685.9099999992</v>
      </c>
      <c r="I628" s="87" t="s">
        <v>106</v>
      </c>
      <c r="J628" s="80">
        <f>G628-H628</f>
        <v>0</v>
      </c>
      <c r="K628" s="67"/>
      <c r="L628" s="69"/>
      <c r="M628" s="8"/>
    </row>
    <row r="629" spans="1:13" s="3" customFormat="1" ht="12.2" customHeight="1" x14ac:dyDescent="0.15">
      <c r="A629" s="21"/>
      <c r="B629" s="22"/>
      <c r="C629" s="22"/>
      <c r="D629" s="22"/>
      <c r="E629" s="22"/>
      <c r="F629" s="86" t="s">
        <v>659</v>
      </c>
      <c r="G629" s="80">
        <f>G194</f>
        <v>112421.59</v>
      </c>
      <c r="H629" s="80">
        <f>SUM(G469)</f>
        <v>112421.59</v>
      </c>
      <c r="I629" s="87" t="s">
        <v>107</v>
      </c>
      <c r="J629" s="80">
        <f>G629-H629</f>
        <v>0</v>
      </c>
      <c r="K629" s="67"/>
      <c r="L629" s="69"/>
      <c r="M629" s="8"/>
    </row>
    <row r="630" spans="1:13" s="3" customFormat="1" ht="12.2" customHeight="1" x14ac:dyDescent="0.15">
      <c r="A630" s="21"/>
      <c r="B630" s="22"/>
      <c r="C630" s="22"/>
      <c r="D630" s="22"/>
      <c r="E630" s="22"/>
      <c r="F630" s="86" t="s">
        <v>660</v>
      </c>
      <c r="G630" s="80">
        <f>H194</f>
        <v>311599.75</v>
      </c>
      <c r="H630" s="80">
        <f>SUM(H469)</f>
        <v>311599.75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4907310.3</v>
      </c>
      <c r="H633" s="80">
        <f>SUM(F473)</f>
        <v>4907310.3</v>
      </c>
      <c r="I633" s="87" t="s">
        <v>111</v>
      </c>
      <c r="J633" s="80">
        <f t="shared" si="51"/>
        <v>0</v>
      </c>
      <c r="K633" s="67"/>
      <c r="L633" s="69"/>
      <c r="M633" s="8"/>
    </row>
    <row r="634" spans="1:13" s="3" customFormat="1" ht="12.2" customHeight="1" x14ac:dyDescent="0.15">
      <c r="A634" s="21"/>
      <c r="B634" s="22"/>
      <c r="C634" s="22"/>
      <c r="D634" s="22"/>
      <c r="E634" s="22"/>
      <c r="F634" s="86" t="s">
        <v>395</v>
      </c>
      <c r="G634" s="80">
        <f>SUM(L353)</f>
        <v>311484.06999999995</v>
      </c>
      <c r="H634" s="80">
        <f>SUM(H473)</f>
        <v>311484.06999999995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113737.39</v>
      </c>
      <c r="H636" s="80">
        <f>SUM(G473)</f>
        <v>113737.39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97139.459999999992</v>
      </c>
      <c r="H639" s="108">
        <f>SUM(J473)</f>
        <v>97139.459999999992</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345285.55000000005</v>
      </c>
      <c r="H640" s="80">
        <f>SUM(F462)</f>
        <v>345285.55000000005</v>
      </c>
      <c r="I640" s="87" t="s">
        <v>837</v>
      </c>
      <c r="J640" s="80">
        <f t="shared" si="51"/>
        <v>0</v>
      </c>
      <c r="K640" s="67"/>
      <c r="L640" s="69"/>
      <c r="M640" s="8"/>
    </row>
    <row r="641" spans="1:13" s="3" customFormat="1" ht="12.2" customHeight="1" x14ac:dyDescent="0.15">
      <c r="A641" s="21"/>
      <c r="B641" s="22"/>
      <c r="C641" s="22"/>
      <c r="D641" s="22"/>
      <c r="E641" s="22"/>
      <c r="F641" s="86" t="s">
        <v>119</v>
      </c>
      <c r="G641" s="80">
        <f>SUM(G447)</f>
        <v>141492.43</v>
      </c>
      <c r="H641" s="80">
        <f>SUM(G462)</f>
        <v>141492.43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486777.98</v>
      </c>
      <c r="H643" s="80">
        <f>SUM(I462)</f>
        <v>486777.98000000004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190325.19</v>
      </c>
      <c r="H648" s="80">
        <f>L209+L227+L245</f>
        <v>190325.19000000003</v>
      </c>
      <c r="I648" s="87" t="s">
        <v>396</v>
      </c>
      <c r="J648" s="80">
        <f t="shared" si="51"/>
        <v>0</v>
      </c>
      <c r="K648" s="67"/>
      <c r="L648" s="69"/>
      <c r="M648" s="8"/>
    </row>
    <row r="649" spans="1:13" s="3" customFormat="1" ht="12.2" customHeight="1" x14ac:dyDescent="0.15">
      <c r="A649" s="21"/>
      <c r="B649" s="22"/>
      <c r="C649" s="22"/>
      <c r="D649" s="22"/>
      <c r="E649" s="22"/>
      <c r="F649" s="86" t="s">
        <v>52</v>
      </c>
      <c r="G649" s="80">
        <f>K606</f>
        <v>20773.030000000002</v>
      </c>
      <c r="H649" s="80">
        <f>(J258+J339)-(J256+J337)</f>
        <v>20773.030000000002</v>
      </c>
      <c r="I649" s="87" t="s">
        <v>699</v>
      </c>
      <c r="J649" s="80">
        <f t="shared" si="51"/>
        <v>0</v>
      </c>
      <c r="K649" s="67"/>
      <c r="L649" s="69"/>
      <c r="M649" s="8"/>
    </row>
    <row r="650" spans="1:13" s="3" customFormat="1" ht="12.2" customHeight="1" x14ac:dyDescent="0.15">
      <c r="A650" s="21"/>
      <c r="B650" s="22"/>
      <c r="C650" s="22"/>
      <c r="D650" s="22"/>
      <c r="E650" s="22"/>
      <c r="F650" s="86" t="s">
        <v>387</v>
      </c>
      <c r="G650" s="80">
        <f>L209</f>
        <v>190325.19000000003</v>
      </c>
      <c r="H650" s="80">
        <f>H599</f>
        <v>190325.19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16766.510000000002</v>
      </c>
      <c r="H653" s="80">
        <f>K264+K346</f>
        <v>16766.510000000002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4182912.19</v>
      </c>
      <c r="G661" s="13">
        <f>(L230+L310+L360)</f>
        <v>0</v>
      </c>
      <c r="H661" s="13">
        <f>(L248+L329+L361)</f>
        <v>831667.88</v>
      </c>
      <c r="I661" s="13">
        <f>SUM(F661:H661)</f>
        <v>5014580.07</v>
      </c>
      <c r="J661" s="13"/>
      <c r="K661" s="13"/>
      <c r="L661" s="13"/>
      <c r="M661" s="9"/>
    </row>
    <row r="662" spans="1:13" s="3" customFormat="1" ht="12.2" customHeight="1" x14ac:dyDescent="0.2">
      <c r="A662" s="1" t="s">
        <v>127</v>
      </c>
      <c r="F662" s="13">
        <f>(L359/IF(SUM(L359:L361)=0,1,SUM(L359:L361))*(SUM(G97:G110)))</f>
        <v>83436.509999999995</v>
      </c>
      <c r="G662" s="13">
        <f>(L360/IF(SUM(L359:L361)=0,1,SUM(L359:L361))*(SUM(G97:G110)))</f>
        <v>0</v>
      </c>
      <c r="H662" s="13">
        <f>(L361/IF(SUM(L359:L361)=0,1,SUM(L359:L361))*(SUM(G97:G110)))</f>
        <v>0</v>
      </c>
      <c r="I662" s="13">
        <f>SUM(F662:H662)</f>
        <v>83436.509999999995</v>
      </c>
      <c r="J662"/>
      <c r="K662" s="13"/>
      <c r="L662" s="13"/>
      <c r="M662" s="8"/>
    </row>
    <row r="663" spans="1:13" s="3" customFormat="1" ht="12.2" customHeight="1" x14ac:dyDescent="0.2">
      <c r="A663" s="1" t="s">
        <v>128</v>
      </c>
      <c r="F663" s="13">
        <f>(L209+L288)-(J209+J288)</f>
        <v>190325.19000000003</v>
      </c>
      <c r="G663" s="13">
        <f>(L227+L307)-(J227+J307)</f>
        <v>0</v>
      </c>
      <c r="H663" s="13">
        <f>(L245+L326)-(J245+J326)</f>
        <v>0</v>
      </c>
      <c r="I663" s="13">
        <f>SUM(F663:H663)</f>
        <v>190325.19000000003</v>
      </c>
      <c r="J663"/>
      <c r="K663" s="13"/>
      <c r="L663" s="13"/>
      <c r="M663" s="9"/>
    </row>
    <row r="664" spans="1:13" s="3" customFormat="1" ht="12.2" customHeight="1" x14ac:dyDescent="0.15">
      <c r="A664" s="141" t="s">
        <v>129</v>
      </c>
      <c r="B664" s="124"/>
      <c r="C664" s="124"/>
      <c r="D664" s="124"/>
      <c r="E664" s="124"/>
      <c r="F664" s="142">
        <f>SUM(F576:F588)+SUM(H603:H605)+SUM(L612)</f>
        <v>51212.83</v>
      </c>
      <c r="G664" s="142">
        <f>SUM(G576:G588)+SUM(I603:I605)+L613</f>
        <v>0</v>
      </c>
      <c r="H664" s="142">
        <f>SUM(H576:H588)+SUM(J603:J605)+L614</f>
        <v>809926.48</v>
      </c>
      <c r="I664" s="13">
        <f>SUM(F664:H664)</f>
        <v>861139.30999999994</v>
      </c>
      <c r="J664" s="13"/>
      <c r="K664" s="13"/>
      <c r="L664" s="13"/>
      <c r="M664" s="9"/>
    </row>
    <row r="665" spans="1:13" s="3" customFormat="1" ht="12.2" customHeight="1" x14ac:dyDescent="0.15">
      <c r="A665" s="1" t="s">
        <v>130</v>
      </c>
      <c r="F665" s="13">
        <f>F661-SUM(F662:F664)</f>
        <v>3857937.66</v>
      </c>
      <c r="G665" s="13">
        <f>G661-SUM(G662:G664)</f>
        <v>0</v>
      </c>
      <c r="H665" s="13">
        <f>H661-SUM(H662:H664)</f>
        <v>21741.400000000023</v>
      </c>
      <c r="I665" s="13">
        <f>I661-SUM(I662:I664)</f>
        <v>3879679.0600000005</v>
      </c>
      <c r="J665" s="13"/>
      <c r="K665" s="13"/>
      <c r="L665" s="13"/>
      <c r="M665" s="8"/>
    </row>
    <row r="666" spans="1:13" s="3" customFormat="1" ht="12.2" customHeight="1" x14ac:dyDescent="0.2">
      <c r="A666" s="1" t="s">
        <v>131</v>
      </c>
      <c r="F666" s="182">
        <v>124.61</v>
      </c>
      <c r="G666" s="183"/>
      <c r="H666" s="183"/>
      <c r="I666" s="13">
        <f>SUM(F666:H666)</f>
        <v>124.61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30960.1</v>
      </c>
      <c r="G668" s="13" t="e">
        <f>ROUND(G665/G666,2)</f>
        <v>#DIV/0!</v>
      </c>
      <c r="H668" s="13" t="e">
        <f>ROUND(H665/H666,2)</f>
        <v>#DIV/0!</v>
      </c>
      <c r="I668" s="13">
        <f>ROUND(I665/I666,2)</f>
        <v>31134.57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-21741.400000000023</v>
      </c>
      <c r="I670" s="13">
        <f>SUM(F670:H670)</f>
        <v>-21741.400000000023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30960.1</v>
      </c>
      <c r="G673" s="13" t="e">
        <f>ROUND((G665+G670)/(G666+G671),2)</f>
        <v>#DIV/0!</v>
      </c>
      <c r="H673" s="13" t="e">
        <f>ROUND((H665+H670)/(H666+H671),2)</f>
        <v>#DIV/0!</v>
      </c>
      <c r="I673" s="13">
        <f>ROUND((I665+I670)/(I666+I671),2)</f>
        <v>30960.1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8" sqref="C2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33490.15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19900.7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12268.52</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1320.93</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402</v>
      </c>
      <c r="C3" s="242"/>
      <c r="D3" s="242"/>
      <c r="E3" s="242"/>
      <c r="F3" s="242"/>
      <c r="G3" s="242"/>
      <c r="H3" s="242"/>
      <c r="I3" t="s">
        <v>1593</v>
      </c>
    </row>
    <row r="4" spans="1:9" x14ac:dyDescent="0.2">
      <c r="I4" t="s">
        <v>1594</v>
      </c>
    </row>
    <row r="5" spans="1:9" ht="15.75" x14ac:dyDescent="0.25">
      <c r="A5" s="238" t="s">
        <v>897</v>
      </c>
      <c r="B5" s="322" t="str">
        <f>'DOE25'!A2</f>
        <v>Cornish</v>
      </c>
      <c r="C5" s="323"/>
      <c r="D5" s="323"/>
      <c r="E5" s="323"/>
      <c r="F5" s="323"/>
    </row>
    <row r="8" spans="1:9" ht="18" x14ac:dyDescent="0.25">
      <c r="A8" s="239" t="s">
        <v>1548</v>
      </c>
      <c r="F8" s="246" t="s">
        <v>1566</v>
      </c>
    </row>
    <row r="9" spans="1:9" ht="15" x14ac:dyDescent="0.2">
      <c r="A9" s="237" t="s">
        <v>1549</v>
      </c>
      <c r="B9" s="240">
        <f>'DOE25'!G97</f>
        <v>82255.509999999995</v>
      </c>
      <c r="F9" s="237" t="s">
        <v>1562</v>
      </c>
    </row>
    <row r="10" spans="1:9" ht="15" x14ac:dyDescent="0.2">
      <c r="A10" s="237" t="s">
        <v>1550</v>
      </c>
      <c r="B10" s="240">
        <f>'DOE25'!G112-'DOE25'!G97</f>
        <v>1181</v>
      </c>
      <c r="F10" s="237" t="s">
        <v>1563</v>
      </c>
    </row>
    <row r="11" spans="1:9" ht="15" x14ac:dyDescent="0.2">
      <c r="A11" s="237" t="s">
        <v>1551</v>
      </c>
      <c r="B11" s="240">
        <f>'DOE25'!G140</f>
        <v>619.61</v>
      </c>
      <c r="F11" s="237" t="s">
        <v>1564</v>
      </c>
    </row>
    <row r="12" spans="1:9" ht="15" x14ac:dyDescent="0.2">
      <c r="A12" s="237" t="s">
        <v>1552</v>
      </c>
      <c r="B12" s="240">
        <f>'DOE25'!G170</f>
        <v>11598.96</v>
      </c>
      <c r="F12" s="237" t="s">
        <v>1565</v>
      </c>
    </row>
    <row r="13" spans="1:9" ht="15" x14ac:dyDescent="0.2">
      <c r="A13" s="237" t="s">
        <v>1553</v>
      </c>
      <c r="B13" s="240">
        <f>'DOE25'!G193-'DOE25'!G180</f>
        <v>0</v>
      </c>
      <c r="F13" s="237" t="s">
        <v>1575</v>
      </c>
    </row>
    <row r="14" spans="1:9" ht="18" x14ac:dyDescent="0.25">
      <c r="A14" s="239" t="s">
        <v>732</v>
      </c>
      <c r="B14" s="241">
        <f>SUM(B9:B13)</f>
        <v>95655.079999999987</v>
      </c>
    </row>
    <row r="16" spans="1:9" ht="18" x14ac:dyDescent="0.25">
      <c r="A16" s="239" t="s">
        <v>783</v>
      </c>
      <c r="F16" s="246" t="s">
        <v>1567</v>
      </c>
    </row>
    <row r="17" spans="1:6" ht="15" x14ac:dyDescent="0.2">
      <c r="A17" s="237" t="s">
        <v>1554</v>
      </c>
      <c r="B17" s="240">
        <f>'DOE25'!L363-'DOE25'!L362</f>
        <v>113737.39</v>
      </c>
      <c r="F17" s="237" t="s">
        <v>1568</v>
      </c>
    </row>
    <row r="18" spans="1:6" ht="15" x14ac:dyDescent="0.2">
      <c r="A18" s="237" t="s">
        <v>1555</v>
      </c>
      <c r="B18" s="250"/>
      <c r="F18" s="246" t="s">
        <v>1592</v>
      </c>
    </row>
    <row r="19" spans="1:6" ht="18" x14ac:dyDescent="0.25">
      <c r="A19" s="239" t="s">
        <v>725</v>
      </c>
      <c r="B19" s="241">
        <f>SUM(B17:B18)</f>
        <v>113737.39</v>
      </c>
    </row>
    <row r="21" spans="1:6" ht="18.75" thickBot="1" x14ac:dyDescent="0.3">
      <c r="A21" s="239" t="s">
        <v>1556</v>
      </c>
    </row>
    <row r="22" spans="1:6" ht="18.75" thickTop="1" x14ac:dyDescent="0.25">
      <c r="A22" s="239" t="s">
        <v>1557</v>
      </c>
      <c r="B22" s="245">
        <f>B14-B19</f>
        <v>-18082.310000000012</v>
      </c>
      <c r="F22" s="237" t="s">
        <v>1569</v>
      </c>
    </row>
    <row r="26" spans="1:6" ht="18" x14ac:dyDescent="0.25">
      <c r="A26" s="239" t="s">
        <v>186</v>
      </c>
    </row>
    <row r="27" spans="1:6" ht="15" x14ac:dyDescent="0.2">
      <c r="A27" s="237" t="s">
        <v>1558</v>
      </c>
      <c r="B27" s="240">
        <f>'DOE25'!G180</f>
        <v>16766.510000000002</v>
      </c>
      <c r="F27" s="237" t="s">
        <v>1570</v>
      </c>
    </row>
    <row r="28" spans="1:6" ht="15" x14ac:dyDescent="0.2">
      <c r="A28" s="237" t="s">
        <v>1560</v>
      </c>
      <c r="B28" s="240">
        <f>'DOE25'!L362</f>
        <v>0</v>
      </c>
      <c r="F28" s="237" t="s">
        <v>1571</v>
      </c>
    </row>
    <row r="31" spans="1:6" ht="15" x14ac:dyDescent="0.2">
      <c r="A31" s="237" t="s">
        <v>1789</v>
      </c>
      <c r="B31" s="240">
        <f>'DOE25'!G466</f>
        <v>2646.37</v>
      </c>
      <c r="F31" s="237" t="s">
        <v>1572</v>
      </c>
    </row>
    <row r="33" spans="1:6" ht="15" x14ac:dyDescent="0.2">
      <c r="A33" s="237" t="s">
        <v>1790</v>
      </c>
      <c r="B33" s="240">
        <f>'DOE25'!G477</f>
        <v>1330.5699999999924</v>
      </c>
      <c r="F33" s="237" t="s">
        <v>1573</v>
      </c>
    </row>
    <row r="36" spans="1:6" ht="15" x14ac:dyDescent="0.2">
      <c r="A36" s="237" t="s">
        <v>1559</v>
      </c>
      <c r="B36" s="251">
        <v>5052.93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19" sqref="G1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Cornish</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878283.20999999985</v>
      </c>
      <c r="C9" s="166">
        <f>'DOE25'!G198+'DOE25'!G216+'DOE25'!G234+'DOE25'!G277+'DOE25'!G296+'DOE25'!G315</f>
        <v>564666.98</v>
      </c>
    </row>
    <row r="10" spans="1:3" x14ac:dyDescent="0.2">
      <c r="A10" t="s">
        <v>772</v>
      </c>
      <c r="B10" s="176">
        <f>756915.1</f>
        <v>756915.1</v>
      </c>
      <c r="C10" s="176">
        <v>486636.83737435675</v>
      </c>
    </row>
    <row r="11" spans="1:3" x14ac:dyDescent="0.2">
      <c r="A11" t="s">
        <v>773</v>
      </c>
      <c r="B11" s="176">
        <f>98331.48-946.64-1052+8423.33+1052</f>
        <v>105808.17</v>
      </c>
      <c r="C11" s="176">
        <v>68026.325828574831</v>
      </c>
    </row>
    <row r="12" spans="1:3" x14ac:dyDescent="0.2">
      <c r="A12" t="s">
        <v>774</v>
      </c>
      <c r="B12" s="176">
        <v>15559.94</v>
      </c>
      <c r="C12" s="176">
        <v>10003.816797068401</v>
      </c>
    </row>
    <row r="13" spans="1:3" x14ac:dyDescent="0.2">
      <c r="A13" t="str">
        <f>IF(B9=B13,IF(C9=C13,"Check Total OK","Check Total Error"),"Check Total Error")</f>
        <v>Check Total OK</v>
      </c>
      <c r="B13" s="168">
        <f>SUM(B10:B12)</f>
        <v>878283.21</v>
      </c>
      <c r="C13" s="168">
        <f>SUM(C10:C12)</f>
        <v>564666.98</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298045.40000000002</v>
      </c>
      <c r="C18" s="166">
        <f>'DOE25'!G199+'DOE25'!G217+'DOE25'!G235+'DOE25'!G278+'DOE25'!G297+'DOE25'!G316</f>
        <v>125204.71999999999</v>
      </c>
    </row>
    <row r="19" spans="1:3" x14ac:dyDescent="0.2">
      <c r="A19" t="s">
        <v>772</v>
      </c>
      <c r="B19" s="176">
        <f>35934.54+35934.46</f>
        <v>71869</v>
      </c>
      <c r="C19" s="176">
        <v>30191.165579740529</v>
      </c>
    </row>
    <row r="20" spans="1:3" x14ac:dyDescent="0.2">
      <c r="A20" t="s">
        <v>773</v>
      </c>
      <c r="B20" s="176">
        <f>161370.48+45435.68+154.65+18273.64</f>
        <v>225234.45</v>
      </c>
      <c r="C20" s="176">
        <v>94617.854349048823</v>
      </c>
    </row>
    <row r="21" spans="1:3" x14ac:dyDescent="0.2">
      <c r="A21" t="s">
        <v>774</v>
      </c>
      <c r="B21" s="176">
        <v>941.95</v>
      </c>
      <c r="C21" s="176">
        <v>395.70007121063827</v>
      </c>
    </row>
    <row r="22" spans="1:3" x14ac:dyDescent="0.2">
      <c r="A22" t="str">
        <f>IF(B18=B22,IF(C18=C22,"Check Total OK","Check Total Error"),"Check Total Error")</f>
        <v>Check Total OK</v>
      </c>
      <c r="B22" s="168">
        <f>SUM(B19:B21)</f>
        <v>298045.40000000002</v>
      </c>
      <c r="C22" s="168">
        <f>SUM(C19:C21)</f>
        <v>125204.71999999999</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8800</v>
      </c>
      <c r="C36" s="172">
        <f>'DOE25'!G201+'DOE25'!G219+'DOE25'!G237+'DOE25'!G280+'DOE25'!G299+'DOE25'!G318</f>
        <v>1235.99</v>
      </c>
    </row>
    <row r="37" spans="1:3" x14ac:dyDescent="0.2">
      <c r="A37" t="s">
        <v>772</v>
      </c>
      <c r="B37" s="176"/>
      <c r="C37" s="176"/>
    </row>
    <row r="38" spans="1:3" x14ac:dyDescent="0.2">
      <c r="A38" t="s">
        <v>773</v>
      </c>
      <c r="B38" s="176"/>
      <c r="C38" s="176"/>
    </row>
    <row r="39" spans="1:3" x14ac:dyDescent="0.2">
      <c r="A39" t="s">
        <v>774</v>
      </c>
      <c r="B39" s="176">
        <v>8800</v>
      </c>
      <c r="C39" s="176">
        <f>371.96+859.8+4.23</f>
        <v>1235.99</v>
      </c>
    </row>
    <row r="40" spans="1:3" x14ac:dyDescent="0.2">
      <c r="A40" t="str">
        <f>IF(B36=B40,IF(C36=C40,"Check Total OK","Check Total Error"),"Check Total Error")</f>
        <v>Check Total OK</v>
      </c>
      <c r="B40" s="168">
        <f>SUM(B37:B39)</f>
        <v>8800</v>
      </c>
      <c r="C40" s="168">
        <f>SUM(C37:C39)</f>
        <v>1235.99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Cornish</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3049866.59</v>
      </c>
      <c r="D5" s="19">
        <f>SUM('DOE25'!L198:L201)+SUM('DOE25'!L216:L219)+SUM('DOE25'!L234:L237)-F5-G5-H5</f>
        <v>2964371.94</v>
      </c>
      <c r="E5" s="179"/>
      <c r="F5" s="180"/>
      <c r="G5" s="19">
        <f>SUM('DOE25'!J198:J201)+SUM('DOE25'!J216:J219)+SUM('DOE25'!J234:J237)</f>
        <v>5014.3</v>
      </c>
      <c r="H5" s="19">
        <f>SUM('DOE25'!K198:K201)+SUM('DOE25'!K216:K219)+SUM('DOE25'!K234:K237)</f>
        <v>80480.349999999991</v>
      </c>
      <c r="I5" s="191"/>
    </row>
    <row r="6" spans="1:9" x14ac:dyDescent="0.2">
      <c r="A6" s="31">
        <v>2100</v>
      </c>
      <c r="B6" t="s">
        <v>793</v>
      </c>
      <c r="C6" s="205">
        <f t="shared" si="0"/>
        <v>330860.29000000004</v>
      </c>
      <c r="D6" s="19">
        <f>'DOE25'!L203+'DOE25'!L221+'DOE25'!L239-F6-G6-H6</f>
        <v>316304.45</v>
      </c>
      <c r="E6" s="179"/>
      <c r="F6" s="180"/>
      <c r="G6" s="19">
        <f>'DOE25'!J203+'DOE25'!J221+'DOE25'!J239</f>
        <v>14065.84</v>
      </c>
      <c r="H6" s="19">
        <f>'DOE25'!K203+'DOE25'!K221+'DOE25'!K239</f>
        <v>490</v>
      </c>
      <c r="I6" s="191"/>
    </row>
    <row r="7" spans="1:9" x14ac:dyDescent="0.2">
      <c r="A7" s="31">
        <v>2200</v>
      </c>
      <c r="B7" t="s">
        <v>817</v>
      </c>
      <c r="C7" s="205">
        <f t="shared" si="0"/>
        <v>107106.96999999999</v>
      </c>
      <c r="D7" s="19">
        <f>'DOE25'!L204+'DOE25'!L222+'DOE25'!L240-F7-G7-H7</f>
        <v>107106.96999999999</v>
      </c>
      <c r="E7" s="179"/>
      <c r="F7" s="180"/>
      <c r="G7" s="19">
        <f>'DOE25'!J204+'DOE25'!J222+'DOE25'!J240</f>
        <v>0</v>
      </c>
      <c r="H7" s="19">
        <f>'DOE25'!K204+'DOE25'!K222+'DOE25'!K240</f>
        <v>0</v>
      </c>
      <c r="I7" s="191"/>
    </row>
    <row r="8" spans="1:9" x14ac:dyDescent="0.2">
      <c r="A8" s="31">
        <v>2300</v>
      </c>
      <c r="B8" t="s">
        <v>794</v>
      </c>
      <c r="C8" s="205">
        <f t="shared" si="0"/>
        <v>318722.05000000005</v>
      </c>
      <c r="D8" s="179"/>
      <c r="E8" s="19">
        <f>'DOE25'!L205+'DOE25'!L223+'DOE25'!L241-F8-G8-H8-D9-D11</f>
        <v>311608.80000000005</v>
      </c>
      <c r="F8" s="180"/>
      <c r="G8" s="19">
        <f>'DOE25'!J205+'DOE25'!J223+'DOE25'!J241</f>
        <v>0</v>
      </c>
      <c r="H8" s="19">
        <f>'DOE25'!K205+'DOE25'!K223+'DOE25'!K241</f>
        <v>7113.25</v>
      </c>
      <c r="I8" s="191"/>
    </row>
    <row r="9" spans="1:9" ht="14.25" x14ac:dyDescent="0.2">
      <c r="A9" s="31">
        <v>2310</v>
      </c>
      <c r="B9" s="71" t="s">
        <v>884</v>
      </c>
      <c r="C9" s="205">
        <f t="shared" si="0"/>
        <v>42893.11</v>
      </c>
      <c r="D9" s="180">
        <f>207+3817+911.2+1183.75+10265+18918.9+1277.95+1392.16+3161.06+1759.09</f>
        <v>42893.11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395573.44</v>
      </c>
      <c r="D12" s="19">
        <f>'DOE25'!L206+'DOE25'!L224+'DOE25'!L242-F12-G12-H12</f>
        <v>393686.63</v>
      </c>
      <c r="E12" s="179"/>
      <c r="F12" s="180"/>
      <c r="G12" s="19">
        <f>'DOE25'!J206+'DOE25'!J224+'DOE25'!J242</f>
        <v>34.99</v>
      </c>
      <c r="H12" s="19">
        <f>'DOE25'!K206+'DOE25'!K224+'DOE25'!K242</f>
        <v>1851.82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288331.32</v>
      </c>
      <c r="D14" s="19">
        <f>'DOE25'!L208+'DOE25'!L226+'DOE25'!L244-F14-G14-H14</f>
        <v>285967.01</v>
      </c>
      <c r="E14" s="179"/>
      <c r="F14" s="180"/>
      <c r="G14" s="19">
        <f>'DOE25'!J208+'DOE25'!J226+'DOE25'!J244</f>
        <v>1229.4000000000001</v>
      </c>
      <c r="H14" s="19">
        <f>'DOE25'!K208+'DOE25'!K226+'DOE25'!K244</f>
        <v>1134.9100000000001</v>
      </c>
      <c r="I14" s="191"/>
    </row>
    <row r="15" spans="1:9" x14ac:dyDescent="0.2">
      <c r="A15" s="31">
        <v>2700</v>
      </c>
      <c r="B15" t="s">
        <v>796</v>
      </c>
      <c r="C15" s="205">
        <f t="shared" si="0"/>
        <v>190325.19000000003</v>
      </c>
      <c r="D15" s="19">
        <f>'DOE25'!L209+'DOE25'!L227+'DOE25'!L245-F15-G15-H15</f>
        <v>190325.19000000003</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301185.18</v>
      </c>
      <c r="D22" s="179"/>
      <c r="E22" s="179"/>
      <c r="F22" s="179"/>
      <c r="G22" s="19">
        <f>'DOE25'!L256+'DOE25'!L337</f>
        <v>301185.18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113737.39</v>
      </c>
      <c r="D29" s="211">
        <f>'DOE25'!L359+'DOE25'!L360+'DOE25'!L361-'DOE25'!I368-F29-G29-H29-F39</f>
        <v>113597.4</v>
      </c>
      <c r="E29" s="179"/>
      <c r="F29" s="179"/>
      <c r="G29" s="19">
        <f>'DOE25'!J359+'DOE25'!J360+'DOE25'!J361</f>
        <v>139.99</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177163.71999999997</v>
      </c>
      <c r="D31" s="19">
        <f>'DOE25'!L291+'DOE25'!L310+'DOE25'!L329+'DOE25'!L334+'DOE25'!L335+'DOE25'!L336-F31-G31-H31</f>
        <v>176735.21999999997</v>
      </c>
      <c r="E31" s="179"/>
      <c r="F31" s="180"/>
      <c r="G31" s="19">
        <f>'DOE25'!J291+'DOE25'!J310+'DOE25'!J329+'DOE25'!J334+'DOE25'!J335+'DOE25'!J336</f>
        <v>428.5</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4590987.9200000009</v>
      </c>
      <c r="E33" s="181">
        <f t="shared" si="1"/>
        <v>311608.80000000005</v>
      </c>
      <c r="F33" s="181">
        <f t="shared" si="1"/>
        <v>0</v>
      </c>
      <c r="G33" s="181">
        <f t="shared" si="1"/>
        <v>322098.2</v>
      </c>
      <c r="H33" s="181">
        <f t="shared" si="1"/>
        <v>91070.33</v>
      </c>
      <c r="I33" s="181">
        <f t="shared" si="1"/>
        <v>0</v>
      </c>
    </row>
    <row r="34" spans="1:9" ht="12" thickBot="1" x14ac:dyDescent="0.25"/>
    <row r="35" spans="1:9" ht="12" thickBot="1" x14ac:dyDescent="0.25">
      <c r="B35" s="187" t="s">
        <v>827</v>
      </c>
      <c r="D35" s="188">
        <f>E33</f>
        <v>311608.80000000005</v>
      </c>
      <c r="E35" s="184"/>
      <c r="F35" s="294" t="s">
        <v>1596</v>
      </c>
      <c r="G35" s="295"/>
      <c r="H35" s="295"/>
      <c r="I35" s="296"/>
    </row>
    <row r="36" spans="1:9" ht="12" thickTop="1" x14ac:dyDescent="0.2">
      <c r="B36" t="s">
        <v>807</v>
      </c>
      <c r="D36" s="19">
        <f>D33</f>
        <v>4590987.9200000009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zoomScale="102" zoomScaleNormal="75" workbookViewId="0">
      <selection activeCell="D36" sqref="D3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Cornish</v>
      </c>
      <c r="B2">
        <f>'DOE25'!B2</f>
        <v>115</v>
      </c>
      <c r="J2" s="223" t="s">
        <v>1799</v>
      </c>
      <c r="K2" s="308">
        <f>SUM('DOE25'!L198:L201)+SUM('DOE25'!L277:L280)</f>
        <v>2306445.2799999998</v>
      </c>
      <c r="L2" s="308">
        <f>'DOE25'!L203+'DOE25'!L282</f>
        <v>359068.41000000003</v>
      </c>
      <c r="M2" s="308">
        <f>'DOE25'!L204+'DOE25'!L283</f>
        <v>156719.50999999998</v>
      </c>
      <c r="N2" s="308">
        <f>'DOE25'!L206+'DOE25'!L285</f>
        <v>395573.44</v>
      </c>
      <c r="O2" s="316">
        <f>'Salaries-Benefits'!B10+'Salaries-Benefits'!B12+'Salaries-Benefits'!B19+'Salaries-Benefits'!B21+'Salaries-Benefits'!B28+'Salaries-Benefits'!B30+'Salaries-Benefits'!B37+'Salaries-Benefits'!B39</f>
        <v>854085.98999999987</v>
      </c>
      <c r="P2" s="316">
        <f>'Salaries-Benefits'!B11+'Salaries-Benefits'!B20+'Salaries-Benefits'!B29+'Salaries-Benefits'!B38</f>
        <v>331042.62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4069174.8</v>
      </c>
      <c r="G4" s="228">
        <f>'DOE25'!L212+'DOE25'!L291</f>
        <v>4069174.8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+'DOE25'!F580+'DOE25'!H599</f>
        <v>220764.99</v>
      </c>
      <c r="E5" s="219"/>
      <c r="F5" s="231">
        <f>D5+E5</f>
        <v>220764.99</v>
      </c>
      <c r="G5" s="222"/>
      <c r="H5" s="222"/>
      <c r="J5" s="71" t="s">
        <v>1840</v>
      </c>
      <c r="K5" s="101">
        <f>+'DOE25'!F580</f>
        <v>30439.8</v>
      </c>
      <c r="L5" s="20">
        <v>0</v>
      </c>
      <c r="M5" s="20"/>
      <c r="N5" s="20"/>
      <c r="O5" s="20"/>
      <c r="P5" s="20"/>
      <c r="Q5" s="20"/>
    </row>
    <row r="6" spans="1:22" x14ac:dyDescent="0.2">
      <c r="A6" t="str" cm="1">
        <f t="array" ref="A6">IFERROR(INDEX('School Tables'!$A$4:$G$365,'School Tables'!$J4,3),"")</f>
        <v>Cornish Elementary School</v>
      </c>
      <c r="B6" s="229">
        <f>IFERROR(VLOOKUP(A6,'School Tables'!$C$3:$D$365,2,FALSE),"")</f>
        <v>20175</v>
      </c>
      <c r="C6" s="222" t="str">
        <f>IFERROR(INDEX('School Tables'!$B$3:$B$365,MATCH('School Level Expenditures'!B6,'School Tables'!$D$3:$D$365,0)),"")</f>
        <v>Cornish</v>
      </c>
      <c r="D6" s="219">
        <f>+'DOE25'!L212+'DOE25'!L291-D5-E6</f>
        <v>3536810.0599999996</v>
      </c>
      <c r="E6" s="219">
        <v>311599.75</v>
      </c>
      <c r="F6" s="231">
        <f t="shared" ref="F6:F20" si="2">D6+E6</f>
        <v>3848409.8099999996</v>
      </c>
      <c r="G6" s="222"/>
      <c r="H6" s="222"/>
      <c r="J6" t="str">
        <f t="shared" ref="J6:J20" si="3">A6</f>
        <v>Cornish Elementary School</v>
      </c>
      <c r="K6" s="101">
        <f>+'DOE25'!L198+'DOE25'!L199+'DOE25'!L201+'DOE25'!L277+'DOE25'!L278-K5</f>
        <v>2276005.48</v>
      </c>
      <c r="L6" s="101">
        <f>+'DOE25'!L203+'DOE25'!L282</f>
        <v>359068.41000000003</v>
      </c>
      <c r="M6" s="318">
        <f>+'DOE25'!L204+'DOE25'!L283</f>
        <v>156719.50999999998</v>
      </c>
      <c r="N6" s="101">
        <f>+'DOE25'!L206</f>
        <v>395573.44</v>
      </c>
      <c r="O6" s="219">
        <f>+'Salaries-Benefits'!B10+'Salaries-Benefits'!B19-154.65+'Salaries-Benefits'!B12+'Salaries-Benefits'!B21+'Salaries-Benefits'!B39</f>
        <v>853931.33999999985</v>
      </c>
      <c r="P6" s="219">
        <f>+'Salaries-Benefits'!B11+'Salaries-Benefits'!B20</f>
        <v>331042.62</v>
      </c>
      <c r="Q6" s="20">
        <f>3540.62+299.9+1588.99+1226.06+29.49</f>
        <v>6685.0599999999995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3757575.05</v>
      </c>
      <c r="E21" s="261">
        <f>SUM(E5:E20)</f>
        <v>311599.75</v>
      </c>
      <c r="F21" s="216"/>
      <c r="G21" s="216"/>
      <c r="H21" s="216"/>
      <c r="K21" s="262">
        <f t="shared" ref="K21:Q21" si="4">SUM(K5:K20)</f>
        <v>2306445.2799999998</v>
      </c>
      <c r="L21" s="262">
        <f>SUM(L5:L20)</f>
        <v>359068.41000000003</v>
      </c>
      <c r="M21" s="262">
        <f t="shared" si="4"/>
        <v>156719.50999999998</v>
      </c>
      <c r="N21" s="262">
        <f t="shared" si="4"/>
        <v>395573.44</v>
      </c>
      <c r="O21" s="262">
        <f t="shared" si="4"/>
        <v>853931.33999999985</v>
      </c>
      <c r="P21" s="262">
        <f t="shared" si="4"/>
        <v>331042.62</v>
      </c>
      <c r="Q21" s="262">
        <f t="shared" si="4"/>
        <v>6685.0599999999995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831667.88</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831667.88</v>
      </c>
      <c r="G38" s="228">
        <f>'DOE25'!L248+'DOE25'!L329</f>
        <v>831667.88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+'DOE25'!L248+'DOE25'!L329</f>
        <v>831667.88</v>
      </c>
      <c r="E39" s="219"/>
      <c r="F39" s="231">
        <f t="shared" ref="F39:F44" si="10">D39+E39</f>
        <v>831667.88</v>
      </c>
      <c r="G39" s="222"/>
      <c r="H39" s="222"/>
      <c r="J39" s="71" t="s">
        <v>1840</v>
      </c>
      <c r="K39" s="319">
        <f>+'DOE25'!L248</f>
        <v>831667.88</v>
      </c>
      <c r="L39" s="315"/>
      <c r="M39" s="315"/>
      <c r="N39" s="315"/>
      <c r="O39" s="315">
        <v>154.65</v>
      </c>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831667.88</v>
      </c>
      <c r="E45" s="262">
        <f>SUM(E39:E44)</f>
        <v>0</v>
      </c>
      <c r="K45" s="262">
        <f t="shared" ref="K45:Q45" si="11">SUM(K39:K44)</f>
        <v>831667.88</v>
      </c>
      <c r="L45" s="262">
        <f t="shared" si="11"/>
        <v>0</v>
      </c>
      <c r="M45" s="262">
        <f t="shared" si="11"/>
        <v>0</v>
      </c>
      <c r="N45" s="262">
        <f t="shared" si="11"/>
        <v>0</v>
      </c>
      <c r="O45" s="262">
        <f t="shared" si="11"/>
        <v>154.65</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Cornish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480353.5</v>
      </c>
      <c r="D8" s="73">
        <f>'DOE25'!G9</f>
        <v>0</v>
      </c>
      <c r="E8" s="73">
        <f>'DOE25'!H9</f>
        <v>0</v>
      </c>
      <c r="F8" s="73">
        <f>'DOE25'!I9</f>
        <v>0</v>
      </c>
      <c r="G8" s="73">
        <f>'DOE25'!J9</f>
        <v>467777.95</v>
      </c>
      <c r="H8" s="13">
        <f>SUM(C8:G8)</f>
        <v>948131.45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10691.28</v>
      </c>
      <c r="E11" s="73">
        <f>'DOE25'!H12</f>
        <v>55867.460000000021</v>
      </c>
      <c r="F11" s="73">
        <f>'DOE25'!I12</f>
        <v>0</v>
      </c>
      <c r="G11" s="73">
        <f>'DOE25'!J12</f>
        <v>19000.03</v>
      </c>
      <c r="H11" s="13">
        <f t="shared" si="0"/>
        <v>85558.770000000019</v>
      </c>
      <c r="I11" s="90"/>
    </row>
    <row r="12" spans="1:9" x14ac:dyDescent="0.2">
      <c r="A12" s="1" t="s">
        <v>143</v>
      </c>
      <c r="B12" s="6">
        <v>140</v>
      </c>
      <c r="C12" s="73">
        <f>'DOE25'!F13</f>
        <v>97139.459999999992</v>
      </c>
      <c r="D12" s="73">
        <f>'DOE25'!G13</f>
        <v>6389.03</v>
      </c>
      <c r="E12" s="73">
        <f>'DOE25'!H13</f>
        <v>36982.949999999997</v>
      </c>
      <c r="F12" s="73">
        <f>'DOE25'!I13</f>
        <v>0</v>
      </c>
      <c r="G12" s="73">
        <f>'DOE25'!J13</f>
        <v>0</v>
      </c>
      <c r="H12" s="13">
        <f t="shared" si="0"/>
        <v>140511.44</v>
      </c>
      <c r="I12" s="90"/>
    </row>
    <row r="13" spans="1:9" x14ac:dyDescent="0.2">
      <c r="A13" s="1" t="s">
        <v>144</v>
      </c>
      <c r="B13" s="6">
        <v>150</v>
      </c>
      <c r="C13" s="73">
        <f>'DOE25'!F14</f>
        <v>2224.27</v>
      </c>
      <c r="D13" s="73">
        <f>'DOE25'!G14</f>
        <v>0</v>
      </c>
      <c r="E13" s="73">
        <f>'DOE25'!H14</f>
        <v>0</v>
      </c>
      <c r="F13" s="73">
        <f>'DOE25'!I14</f>
        <v>0</v>
      </c>
      <c r="G13" s="73">
        <f>'DOE25'!J14</f>
        <v>0</v>
      </c>
      <c r="H13" s="13">
        <f t="shared" si="0"/>
        <v>2224.27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579717.23</v>
      </c>
      <c r="D18" s="38">
        <f>SUM(D8:D17)</f>
        <v>17080.310000000001</v>
      </c>
      <c r="E18" s="38">
        <f>SUM(E8:E17)</f>
        <v>92850.410000000018</v>
      </c>
      <c r="F18" s="38">
        <f>SUM(F8:F17)</f>
        <v>0</v>
      </c>
      <c r="G18" s="38">
        <f>SUM(G8:G17)</f>
        <v>486777.98</v>
      </c>
      <c r="H18" s="38">
        <f t="shared" si="0"/>
        <v>1176425.9300000002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85558.77</v>
      </c>
      <c r="D21" s="73">
        <f>'DOE25'!G22</f>
        <v>0</v>
      </c>
      <c r="E21" s="73">
        <f>'DOE25'!H22</f>
        <v>0</v>
      </c>
      <c r="F21" s="73">
        <f>'DOE25'!I22</f>
        <v>0</v>
      </c>
      <c r="G21" s="73">
        <f>'DOE25'!J22</f>
        <v>0</v>
      </c>
      <c r="H21" s="13">
        <f t="shared" ref="H21:H31" si="1">SUM(C21:G21)</f>
        <v>85558.77</v>
      </c>
      <c r="I21" s="90"/>
    </row>
    <row r="22" spans="1:9" x14ac:dyDescent="0.2">
      <c r="A22" s="1" t="s">
        <v>151</v>
      </c>
      <c r="B22" s="6">
        <v>410</v>
      </c>
      <c r="C22" s="73">
        <f>'DOE25'!F23</f>
        <v>0</v>
      </c>
      <c r="D22" s="73">
        <f>'DOE25'!G23</f>
        <v>0</v>
      </c>
      <c r="E22" s="73">
        <f>'DOE25'!H23</f>
        <v>0</v>
      </c>
      <c r="F22" s="73">
        <f>'DOE25'!I23</f>
        <v>0</v>
      </c>
      <c r="G22" s="73">
        <f>'DOE25'!J23</f>
        <v>97139.46</v>
      </c>
      <c r="H22" s="13">
        <f t="shared" si="1"/>
        <v>97139.46</v>
      </c>
      <c r="I22" s="90"/>
    </row>
    <row r="23" spans="1:9" x14ac:dyDescent="0.2">
      <c r="A23" s="1" t="s">
        <v>152</v>
      </c>
      <c r="B23" s="6">
        <v>420</v>
      </c>
      <c r="C23" s="73">
        <f>'DOE25'!F24</f>
        <v>284312.65999999997</v>
      </c>
      <c r="D23" s="73">
        <f>'DOE25'!G24</f>
        <v>9911.74</v>
      </c>
      <c r="E23" s="73">
        <f>'DOE25'!H24</f>
        <v>8931.84</v>
      </c>
      <c r="F23" s="73">
        <f>'DOE25'!I24</f>
        <v>0</v>
      </c>
      <c r="G23" s="73">
        <f>'DOE25'!J24</f>
        <v>0</v>
      </c>
      <c r="H23" s="13">
        <f t="shared" si="1"/>
        <v>303156.24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23302.969999999998</v>
      </c>
      <c r="D28" s="73">
        <f>'DOE25'!G29</f>
        <v>0</v>
      </c>
      <c r="E28" s="73">
        <f>'DOE25'!H29</f>
        <v>253.17000000000002</v>
      </c>
      <c r="F28" s="73">
        <f>'DOE25'!I29</f>
        <v>0</v>
      </c>
      <c r="G28" s="23" t="s">
        <v>288</v>
      </c>
      <c r="H28" s="13">
        <f t="shared" si="1"/>
        <v>23556.139999999996</v>
      </c>
      <c r="I28" s="90"/>
    </row>
    <row r="29" spans="1:9" x14ac:dyDescent="0.2">
      <c r="A29" s="1" t="s">
        <v>158</v>
      </c>
      <c r="B29" s="6">
        <v>480</v>
      </c>
      <c r="C29" s="73">
        <f>'DOE25'!F30</f>
        <v>0</v>
      </c>
      <c r="D29" s="73">
        <f>'DOE25'!G30</f>
        <v>5838</v>
      </c>
      <c r="E29" s="73">
        <f>'DOE25'!H30</f>
        <v>7323.58</v>
      </c>
      <c r="F29" s="73">
        <f>'DOE25'!I30</f>
        <v>0</v>
      </c>
      <c r="G29" s="23" t="s">
        <v>288</v>
      </c>
      <c r="H29" s="13">
        <f t="shared" si="1"/>
        <v>13161.58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393174.39999999997</v>
      </c>
      <c r="D31" s="38">
        <f>SUM(D21:D30)</f>
        <v>15749.74</v>
      </c>
      <c r="E31" s="38">
        <f>SUM(E21:E30)</f>
        <v>16508.59</v>
      </c>
      <c r="F31" s="38">
        <f>SUM(F21:F30)</f>
        <v>0</v>
      </c>
      <c r="G31" s="38">
        <f>SUM(G21:G30)</f>
        <v>97139.46</v>
      </c>
      <c r="H31" s="38">
        <f t="shared" si="1"/>
        <v>522572.19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1330.5700000000015</v>
      </c>
      <c r="E39" s="23" t="s">
        <v>288</v>
      </c>
      <c r="F39" s="23" t="s">
        <v>288</v>
      </c>
      <c r="G39" s="23" t="s">
        <v>288</v>
      </c>
      <c r="H39" s="13">
        <f t="shared" si="2"/>
        <v>1330.5700000000015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v>
      </c>
      <c r="D43" s="73">
        <f>'DOE25'!G44</f>
        <v>0</v>
      </c>
      <c r="E43" s="73">
        <f>'DOE25'!H44</f>
        <v>0</v>
      </c>
      <c r="F43" s="73">
        <f>'DOE25'!I44</f>
        <v>0</v>
      </c>
      <c r="G43" s="23" t="s">
        <v>288</v>
      </c>
      <c r="H43" s="13">
        <f t="shared" si="2"/>
        <v>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76341.820000000022</v>
      </c>
      <c r="F47" s="73">
        <f>'DOE25'!I48</f>
        <v>0</v>
      </c>
      <c r="G47" s="73">
        <f>'DOE25'!J48</f>
        <v>389638.52</v>
      </c>
      <c r="H47" s="13">
        <f t="shared" si="2"/>
        <v>465980.34</v>
      </c>
      <c r="I47" s="90"/>
    </row>
    <row r="48" spans="1:9" x14ac:dyDescent="0.2">
      <c r="A48" s="1" t="s">
        <v>878</v>
      </c>
      <c r="B48" s="6">
        <v>753</v>
      </c>
      <c r="C48" s="73">
        <f>'DOE25'!F49</f>
        <v>20334.77</v>
      </c>
      <c r="D48" s="73">
        <f>'DOE25'!G49</f>
        <v>0</v>
      </c>
      <c r="E48" s="73">
        <f>'DOE25'!H49</f>
        <v>0</v>
      </c>
      <c r="F48" s="73">
        <f>'DOE25'!I49</f>
        <v>0</v>
      </c>
      <c r="G48" s="73">
        <f>'DOE25'!J49</f>
        <v>0</v>
      </c>
      <c r="H48" s="13">
        <f t="shared" si="2"/>
        <v>20334.77</v>
      </c>
      <c r="I48" s="90"/>
    </row>
    <row r="49" spans="1:9" ht="12" thickBot="1" x14ac:dyDescent="0.25">
      <c r="A49" s="28" t="s">
        <v>879</v>
      </c>
      <c r="B49" s="56">
        <v>770</v>
      </c>
      <c r="C49" s="73">
        <f>'DOE25'!F50</f>
        <v>161208.06000000003</v>
      </c>
      <c r="D49" s="23" t="s">
        <v>288</v>
      </c>
      <c r="E49" s="23" t="s">
        <v>288</v>
      </c>
      <c r="F49" s="23" t="s">
        <v>288</v>
      </c>
      <c r="G49" s="23" t="s">
        <v>288</v>
      </c>
      <c r="H49" s="13">
        <f t="shared" si="2"/>
        <v>161208.06000000003</v>
      </c>
      <c r="I49" s="90"/>
    </row>
    <row r="50" spans="1:9" ht="12.75" thickTop="1" thickBot="1" x14ac:dyDescent="0.25">
      <c r="A50" s="35" t="s">
        <v>880</v>
      </c>
      <c r="B50" s="44"/>
      <c r="C50" s="38">
        <f>SUM(C34:C49)</f>
        <v>186542.83000000002</v>
      </c>
      <c r="D50" s="38">
        <f>SUM(D34:D49)</f>
        <v>1330.5700000000015</v>
      </c>
      <c r="E50" s="38">
        <f>SUM(E34:E49)</f>
        <v>76341.820000000022</v>
      </c>
      <c r="F50" s="38">
        <f>SUM(F34:F49)</f>
        <v>0</v>
      </c>
      <c r="G50" s="38">
        <f>SUM(G34:G49)</f>
        <v>389638.52</v>
      </c>
      <c r="H50" s="38">
        <f t="shared" si="2"/>
        <v>653853.74</v>
      </c>
      <c r="I50" s="90"/>
    </row>
    <row r="51" spans="1:9" ht="12" thickTop="1" x14ac:dyDescent="0.2">
      <c r="A51" s="35" t="s">
        <v>881</v>
      </c>
      <c r="B51" s="2"/>
      <c r="C51" s="38">
        <f>C50+C31</f>
        <v>579717.23</v>
      </c>
      <c r="D51" s="38">
        <f>D50+D31</f>
        <v>17080.310000000001</v>
      </c>
      <c r="E51" s="38">
        <f>E50+E31</f>
        <v>92850.410000000018</v>
      </c>
      <c r="F51" s="38">
        <f>F50+F31</f>
        <v>0</v>
      </c>
      <c r="G51" s="38">
        <f>G50+G31</f>
        <v>486777.98000000004</v>
      </c>
      <c r="H51" s="38">
        <f t="shared" si="2"/>
        <v>1176425.9300000002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3438303</v>
      </c>
      <c r="D56" s="73">
        <f>'DOE25'!G60</f>
        <v>0</v>
      </c>
      <c r="E56" s="73">
        <f>'DOE25'!H60</f>
        <v>0</v>
      </c>
      <c r="F56" s="73">
        <f>'DOE25'!I60</f>
        <v>0</v>
      </c>
      <c r="G56" s="73">
        <f>'DOE25'!J60</f>
        <v>0</v>
      </c>
      <c r="H56" s="13">
        <f t="shared" ref="H56:H63" si="3">SUM(C56:G56)</f>
        <v>3438303</v>
      </c>
      <c r="I56"/>
    </row>
    <row r="57" spans="1:9" x14ac:dyDescent="0.2">
      <c r="A57" s="1" t="s">
        <v>164</v>
      </c>
      <c r="B57" s="6" t="s">
        <v>165</v>
      </c>
      <c r="C57" s="73">
        <f>'DOE25'!F79</f>
        <v>3000.29</v>
      </c>
      <c r="D57" s="23" t="s">
        <v>288</v>
      </c>
      <c r="E57" s="73">
        <f>'DOE25'!H79</f>
        <v>0</v>
      </c>
      <c r="F57" s="23" t="s">
        <v>288</v>
      </c>
      <c r="G57" s="23" t="s">
        <v>288</v>
      </c>
      <c r="H57" s="13">
        <f t="shared" si="3"/>
        <v>3000.29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2832.9500000000003</v>
      </c>
      <c r="D59" s="73">
        <f>'DOE25'!G96</f>
        <v>0</v>
      </c>
      <c r="E59" s="73">
        <f>'DOE25'!H96</f>
        <v>0</v>
      </c>
      <c r="F59" s="73">
        <f>'DOE25'!I96</f>
        <v>0</v>
      </c>
      <c r="G59" s="73">
        <f>'DOE25'!J96</f>
        <v>0</v>
      </c>
      <c r="H59" s="13">
        <f t="shared" si="3"/>
        <v>2832.9500000000003</v>
      </c>
      <c r="I59"/>
    </row>
    <row r="60" spans="1:9" x14ac:dyDescent="0.2">
      <c r="A60" s="1" t="s">
        <v>170</v>
      </c>
      <c r="B60" s="22" t="s">
        <v>171</v>
      </c>
      <c r="C60" s="23" t="s">
        <v>288</v>
      </c>
      <c r="D60" s="73">
        <f>'DOE25'!G97</f>
        <v>82255.509999999995</v>
      </c>
      <c r="E60" s="23" t="s">
        <v>288</v>
      </c>
      <c r="F60" s="23" t="s">
        <v>288</v>
      </c>
      <c r="G60" s="23" t="s">
        <v>288</v>
      </c>
      <c r="H60" s="13">
        <f t="shared" si="3"/>
        <v>82255.509999999995</v>
      </c>
      <c r="I60"/>
    </row>
    <row r="61" spans="1:9" ht="12" thickBot="1" x14ac:dyDescent="0.25">
      <c r="A61" s="1" t="s">
        <v>172</v>
      </c>
      <c r="B61" s="22" t="s">
        <v>173</v>
      </c>
      <c r="C61" s="73">
        <f>SUM('DOE25'!F98:F110)</f>
        <v>159836.93</v>
      </c>
      <c r="D61" s="73">
        <f>SUM('DOE25'!G98:G110)</f>
        <v>1181</v>
      </c>
      <c r="E61" s="73">
        <f>SUM('DOE25'!H98:H110)</f>
        <v>0</v>
      </c>
      <c r="F61" s="73">
        <f>SUM('DOE25'!I98:I110)</f>
        <v>0</v>
      </c>
      <c r="G61" s="73">
        <f>SUM('DOE25'!J98:J110)</f>
        <v>0</v>
      </c>
      <c r="H61" s="13">
        <f t="shared" si="3"/>
        <v>161017.93</v>
      </c>
      <c r="I61"/>
    </row>
    <row r="62" spans="1:9" ht="12.75" thickTop="1" thickBot="1" x14ac:dyDescent="0.25">
      <c r="A62" s="28" t="s">
        <v>174</v>
      </c>
      <c r="B62" s="6"/>
      <c r="C62" s="93">
        <f>SUM(C57:C61)</f>
        <v>165670.16999999998</v>
      </c>
      <c r="D62" s="93">
        <f>SUM(D57:D61)</f>
        <v>83436.509999999995</v>
      </c>
      <c r="E62" s="93">
        <f>SUM(E57:E61)</f>
        <v>0</v>
      </c>
      <c r="F62" s="93">
        <f>SUM(F57:F61)</f>
        <v>0</v>
      </c>
      <c r="G62" s="93">
        <f>SUM(G57:G61)</f>
        <v>0</v>
      </c>
      <c r="H62" s="13">
        <f t="shared" si="3"/>
        <v>249106.68</v>
      </c>
      <c r="I62"/>
    </row>
    <row r="63" spans="1:9" ht="12" thickTop="1" x14ac:dyDescent="0.2">
      <c r="A63" s="28" t="s">
        <v>175</v>
      </c>
      <c r="B63" s="6"/>
      <c r="C63" s="21">
        <f>C56+C62</f>
        <v>3603973.17</v>
      </c>
      <c r="D63" s="21">
        <f>D56+D62</f>
        <v>83436.509999999995</v>
      </c>
      <c r="E63" s="21">
        <f>E56+E62</f>
        <v>0</v>
      </c>
      <c r="F63" s="21">
        <f>F56+F62</f>
        <v>0</v>
      </c>
      <c r="G63" s="21">
        <f>G56+G62</f>
        <v>0</v>
      </c>
      <c r="H63" s="13">
        <f t="shared" si="3"/>
        <v>3687409.6799999997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797979.7</v>
      </c>
      <c r="D66" s="23" t="s">
        <v>288</v>
      </c>
      <c r="E66" s="23" t="s">
        <v>288</v>
      </c>
      <c r="F66" s="23" t="s">
        <v>288</v>
      </c>
      <c r="G66" s="23" t="s">
        <v>288</v>
      </c>
      <c r="H66" s="13">
        <f t="shared" ref="H66:H81" si="4">SUM(C66:G66)</f>
        <v>797979.7</v>
      </c>
      <c r="I66"/>
    </row>
    <row r="67" spans="1:9" x14ac:dyDescent="0.2">
      <c r="A67" s="1" t="s">
        <v>767</v>
      </c>
      <c r="B67" s="6">
        <v>3112</v>
      </c>
      <c r="C67" s="73">
        <f>'DOE25'!F118</f>
        <v>342942</v>
      </c>
      <c r="D67" s="23"/>
      <c r="E67" s="23"/>
      <c r="F67" s="23"/>
      <c r="G67" s="23"/>
      <c r="H67" s="13">
        <f t="shared" si="4"/>
        <v>342942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1241.4100000000001</v>
      </c>
      <c r="D69" s="73">
        <f>'DOE25'!G120</f>
        <v>0</v>
      </c>
      <c r="E69" s="73">
        <f>'DOE25'!H120</f>
        <v>0</v>
      </c>
      <c r="F69" s="73">
        <f>'DOE25'!I120</f>
        <v>0</v>
      </c>
      <c r="G69" s="73">
        <f>'DOE25'!J120</f>
        <v>0</v>
      </c>
      <c r="H69" s="13">
        <f t="shared" si="4"/>
        <v>1241.4100000000001</v>
      </c>
      <c r="I69"/>
    </row>
    <row r="70" spans="1:9" ht="12" thickTop="1" x14ac:dyDescent="0.2">
      <c r="A70" s="28" t="s">
        <v>252</v>
      </c>
      <c r="B70" s="2"/>
      <c r="C70" s="97">
        <f>SUM(C66:C69)</f>
        <v>1142163.1099999999</v>
      </c>
      <c r="D70" s="97">
        <f>D69</f>
        <v>0</v>
      </c>
      <c r="E70" s="97">
        <f>E69</f>
        <v>0</v>
      </c>
      <c r="F70" s="97">
        <f>F69</f>
        <v>0</v>
      </c>
      <c r="G70" s="97">
        <f>G69</f>
        <v>0</v>
      </c>
      <c r="H70" s="13">
        <f t="shared" si="4"/>
        <v>1142163.1099999999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619.61</v>
      </c>
      <c r="E77" s="73">
        <f>SUM('DOE25'!H131:H135)</f>
        <v>0</v>
      </c>
      <c r="F77" s="73">
        <f>SUM('DOE25'!I131:I135)</f>
        <v>0</v>
      </c>
      <c r="G77" s="73">
        <f>SUM('DOE25'!J131:J135)</f>
        <v>0</v>
      </c>
      <c r="H77" s="13">
        <f t="shared" si="4"/>
        <v>619.61</v>
      </c>
      <c r="I77"/>
    </row>
    <row r="78" spans="1:9" ht="12.75" thickTop="1" thickBot="1" x14ac:dyDescent="0.25">
      <c r="A78" s="28" t="s">
        <v>259</v>
      </c>
      <c r="B78" s="6"/>
      <c r="C78" s="93">
        <f>SUM(C72:C77)</f>
        <v>0</v>
      </c>
      <c r="D78" s="93">
        <f>SUM(D72:D77)</f>
        <v>619.61</v>
      </c>
      <c r="E78" s="93">
        <f>SUM(E72:E77)</f>
        <v>0</v>
      </c>
      <c r="F78" s="93">
        <f>SUM(F72:F77)</f>
        <v>0</v>
      </c>
      <c r="G78" s="93">
        <f>SUM(G72:G77)</f>
        <v>0</v>
      </c>
      <c r="H78" s="13">
        <f t="shared" si="4"/>
        <v>619.61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1142163.1099999999</v>
      </c>
      <c r="D81" s="93">
        <f>SUM(D79:D80)+D78+D70</f>
        <v>619.61</v>
      </c>
      <c r="E81" s="93">
        <f>SUM(E79:E80)+E78+E70</f>
        <v>0</v>
      </c>
      <c r="F81" s="93">
        <f>SUM(F79:F80)+F78+F70</f>
        <v>0</v>
      </c>
      <c r="G81" s="93">
        <f>SUM(G79:G80)+G78+G70</f>
        <v>0</v>
      </c>
      <c r="H81" s="93">
        <f t="shared" si="4"/>
        <v>1142782.72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104613.36</v>
      </c>
      <c r="D85" s="73">
        <f>'DOE25'!G147</f>
        <v>0</v>
      </c>
      <c r="E85" s="73">
        <f>'DOE25'!H147</f>
        <v>0</v>
      </c>
      <c r="F85" s="73">
        <f>'DOE25'!I147</f>
        <v>0</v>
      </c>
      <c r="G85" s="23" t="s">
        <v>288</v>
      </c>
      <c r="H85" s="13">
        <f t="shared" ref="H85:H104" si="5">SUM(C85:G85)</f>
        <v>104613.36</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20796.810000000001</v>
      </c>
      <c r="D88" s="252">
        <f>SUM('DOE25'!G153:G162)</f>
        <v>11598.96</v>
      </c>
      <c r="E88" s="252">
        <f>SUM('DOE25'!H153:H162)</f>
        <v>311599.75</v>
      </c>
      <c r="F88" s="252">
        <f>SUM('DOE25'!I153:I162)</f>
        <v>0</v>
      </c>
      <c r="G88" s="23" t="s">
        <v>288</v>
      </c>
      <c r="H88" s="13">
        <f t="shared" si="5"/>
        <v>343995.52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125410.17</v>
      </c>
      <c r="D91" s="94">
        <f>SUM(D85:D90)</f>
        <v>11598.96</v>
      </c>
      <c r="E91" s="94">
        <f>SUM(E85:E90)</f>
        <v>311599.75</v>
      </c>
      <c r="F91" s="94">
        <f>SUM(F85:F90)</f>
        <v>0</v>
      </c>
      <c r="G91" s="23" t="s">
        <v>288</v>
      </c>
      <c r="H91" s="13">
        <f t="shared" si="5"/>
        <v>448608.88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16766.510000000002</v>
      </c>
      <c r="E96" s="73">
        <f>'DOE25'!H180</f>
        <v>0</v>
      </c>
      <c r="F96" s="73">
        <f>'DOE25'!I180</f>
        <v>0</v>
      </c>
      <c r="G96" s="73">
        <f>'DOE25'!J180</f>
        <v>0</v>
      </c>
      <c r="H96" s="13">
        <f t="shared" si="5"/>
        <v>16766.510000000002</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97139.459999999992</v>
      </c>
      <c r="D100" s="73">
        <f>SUM('DOE25'!G187:G188)</f>
        <v>0</v>
      </c>
      <c r="E100" s="73">
        <f>SUM('DOE25'!H187:H188)</f>
        <v>0</v>
      </c>
      <c r="F100" s="73">
        <f>SUM('DOE25'!I187:I188)</f>
        <v>0</v>
      </c>
      <c r="G100" s="23" t="s">
        <v>288</v>
      </c>
      <c r="H100" s="13">
        <f t="shared" si="5"/>
        <v>97139.459999999992</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97139.459999999992</v>
      </c>
      <c r="D103" s="68">
        <f>SUM(D93:D102)</f>
        <v>16766.510000000002</v>
      </c>
      <c r="E103" s="68">
        <f>SUM(E93:E102)</f>
        <v>0</v>
      </c>
      <c r="F103" s="68">
        <f>SUM(F93:F102)</f>
        <v>0</v>
      </c>
      <c r="G103" s="68">
        <f>SUM(G93:G102)</f>
        <v>0</v>
      </c>
      <c r="H103" s="68">
        <f t="shared" si="5"/>
        <v>113905.97</v>
      </c>
    </row>
    <row r="104" spans="1:8" ht="12.75" thickTop="1" thickBot="1" x14ac:dyDescent="0.25">
      <c r="A104" s="32" t="s">
        <v>758</v>
      </c>
      <c r="C104" s="68">
        <f>C63+C81+C91+C103</f>
        <v>4968685.9099999992</v>
      </c>
      <c r="D104" s="68">
        <f>D63+D81+D91+D103</f>
        <v>112421.59</v>
      </c>
      <c r="E104" s="68">
        <f>E63+E81+E91+E103</f>
        <v>311599.75</v>
      </c>
      <c r="F104" s="68">
        <f>F63+F81+F91+F103</f>
        <v>0</v>
      </c>
      <c r="G104" s="68">
        <f>G63+G81+G103</f>
        <v>0</v>
      </c>
      <c r="H104" s="68">
        <f t="shared" si="5"/>
        <v>5392707.2499999991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2284352.8699999996</v>
      </c>
      <c r="D109" s="23" t="s">
        <v>288</v>
      </c>
      <c r="E109" s="73">
        <f>('DOE25'!L277)+('DOE25'!L296)+('DOE25'!L315)</f>
        <v>27438.269999999997</v>
      </c>
      <c r="F109" s="23" t="s">
        <v>288</v>
      </c>
      <c r="G109" s="23" t="s">
        <v>288</v>
      </c>
      <c r="H109" s="13">
        <f t="shared" ref="H109:H115" si="6">SUM(C109:G109)</f>
        <v>2311791.1399999997</v>
      </c>
    </row>
    <row r="110" spans="1:8" x14ac:dyDescent="0.2">
      <c r="A110" t="s">
        <v>198</v>
      </c>
      <c r="B110" s="31" t="s">
        <v>199</v>
      </c>
      <c r="C110" s="73">
        <f>('DOE25'!L199)+('DOE25'!L217)+('DOE25'!L235)</f>
        <v>751307.43</v>
      </c>
      <c r="D110" s="23" t="s">
        <v>288</v>
      </c>
      <c r="E110" s="73">
        <f>('DOE25'!L278)+('DOE25'!L297)+('DOE25'!L316)</f>
        <v>60808.299999999996</v>
      </c>
      <c r="F110" s="23" t="s">
        <v>288</v>
      </c>
      <c r="G110" s="23" t="s">
        <v>288</v>
      </c>
      <c r="H110" s="13">
        <f t="shared" si="6"/>
        <v>812115.7300000001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14206.289999999999</v>
      </c>
      <c r="D112" s="23" t="s">
        <v>288</v>
      </c>
      <c r="E112" s="73">
        <f>+('DOE25'!L280)+('DOE25'!L299)+('DOE25'!L318)</f>
        <v>0</v>
      </c>
      <c r="F112" s="23" t="s">
        <v>288</v>
      </c>
      <c r="G112" s="23" t="s">
        <v>288</v>
      </c>
      <c r="H112" s="13">
        <f t="shared" si="6"/>
        <v>14206.289999999999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3049866.59</v>
      </c>
      <c r="D115" s="68">
        <f>SUM(D109:D114)</f>
        <v>0</v>
      </c>
      <c r="E115" s="68">
        <f>SUM(E109:E114)</f>
        <v>88246.569999999992</v>
      </c>
      <c r="F115" s="68">
        <f>SUM(F109:F114)</f>
        <v>0</v>
      </c>
      <c r="G115" s="68">
        <f>SUM(G109:G114)</f>
        <v>0</v>
      </c>
      <c r="H115" s="68">
        <f t="shared" si="6"/>
        <v>3138113.1599999997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330860.29000000004</v>
      </c>
      <c r="D118" s="23" t="s">
        <v>288</v>
      </c>
      <c r="E118" s="73">
        <f>+('DOE25'!L282)+('DOE25'!L301)+('DOE25'!L320)</f>
        <v>28208.120000000003</v>
      </c>
      <c r="F118" s="23" t="s">
        <v>288</v>
      </c>
      <c r="G118" s="23" t="s">
        <v>288</v>
      </c>
      <c r="H118" s="13">
        <f t="shared" ref="H118:H145" si="7">SUM(C118:G118)</f>
        <v>359068.41000000003</v>
      </c>
    </row>
    <row r="119" spans="1:8" x14ac:dyDescent="0.2">
      <c r="A119" t="s">
        <v>208</v>
      </c>
      <c r="B119" s="31" t="s">
        <v>209</v>
      </c>
      <c r="C119" s="73">
        <f>('DOE25'!L204)+('DOE25'!L222)+('DOE25'!L240)</f>
        <v>107106.96999999999</v>
      </c>
      <c r="D119" s="23" t="s">
        <v>288</v>
      </c>
      <c r="E119" s="73">
        <f>+('DOE25'!L283)+('DOE25'!L302)+('DOE25'!L321)</f>
        <v>49612.539999999994</v>
      </c>
      <c r="F119" s="23" t="s">
        <v>288</v>
      </c>
      <c r="G119" s="23" t="s">
        <v>288</v>
      </c>
      <c r="H119" s="13">
        <f t="shared" si="7"/>
        <v>156719.50999999998</v>
      </c>
    </row>
    <row r="120" spans="1:8" x14ac:dyDescent="0.2">
      <c r="A120" t="s">
        <v>210</v>
      </c>
      <c r="B120" s="31" t="s">
        <v>211</v>
      </c>
      <c r="C120" s="73">
        <f>('DOE25'!L205)+('DOE25'!L223)+('DOE25'!L241)</f>
        <v>361615.16000000003</v>
      </c>
      <c r="D120" s="23" t="s">
        <v>288</v>
      </c>
      <c r="E120" s="73">
        <f>+('DOE25'!L284)+('DOE25'!L303)+('DOE25'!L322)</f>
        <v>9000</v>
      </c>
      <c r="F120" s="23" t="s">
        <v>288</v>
      </c>
      <c r="G120" s="23" t="s">
        <v>288</v>
      </c>
      <c r="H120" s="13">
        <f t="shared" si="7"/>
        <v>370615.16000000003</v>
      </c>
    </row>
    <row r="121" spans="1:8" x14ac:dyDescent="0.2">
      <c r="A121" t="s">
        <v>212</v>
      </c>
      <c r="B121" s="31" t="s">
        <v>213</v>
      </c>
      <c r="C121" s="73">
        <f>('DOE25'!L206)+('DOE25'!L224)+('DOE25'!L242)</f>
        <v>395573.44</v>
      </c>
      <c r="D121" s="23" t="s">
        <v>288</v>
      </c>
      <c r="E121" s="73">
        <f>+('DOE25'!L285)+('DOE25'!L304)+('DOE25'!L323)</f>
        <v>0</v>
      </c>
      <c r="F121" s="23" t="s">
        <v>288</v>
      </c>
      <c r="G121" s="23" t="s">
        <v>288</v>
      </c>
      <c r="H121" s="13">
        <f t="shared" si="7"/>
        <v>395573.44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288331.32</v>
      </c>
      <c r="D123" s="23" t="s">
        <v>288</v>
      </c>
      <c r="E123" s="73">
        <f>+('DOE25'!L287)+('DOE25'!L306)+('DOE25'!L325)</f>
        <v>2096.4900000000007</v>
      </c>
      <c r="F123" s="23" t="s">
        <v>288</v>
      </c>
      <c r="G123" s="23" t="s">
        <v>288</v>
      </c>
      <c r="H123" s="13">
        <f t="shared" si="7"/>
        <v>290427.81</v>
      </c>
    </row>
    <row r="124" spans="1:8" x14ac:dyDescent="0.2">
      <c r="A124" t="s">
        <v>218</v>
      </c>
      <c r="B124" s="31" t="s">
        <v>219</v>
      </c>
      <c r="C124" s="73">
        <f>('DOE25'!L209)+('DOE25'!L227)+('DOE25'!L245+'DOE25'!L255)</f>
        <v>190325.19000000003</v>
      </c>
      <c r="D124" s="23" t="s">
        <v>288</v>
      </c>
      <c r="E124" s="73">
        <f>+('DOE25'!L288)+('DOE25'!L307)+('DOE25'!L326)</f>
        <v>0</v>
      </c>
      <c r="F124" s="23" t="s">
        <v>288</v>
      </c>
      <c r="G124" s="23" t="s">
        <v>288</v>
      </c>
      <c r="H124" s="13">
        <f t="shared" si="7"/>
        <v>190325.19000000003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113737.39</v>
      </c>
      <c r="E127" s="23" t="s">
        <v>288</v>
      </c>
      <c r="F127" s="23" t="s">
        <v>288</v>
      </c>
      <c r="G127" s="23" t="s">
        <v>288</v>
      </c>
      <c r="H127" s="13">
        <f t="shared" si="7"/>
        <v>113737.39</v>
      </c>
    </row>
    <row r="128" spans="1:8" ht="12.75" thickTop="1" thickBot="1" x14ac:dyDescent="0.25">
      <c r="A128" s="32" t="s">
        <v>226</v>
      </c>
      <c r="C128" s="68">
        <f>SUM(C118:C127)</f>
        <v>1673812.37</v>
      </c>
      <c r="D128" s="68">
        <f>SUM(D118:D127)</f>
        <v>113737.39</v>
      </c>
      <c r="E128" s="68">
        <f>SUM(E118:E127)</f>
        <v>88917.150000000009</v>
      </c>
      <c r="F128" s="68">
        <f>SUM(F118:F127)</f>
        <v>0</v>
      </c>
      <c r="G128" s="68">
        <f>SUM(G118:G127)</f>
        <v>0</v>
      </c>
      <c r="H128" s="68">
        <f t="shared" si="7"/>
        <v>1876466.91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166864.83000000002</v>
      </c>
      <c r="D130" s="23" t="s">
        <v>288</v>
      </c>
      <c r="E130" s="92">
        <f>'DOE25'!L337</f>
        <v>134320.34999999998</v>
      </c>
      <c r="F130" s="92">
        <f>SUM('DOE25'!L375:'DOE25'!L381)</f>
        <v>0</v>
      </c>
      <c r="G130" s="23" t="s">
        <v>288</v>
      </c>
      <c r="H130" s="13">
        <f t="shared" si="7"/>
        <v>301185.18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97139.459999999992</v>
      </c>
      <c r="H134" s="13">
        <f t="shared" si="7"/>
        <v>97139.459999999992</v>
      </c>
    </row>
    <row r="135" spans="1:8" x14ac:dyDescent="0.2">
      <c r="A135" t="s">
        <v>233</v>
      </c>
      <c r="B135" s="31" t="s">
        <v>234</v>
      </c>
      <c r="C135" s="73">
        <f>'DOE25'!L264</f>
        <v>16766.510000000002</v>
      </c>
      <c r="D135" s="23" t="s">
        <v>288</v>
      </c>
      <c r="E135" s="92">
        <f>'DOE25'!L346</f>
        <v>0</v>
      </c>
      <c r="F135" s="23" t="s">
        <v>288</v>
      </c>
      <c r="G135" s="23" t="s">
        <v>288</v>
      </c>
      <c r="H135" s="13">
        <f t="shared" si="7"/>
        <v>16766.510000000002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183631.34000000003</v>
      </c>
      <c r="D144" s="98">
        <f>SUM(D130:D143)</f>
        <v>0</v>
      </c>
      <c r="E144" s="98">
        <f>SUM(E130:E143)</f>
        <v>134320.34999999998</v>
      </c>
      <c r="F144" s="98">
        <f>SUM(F130:F143)</f>
        <v>0</v>
      </c>
      <c r="G144" s="98">
        <f>SUM(G130:G143)</f>
        <v>97139.459999999992</v>
      </c>
      <c r="H144" s="98">
        <f t="shared" si="7"/>
        <v>415091.15</v>
      </c>
    </row>
    <row r="145" spans="1:9" ht="12.75" thickTop="1" thickBot="1" x14ac:dyDescent="0.25">
      <c r="A145" s="32" t="s">
        <v>244</v>
      </c>
      <c r="C145" s="68">
        <f>(C115+C128+C144)</f>
        <v>4907310.3</v>
      </c>
      <c r="D145" s="68">
        <f>(D115+D128+D144)</f>
        <v>113737.39</v>
      </c>
      <c r="E145" s="68">
        <f>(E115+E128+E144)</f>
        <v>311484.06999999995</v>
      </c>
      <c r="F145" s="68">
        <f>(F115+F128+F144)</f>
        <v>0</v>
      </c>
      <c r="G145" s="68">
        <f>(G115+G128+G144)</f>
        <v>97139.459999999992</v>
      </c>
      <c r="H145" s="68">
        <f t="shared" si="7"/>
        <v>5429671.2199999997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Cornish</v>
      </c>
    </row>
    <row r="3" spans="1:4" x14ac:dyDescent="0.2">
      <c r="B3" s="136" t="s">
        <v>1792</v>
      </c>
    </row>
    <row r="4" spans="1:4" x14ac:dyDescent="0.2">
      <c r="B4" t="s">
        <v>61</v>
      </c>
      <c r="C4" s="128">
        <f>IF('DOE25'!F666+'DOE25'!F671=0,0,ROUND('DOE25'!F673,0))</f>
        <v>30960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30960</v>
      </c>
    </row>
    <row r="9" spans="1:4" x14ac:dyDescent="0.2">
      <c r="A9" s="135" t="s">
        <v>94</v>
      </c>
      <c r="B9" s="136" t="s">
        <v>1793</v>
      </c>
      <c r="C9" s="130" t="s">
        <v>720</v>
      </c>
      <c r="D9" s="130" t="s">
        <v>721</v>
      </c>
    </row>
    <row r="10" spans="1:4" x14ac:dyDescent="0.2">
      <c r="A10">
        <v>1100</v>
      </c>
      <c r="B10" t="s">
        <v>702</v>
      </c>
      <c r="C10" s="128">
        <f>ROUND('DOE25'!L198+'DOE25'!L216+'DOE25'!L234+'DOE25'!L277+'DOE25'!L296+'DOE25'!L315,0)</f>
        <v>2311791</v>
      </c>
      <c r="D10" s="131">
        <f>ROUND((C10/$C$28)*100,1)</f>
        <v>46.9</v>
      </c>
    </row>
    <row r="11" spans="1:4" x14ac:dyDescent="0.2">
      <c r="A11">
        <v>1200</v>
      </c>
      <c r="B11" t="s">
        <v>703</v>
      </c>
      <c r="C11" s="128">
        <f>ROUND('DOE25'!L199+'DOE25'!L217+'DOE25'!L235+'DOE25'!L278+'DOE25'!L297+'DOE25'!L316,0)</f>
        <v>812116</v>
      </c>
      <c r="D11" s="131">
        <f>ROUND((C11/$C$28)*100,1)</f>
        <v>16.5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14206</v>
      </c>
      <c r="D13" s="131">
        <f>ROUND((C13/$C$28)*100,1)</f>
        <v>0.3</v>
      </c>
    </row>
    <row r="14" spans="1:4" x14ac:dyDescent="0.2">
      <c r="D14" s="131"/>
    </row>
    <row r="15" spans="1:4" x14ac:dyDescent="0.2">
      <c r="A15">
        <v>2100</v>
      </c>
      <c r="B15" t="s">
        <v>706</v>
      </c>
      <c r="C15" s="128">
        <f>ROUND('DOE25'!L203+'DOE25'!L221+'DOE25'!L239+'DOE25'!L282+'DOE25'!L301+'DOE25'!L320,0)</f>
        <v>359068</v>
      </c>
      <c r="D15" s="131">
        <f t="shared" ref="D15:D27" si="0">ROUND((C15/$C$28)*100,1)</f>
        <v>7.3</v>
      </c>
    </row>
    <row r="16" spans="1:4" x14ac:dyDescent="0.2">
      <c r="A16">
        <v>2200</v>
      </c>
      <c r="B16" t="s">
        <v>707</v>
      </c>
      <c r="C16" s="128">
        <f>ROUND('DOE25'!L204+'DOE25'!L222+'DOE25'!L240+'DOE25'!L283+'DOE25'!L302+'DOE25'!L321,0)</f>
        <v>156720</v>
      </c>
      <c r="D16" s="131">
        <f t="shared" si="0"/>
        <v>3.2</v>
      </c>
    </row>
    <row r="17" spans="1:4" x14ac:dyDescent="0.2">
      <c r="A17" s="132" t="s">
        <v>723</v>
      </c>
      <c r="B17" t="s">
        <v>738</v>
      </c>
      <c r="C17" s="128">
        <f>ROUND('DOE25'!L205+'DOE25'!L210+'DOE25'!L223+'DOE25'!L228+'DOE25'!L241+'DOE25'!L246+'DOE25'!L284+'DOE25'!L289+'DOE25'!L303+'DOE25'!L308+'DOE25'!L322+'DOE25'!L327,0)</f>
        <v>370615</v>
      </c>
      <c r="D17" s="131">
        <f t="shared" si="0"/>
        <v>7.5</v>
      </c>
    </row>
    <row r="18" spans="1:4" x14ac:dyDescent="0.2">
      <c r="A18">
        <v>2400</v>
      </c>
      <c r="B18" t="s">
        <v>711</v>
      </c>
      <c r="C18" s="128">
        <f>ROUND('DOE25'!L206+'DOE25'!L224+'DOE25'!L242+'DOE25'!L285+'DOE25'!L304+'DOE25'!L323,0)</f>
        <v>395573</v>
      </c>
      <c r="D18" s="131">
        <f t="shared" si="0"/>
        <v>8</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290428</v>
      </c>
      <c r="D20" s="131">
        <f t="shared" si="0"/>
        <v>5.9</v>
      </c>
    </row>
    <row r="21" spans="1:4" x14ac:dyDescent="0.2">
      <c r="A21">
        <v>2700</v>
      </c>
      <c r="B21" t="s">
        <v>710</v>
      </c>
      <c r="C21" s="128">
        <f>ROUND('DOE25'!L209+'DOE25'!L227+'DOE25'!L245+'DOE25'!L288+'DOE25'!L307+'DOE25'!L326,0)</f>
        <v>190325</v>
      </c>
      <c r="D21" s="131">
        <f t="shared" si="0"/>
        <v>3.9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30300.490000000005</v>
      </c>
      <c r="D27" s="131">
        <f t="shared" si="0"/>
        <v>0.6</v>
      </c>
    </row>
    <row r="28" spans="1:4" x14ac:dyDescent="0.2">
      <c r="B28" s="135" t="s">
        <v>719</v>
      </c>
      <c r="C28" s="129">
        <f>SUM(C10:C27)</f>
        <v>4931142.49</v>
      </c>
      <c r="D28" s="133">
        <f>ROUND(SUM(D10:D27),0)</f>
        <v>100</v>
      </c>
    </row>
    <row r="29" spans="1:4" x14ac:dyDescent="0.2">
      <c r="A29">
        <v>4000</v>
      </c>
      <c r="B29" t="s">
        <v>724</v>
      </c>
      <c r="C29" s="128">
        <f>ROUND('DOE25'!L256+'DOE25'!L337+'DOE25'!L375+'DOE25'!L376+'DOE25'!L377+'DOE25'!L378+'DOE25'!L379+'DOE25'!L380+'DOE25'!L381,0)</f>
        <v>301185</v>
      </c>
    </row>
    <row r="30" spans="1:4" x14ac:dyDescent="0.2">
      <c r="B30" s="135" t="s">
        <v>725</v>
      </c>
      <c r="C30" s="129">
        <f>SUM(C28:C29)</f>
        <v>5232327.49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3438303</v>
      </c>
      <c r="D35" s="131">
        <f t="shared" ref="D35:D40" si="1">ROUND((C35/$C$41)*100,1)</f>
        <v>66.2</v>
      </c>
    </row>
    <row r="36" spans="1:4" x14ac:dyDescent="0.2">
      <c r="B36" s="71" t="s">
        <v>739</v>
      </c>
      <c r="C36" s="128">
        <f>SUM('DOE25'!F112:J112)-SUM('DOE25'!G97:G110)+('DOE25'!F175+'DOE25'!F176+'DOE25'!I175+'DOE25'!I176)-C35</f>
        <v>165670.16999999993</v>
      </c>
      <c r="D36" s="131">
        <f t="shared" si="1"/>
        <v>3.2</v>
      </c>
    </row>
    <row r="37" spans="1:4" x14ac:dyDescent="0.2">
      <c r="A37" s="132" t="s">
        <v>831</v>
      </c>
      <c r="B37" s="71" t="s">
        <v>728</v>
      </c>
      <c r="C37" s="128">
        <f>ROUND('DOE25'!F117+'DOE25'!F118,0)</f>
        <v>1140922</v>
      </c>
      <c r="D37" s="131">
        <f t="shared" si="1"/>
        <v>22</v>
      </c>
    </row>
    <row r="38" spans="1:4" x14ac:dyDescent="0.2">
      <c r="A38" s="132" t="s">
        <v>734</v>
      </c>
      <c r="B38" s="71" t="s">
        <v>729</v>
      </c>
      <c r="C38" s="128">
        <f>ROUND(SUM('DOE25'!F140:J140)-SUM('DOE25'!F117:F119),0)</f>
        <v>1861</v>
      </c>
      <c r="D38" s="131">
        <f t="shared" si="1"/>
        <v>0</v>
      </c>
    </row>
    <row r="39" spans="1:4" x14ac:dyDescent="0.2">
      <c r="A39">
        <v>4000</v>
      </c>
      <c r="B39" s="71" t="s">
        <v>730</v>
      </c>
      <c r="C39" s="128">
        <f>ROUND('DOE25'!F170+'DOE25'!G170+'DOE25'!H170+'DOE25'!I170,0)</f>
        <v>448609</v>
      </c>
      <c r="D39" s="131">
        <f t="shared" si="1"/>
        <v>8.6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5195365.17</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6" sqref="A6"/>
    </sheetView>
  </sheetViews>
  <sheetFormatPr defaultRowHeight="11.25" x14ac:dyDescent="0.2"/>
  <cols>
    <col min="1" max="1" width="10.33203125" customWidth="1"/>
    <col min="14" max="14" width="6.1640625" customWidth="1"/>
  </cols>
  <sheetData>
    <row r="1" spans="1:13" ht="16.5" thickTop="1" x14ac:dyDescent="0.25">
      <c r="A1" s="337" t="s">
        <v>763</v>
      </c>
      <c r="B1" s="338"/>
      <c r="C1" s="338"/>
      <c r="D1" s="338"/>
      <c r="E1" s="338"/>
      <c r="F1" s="338"/>
      <c r="G1" s="338"/>
      <c r="H1" s="338"/>
      <c r="I1" s="338"/>
      <c r="J1" s="154"/>
      <c r="K1" s="154"/>
      <c r="L1" s="154"/>
      <c r="M1" s="155"/>
    </row>
    <row r="2" spans="1:13" ht="12.75" x14ac:dyDescent="0.2">
      <c r="A2" s="342" t="s">
        <v>760</v>
      </c>
      <c r="B2" s="343"/>
      <c r="C2" s="343"/>
      <c r="D2" s="343"/>
      <c r="E2" s="343"/>
      <c r="F2" s="340" t="str">
        <f>'DOE25'!A2</f>
        <v>Cornish</v>
      </c>
      <c r="G2" s="341"/>
      <c r="H2" s="341"/>
      <c r="I2" s="341"/>
      <c r="M2" s="156"/>
    </row>
    <row r="3" spans="1:13" x14ac:dyDescent="0.2">
      <c r="A3" s="157" t="s">
        <v>761</v>
      </c>
      <c r="B3" s="130" t="s">
        <v>762</v>
      </c>
      <c r="C3" s="326" t="s">
        <v>764</v>
      </c>
      <c r="D3" s="326"/>
      <c r="E3" s="326"/>
      <c r="F3" s="326"/>
      <c r="G3" s="326"/>
      <c r="H3" s="326"/>
      <c r="I3" s="326"/>
      <c r="J3" s="326"/>
      <c r="K3" s="326"/>
      <c r="L3" s="326"/>
      <c r="M3" s="339"/>
    </row>
    <row r="4" spans="1:13" x14ac:dyDescent="0.2">
      <c r="A4" s="158">
        <v>5</v>
      </c>
      <c r="B4" s="149">
        <v>2</v>
      </c>
      <c r="C4" s="334" t="s">
        <v>1841</v>
      </c>
      <c r="D4" s="334"/>
      <c r="E4" s="334"/>
      <c r="F4" s="334"/>
      <c r="G4" s="334"/>
      <c r="H4" s="334"/>
      <c r="I4" s="334"/>
      <c r="J4" s="334"/>
      <c r="K4" s="334"/>
      <c r="L4" s="334"/>
      <c r="M4" s="336"/>
    </row>
    <row r="5" spans="1:13" x14ac:dyDescent="0.2">
      <c r="A5" s="158">
        <v>21</v>
      </c>
      <c r="B5" s="149" t="s">
        <v>1842</v>
      </c>
      <c r="C5" s="334" t="s">
        <v>1843</v>
      </c>
      <c r="D5" s="334"/>
      <c r="E5" s="334"/>
      <c r="F5" s="334"/>
      <c r="G5" s="334"/>
      <c r="H5" s="334"/>
      <c r="I5" s="334"/>
      <c r="J5" s="334"/>
      <c r="K5" s="334"/>
      <c r="L5" s="334"/>
      <c r="M5" s="336"/>
    </row>
    <row r="6" spans="1:13" x14ac:dyDescent="0.2">
      <c r="A6" s="158"/>
      <c r="B6" s="149"/>
      <c r="C6" s="334"/>
      <c r="D6" s="334"/>
      <c r="E6" s="334"/>
      <c r="F6" s="334"/>
      <c r="G6" s="334"/>
      <c r="H6" s="334"/>
      <c r="I6" s="334"/>
      <c r="J6" s="334"/>
      <c r="K6" s="334"/>
      <c r="L6" s="334"/>
      <c r="M6" s="336"/>
    </row>
    <row r="7" spans="1:13" x14ac:dyDescent="0.2">
      <c r="A7" s="158"/>
      <c r="B7" s="149"/>
      <c r="C7" s="334"/>
      <c r="D7" s="334"/>
      <c r="E7" s="334"/>
      <c r="F7" s="334"/>
      <c r="G7" s="334"/>
      <c r="H7" s="334"/>
      <c r="I7" s="334"/>
      <c r="J7" s="334"/>
      <c r="K7" s="334"/>
      <c r="L7" s="334"/>
      <c r="M7" s="336"/>
    </row>
    <row r="8" spans="1:13" x14ac:dyDescent="0.2">
      <c r="A8" s="158"/>
      <c r="B8" s="149"/>
      <c r="C8" s="334"/>
      <c r="D8" s="334"/>
      <c r="E8" s="334"/>
      <c r="F8" s="334"/>
      <c r="G8" s="334"/>
      <c r="H8" s="334"/>
      <c r="I8" s="334"/>
      <c r="J8" s="334"/>
      <c r="K8" s="334"/>
      <c r="L8" s="334"/>
      <c r="M8" s="336"/>
    </row>
    <row r="9" spans="1:13" x14ac:dyDescent="0.2">
      <c r="A9" s="158"/>
      <c r="B9" s="149"/>
      <c r="C9" s="334"/>
      <c r="D9" s="334"/>
      <c r="E9" s="334"/>
      <c r="F9" s="334"/>
      <c r="G9" s="334"/>
      <c r="H9" s="334"/>
      <c r="I9" s="334"/>
      <c r="J9" s="334"/>
      <c r="K9" s="334"/>
      <c r="L9" s="334"/>
      <c r="M9" s="336"/>
    </row>
    <row r="10" spans="1:13" x14ac:dyDescent="0.2">
      <c r="A10" s="158"/>
      <c r="B10" s="149"/>
      <c r="C10" s="334"/>
      <c r="D10" s="334"/>
      <c r="E10" s="334"/>
      <c r="F10" s="334"/>
      <c r="G10" s="334"/>
      <c r="H10" s="334"/>
      <c r="I10" s="334"/>
      <c r="J10" s="334"/>
      <c r="K10" s="334"/>
      <c r="L10" s="334"/>
      <c r="M10" s="336"/>
    </row>
    <row r="11" spans="1:13" x14ac:dyDescent="0.2">
      <c r="A11" s="158"/>
      <c r="B11" s="149"/>
      <c r="C11" s="334"/>
      <c r="D11" s="334"/>
      <c r="E11" s="334"/>
      <c r="F11" s="334"/>
      <c r="G11" s="334"/>
      <c r="H11" s="334"/>
      <c r="I11" s="334"/>
      <c r="J11" s="334"/>
      <c r="K11" s="334"/>
      <c r="L11" s="334"/>
      <c r="M11" s="336"/>
    </row>
    <row r="12" spans="1:13" x14ac:dyDescent="0.2">
      <c r="A12" s="158"/>
      <c r="B12" s="149"/>
      <c r="C12" s="334"/>
      <c r="D12" s="334"/>
      <c r="E12" s="334"/>
      <c r="F12" s="334"/>
      <c r="G12" s="334"/>
      <c r="H12" s="334"/>
      <c r="I12" s="334"/>
      <c r="J12" s="334"/>
      <c r="K12" s="334"/>
      <c r="L12" s="334"/>
      <c r="M12" s="336"/>
    </row>
    <row r="13" spans="1:13" x14ac:dyDescent="0.2">
      <c r="A13" s="158"/>
      <c r="B13" s="149"/>
      <c r="C13" s="334"/>
      <c r="D13" s="334"/>
      <c r="E13" s="334"/>
      <c r="F13" s="334"/>
      <c r="G13" s="334"/>
      <c r="H13" s="334"/>
      <c r="I13" s="334"/>
      <c r="J13" s="334"/>
      <c r="K13" s="334"/>
      <c r="L13" s="334"/>
      <c r="M13" s="336"/>
    </row>
    <row r="14" spans="1:13" x14ac:dyDescent="0.2">
      <c r="A14" s="158"/>
      <c r="B14" s="149"/>
      <c r="C14" s="334"/>
      <c r="D14" s="334"/>
      <c r="E14" s="334"/>
      <c r="F14" s="334"/>
      <c r="G14" s="334"/>
      <c r="H14" s="334"/>
      <c r="I14" s="334"/>
      <c r="J14" s="334"/>
      <c r="K14" s="334"/>
      <c r="L14" s="334"/>
      <c r="M14" s="336"/>
    </row>
    <row r="15" spans="1:13" x14ac:dyDescent="0.2">
      <c r="A15" s="158"/>
      <c r="B15" s="149"/>
      <c r="C15" s="334"/>
      <c r="D15" s="334"/>
      <c r="E15" s="334"/>
      <c r="F15" s="334"/>
      <c r="G15" s="334"/>
      <c r="H15" s="334"/>
      <c r="I15" s="334"/>
      <c r="J15" s="334"/>
      <c r="K15" s="334"/>
      <c r="L15" s="334"/>
      <c r="M15" s="336"/>
    </row>
    <row r="16" spans="1:13" x14ac:dyDescent="0.2">
      <c r="A16" s="158"/>
      <c r="B16" s="149"/>
      <c r="C16" s="334"/>
      <c r="D16" s="334"/>
      <c r="E16" s="334"/>
      <c r="F16" s="334"/>
      <c r="G16" s="334"/>
      <c r="H16" s="334"/>
      <c r="I16" s="334"/>
      <c r="J16" s="334"/>
      <c r="K16" s="334"/>
      <c r="L16" s="334"/>
      <c r="M16" s="336"/>
    </row>
    <row r="17" spans="1:256" x14ac:dyDescent="0.2">
      <c r="A17" s="158"/>
      <c r="B17" s="149"/>
      <c r="C17" s="334"/>
      <c r="D17" s="334"/>
      <c r="E17" s="334"/>
      <c r="F17" s="334"/>
      <c r="G17" s="334"/>
      <c r="H17" s="334"/>
      <c r="I17" s="334"/>
      <c r="J17" s="334"/>
      <c r="K17" s="334"/>
      <c r="L17" s="334"/>
      <c r="M17" s="336"/>
    </row>
    <row r="18" spans="1:256" x14ac:dyDescent="0.2">
      <c r="A18" s="158"/>
      <c r="B18" s="149"/>
      <c r="C18" s="334"/>
      <c r="D18" s="334"/>
      <c r="E18" s="334"/>
      <c r="F18" s="334"/>
      <c r="G18" s="334"/>
      <c r="H18" s="334"/>
      <c r="I18" s="334"/>
      <c r="J18" s="334"/>
      <c r="K18" s="334"/>
      <c r="L18" s="334"/>
      <c r="M18" s="336"/>
    </row>
    <row r="19" spans="1:256" x14ac:dyDescent="0.2">
      <c r="A19" s="158"/>
      <c r="B19" s="149"/>
      <c r="C19" s="334"/>
      <c r="D19" s="334"/>
      <c r="E19" s="334"/>
      <c r="F19" s="334"/>
      <c r="G19" s="334"/>
      <c r="H19" s="334"/>
      <c r="I19" s="334"/>
      <c r="J19" s="334"/>
      <c r="K19" s="334"/>
      <c r="L19" s="334"/>
      <c r="M19" s="336"/>
    </row>
    <row r="20" spans="1:256" x14ac:dyDescent="0.2">
      <c r="A20" s="158"/>
      <c r="B20" s="149"/>
      <c r="C20" s="334"/>
      <c r="D20" s="334"/>
      <c r="E20" s="334"/>
      <c r="F20" s="334"/>
      <c r="G20" s="334"/>
      <c r="H20" s="334"/>
      <c r="I20" s="334"/>
      <c r="J20" s="334"/>
      <c r="K20" s="334"/>
      <c r="L20" s="334"/>
      <c r="M20" s="336"/>
    </row>
    <row r="21" spans="1:256" x14ac:dyDescent="0.2">
      <c r="A21" s="158"/>
      <c r="B21" s="149"/>
      <c r="C21" s="334"/>
      <c r="D21" s="334"/>
      <c r="E21" s="334"/>
      <c r="F21" s="334"/>
      <c r="G21" s="334"/>
      <c r="H21" s="334"/>
      <c r="I21" s="334"/>
      <c r="J21" s="334"/>
      <c r="K21" s="334"/>
      <c r="L21" s="334"/>
      <c r="M21" s="336"/>
    </row>
    <row r="22" spans="1:256" x14ac:dyDescent="0.2">
      <c r="A22" s="158"/>
      <c r="B22" s="149"/>
      <c r="C22" s="334"/>
      <c r="D22" s="334"/>
      <c r="E22" s="334"/>
      <c r="F22" s="334"/>
      <c r="G22" s="334"/>
      <c r="H22" s="334"/>
      <c r="I22" s="334"/>
      <c r="J22" s="334"/>
      <c r="K22" s="334"/>
      <c r="L22" s="334"/>
      <c r="M22" s="336"/>
    </row>
    <row r="23" spans="1:256" x14ac:dyDescent="0.2">
      <c r="A23" s="158"/>
      <c r="B23" s="149"/>
      <c r="C23" s="334"/>
      <c r="D23" s="334"/>
      <c r="E23" s="334"/>
      <c r="F23" s="334"/>
      <c r="G23" s="334"/>
      <c r="H23" s="334"/>
      <c r="I23" s="334"/>
      <c r="J23" s="334"/>
      <c r="K23" s="334"/>
      <c r="L23" s="334"/>
      <c r="M23" s="336"/>
    </row>
    <row r="24" spans="1:256" x14ac:dyDescent="0.2">
      <c r="A24" s="158"/>
      <c r="B24" s="149"/>
      <c r="C24" s="334"/>
      <c r="D24" s="334"/>
      <c r="E24" s="334"/>
      <c r="F24" s="334"/>
      <c r="G24" s="334"/>
      <c r="H24" s="334"/>
      <c r="I24" s="334"/>
      <c r="J24" s="334"/>
      <c r="K24" s="334"/>
      <c r="L24" s="334"/>
      <c r="M24" s="336"/>
    </row>
    <row r="25" spans="1:256" x14ac:dyDescent="0.2">
      <c r="A25" s="158"/>
      <c r="B25" s="149"/>
      <c r="C25" s="334"/>
      <c r="D25" s="334"/>
      <c r="E25" s="334"/>
      <c r="F25" s="334"/>
      <c r="G25" s="334"/>
      <c r="H25" s="334"/>
      <c r="I25" s="334"/>
      <c r="J25" s="334"/>
      <c r="K25" s="334"/>
      <c r="L25" s="334"/>
      <c r="M25" s="336"/>
    </row>
    <row r="26" spans="1:256" x14ac:dyDescent="0.2">
      <c r="A26" s="158"/>
      <c r="B26" s="149"/>
      <c r="C26" s="334"/>
      <c r="D26" s="334"/>
      <c r="E26" s="334"/>
      <c r="F26" s="334"/>
      <c r="G26" s="334"/>
      <c r="H26" s="334"/>
      <c r="I26" s="334"/>
      <c r="J26" s="334"/>
      <c r="K26" s="334"/>
      <c r="L26" s="334"/>
      <c r="M26" s="336"/>
    </row>
    <row r="27" spans="1:256" x14ac:dyDescent="0.2">
      <c r="A27" s="158"/>
      <c r="B27" s="149"/>
      <c r="C27" s="334"/>
      <c r="D27" s="334"/>
      <c r="E27" s="334"/>
      <c r="F27" s="334"/>
      <c r="G27" s="334"/>
      <c r="H27" s="334"/>
      <c r="I27" s="334"/>
      <c r="J27" s="334"/>
      <c r="K27" s="334"/>
      <c r="L27" s="334"/>
      <c r="M27" s="336"/>
    </row>
    <row r="28" spans="1:256" x14ac:dyDescent="0.2">
      <c r="A28" s="158"/>
      <c r="B28" s="149"/>
      <c r="C28" s="334"/>
      <c r="D28" s="334"/>
      <c r="E28" s="334"/>
      <c r="F28" s="334"/>
      <c r="G28" s="334"/>
      <c r="H28" s="334"/>
      <c r="I28" s="334"/>
      <c r="J28" s="334"/>
      <c r="K28" s="334"/>
      <c r="L28" s="334"/>
      <c r="M28" s="336"/>
    </row>
    <row r="29" spans="1:256" x14ac:dyDescent="0.2">
      <c r="A29" s="158"/>
      <c r="B29" s="149"/>
      <c r="C29" s="334"/>
      <c r="D29" s="334"/>
      <c r="E29" s="334"/>
      <c r="F29" s="334"/>
      <c r="G29" s="334"/>
      <c r="H29" s="334"/>
      <c r="I29" s="334"/>
      <c r="J29" s="334"/>
      <c r="K29" s="334"/>
      <c r="L29" s="334"/>
      <c r="M29" s="336"/>
      <c r="N29" s="152"/>
      <c r="O29" s="152"/>
      <c r="P29" s="335"/>
      <c r="Q29" s="335"/>
      <c r="R29" s="335"/>
      <c r="S29" s="335"/>
      <c r="T29" s="335"/>
      <c r="U29" s="335"/>
      <c r="V29" s="335"/>
      <c r="W29" s="335"/>
      <c r="X29" s="335"/>
      <c r="Y29" s="335"/>
      <c r="Z29" s="335"/>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6"/>
      <c r="N30" s="152"/>
      <c r="O30" s="152"/>
      <c r="P30" s="335"/>
      <c r="Q30" s="335"/>
      <c r="R30" s="335"/>
      <c r="S30" s="335"/>
      <c r="T30" s="335"/>
      <c r="U30" s="335"/>
      <c r="V30" s="335"/>
      <c r="W30" s="335"/>
      <c r="X30" s="335"/>
      <c r="Y30" s="335"/>
      <c r="Z30" s="335"/>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6"/>
      <c r="N31" s="152"/>
      <c r="O31" s="152"/>
      <c r="P31" s="335"/>
      <c r="Q31" s="335"/>
      <c r="R31" s="335"/>
      <c r="S31" s="335"/>
      <c r="T31" s="335"/>
      <c r="U31" s="335"/>
      <c r="V31" s="335"/>
      <c r="W31" s="335"/>
      <c r="X31" s="335"/>
      <c r="Y31" s="335"/>
      <c r="Z31" s="335"/>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6"/>
      <c r="N32" s="152"/>
      <c r="O32" s="152"/>
      <c r="P32" s="335"/>
      <c r="Q32" s="335"/>
      <c r="R32" s="335"/>
      <c r="S32" s="335"/>
      <c r="T32" s="335"/>
      <c r="U32" s="335"/>
      <c r="V32" s="335"/>
      <c r="W32" s="335"/>
      <c r="X32" s="335"/>
      <c r="Y32" s="335"/>
      <c r="Z32" s="344"/>
      <c r="AA32" s="158"/>
      <c r="AB32" s="149"/>
      <c r="AC32" s="334"/>
      <c r="AD32" s="334"/>
      <c r="AE32" s="334"/>
      <c r="AF32" s="334"/>
      <c r="AG32" s="334"/>
      <c r="AH32" s="334"/>
      <c r="AI32" s="334"/>
      <c r="AJ32" s="334"/>
      <c r="AK32" s="334"/>
      <c r="AL32" s="334"/>
      <c r="AM32" s="336"/>
      <c r="AN32" s="158"/>
      <c r="AO32" s="149"/>
      <c r="AP32" s="334"/>
      <c r="AQ32" s="334"/>
      <c r="AR32" s="334"/>
      <c r="AS32" s="334"/>
      <c r="AT32" s="334"/>
      <c r="AU32" s="334"/>
      <c r="AV32" s="334"/>
      <c r="AW32" s="334"/>
      <c r="AX32" s="334"/>
      <c r="AY32" s="334"/>
      <c r="AZ32" s="336"/>
      <c r="BA32" s="158"/>
      <c r="BB32" s="149"/>
      <c r="BC32" s="334"/>
      <c r="BD32" s="334"/>
      <c r="BE32" s="334"/>
      <c r="BF32" s="334"/>
      <c r="BG32" s="334"/>
      <c r="BH32" s="334"/>
      <c r="BI32" s="334"/>
      <c r="BJ32" s="334"/>
      <c r="BK32" s="334"/>
      <c r="BL32" s="334"/>
      <c r="BM32" s="336"/>
      <c r="BN32" s="158"/>
      <c r="BO32" s="149"/>
      <c r="BP32" s="334"/>
      <c r="BQ32" s="334"/>
      <c r="BR32" s="334"/>
      <c r="BS32" s="334"/>
      <c r="BT32" s="334"/>
      <c r="BU32" s="334"/>
      <c r="BV32" s="334"/>
      <c r="BW32" s="334"/>
      <c r="BX32" s="334"/>
      <c r="BY32" s="334"/>
      <c r="BZ32" s="336"/>
      <c r="CA32" s="158"/>
      <c r="CB32" s="149"/>
      <c r="CC32" s="334"/>
      <c r="CD32" s="334"/>
      <c r="CE32" s="334"/>
      <c r="CF32" s="334"/>
      <c r="CG32" s="334"/>
      <c r="CH32" s="334"/>
      <c r="CI32" s="334"/>
      <c r="CJ32" s="334"/>
      <c r="CK32" s="334"/>
      <c r="CL32" s="334"/>
      <c r="CM32" s="336"/>
      <c r="CN32" s="158"/>
      <c r="CO32" s="149"/>
      <c r="CP32" s="334"/>
      <c r="CQ32" s="334"/>
      <c r="CR32" s="334"/>
      <c r="CS32" s="334"/>
      <c r="CT32" s="334"/>
      <c r="CU32" s="334"/>
      <c r="CV32" s="334"/>
      <c r="CW32" s="334"/>
      <c r="CX32" s="334"/>
      <c r="CY32" s="334"/>
      <c r="CZ32" s="336"/>
      <c r="DA32" s="158"/>
      <c r="DB32" s="149"/>
      <c r="DC32" s="334"/>
      <c r="DD32" s="334"/>
      <c r="DE32" s="334"/>
      <c r="DF32" s="334"/>
      <c r="DG32" s="334"/>
      <c r="DH32" s="334"/>
      <c r="DI32" s="334"/>
      <c r="DJ32" s="334"/>
      <c r="DK32" s="334"/>
      <c r="DL32" s="334"/>
      <c r="DM32" s="336"/>
      <c r="DN32" s="158"/>
      <c r="DO32" s="149"/>
      <c r="DP32" s="334"/>
      <c r="DQ32" s="334"/>
      <c r="DR32" s="334"/>
      <c r="DS32" s="334"/>
      <c r="DT32" s="334"/>
      <c r="DU32" s="334"/>
      <c r="DV32" s="334"/>
      <c r="DW32" s="334"/>
      <c r="DX32" s="334"/>
      <c r="DY32" s="334"/>
      <c r="DZ32" s="336"/>
      <c r="EA32" s="158"/>
      <c r="EB32" s="149"/>
      <c r="EC32" s="334"/>
      <c r="ED32" s="334"/>
      <c r="EE32" s="334"/>
      <c r="EF32" s="334"/>
      <c r="EG32" s="334"/>
      <c r="EH32" s="334"/>
      <c r="EI32" s="334"/>
      <c r="EJ32" s="334"/>
      <c r="EK32" s="334"/>
      <c r="EL32" s="334"/>
      <c r="EM32" s="336"/>
      <c r="EN32" s="158"/>
      <c r="EO32" s="149"/>
      <c r="EP32" s="334"/>
      <c r="EQ32" s="334"/>
      <c r="ER32" s="334"/>
      <c r="ES32" s="334"/>
      <c r="ET32" s="334"/>
      <c r="EU32" s="334"/>
      <c r="EV32" s="334"/>
      <c r="EW32" s="334"/>
      <c r="EX32" s="334"/>
      <c r="EY32" s="334"/>
      <c r="EZ32" s="336"/>
      <c r="FA32" s="158"/>
      <c r="FB32" s="149"/>
      <c r="FC32" s="334"/>
      <c r="FD32" s="334"/>
      <c r="FE32" s="334"/>
      <c r="FF32" s="334"/>
      <c r="FG32" s="334"/>
      <c r="FH32" s="334"/>
      <c r="FI32" s="334"/>
      <c r="FJ32" s="334"/>
      <c r="FK32" s="334"/>
      <c r="FL32" s="334"/>
      <c r="FM32" s="336"/>
      <c r="FN32" s="158"/>
      <c r="FO32" s="149"/>
      <c r="FP32" s="334"/>
      <c r="FQ32" s="334"/>
      <c r="FR32" s="334"/>
      <c r="FS32" s="334"/>
      <c r="FT32" s="334"/>
      <c r="FU32" s="334"/>
      <c r="FV32" s="334"/>
      <c r="FW32" s="334"/>
      <c r="FX32" s="334"/>
      <c r="FY32" s="334"/>
      <c r="FZ32" s="336"/>
      <c r="GA32" s="158"/>
      <c r="GB32" s="149"/>
      <c r="GC32" s="334"/>
      <c r="GD32" s="334"/>
      <c r="GE32" s="334"/>
      <c r="GF32" s="334"/>
      <c r="GG32" s="334"/>
      <c r="GH32" s="334"/>
      <c r="GI32" s="334"/>
      <c r="GJ32" s="334"/>
      <c r="GK32" s="334"/>
      <c r="GL32" s="334"/>
      <c r="GM32" s="336"/>
      <c r="GN32" s="158"/>
      <c r="GO32" s="149"/>
      <c r="GP32" s="334"/>
      <c r="GQ32" s="334"/>
      <c r="GR32" s="334"/>
      <c r="GS32" s="334"/>
      <c r="GT32" s="334"/>
      <c r="GU32" s="334"/>
      <c r="GV32" s="334"/>
      <c r="GW32" s="334"/>
      <c r="GX32" s="334"/>
      <c r="GY32" s="334"/>
      <c r="GZ32" s="336"/>
      <c r="HA32" s="158"/>
      <c r="HB32" s="149"/>
      <c r="HC32" s="334"/>
      <c r="HD32" s="334"/>
      <c r="HE32" s="334"/>
      <c r="HF32" s="334"/>
      <c r="HG32" s="334"/>
      <c r="HH32" s="334"/>
      <c r="HI32" s="334"/>
      <c r="HJ32" s="334"/>
      <c r="HK32" s="334"/>
      <c r="HL32" s="334"/>
      <c r="HM32" s="336"/>
      <c r="HN32" s="158"/>
      <c r="HO32" s="149"/>
      <c r="HP32" s="334"/>
      <c r="HQ32" s="334"/>
      <c r="HR32" s="334"/>
      <c r="HS32" s="334"/>
      <c r="HT32" s="334"/>
      <c r="HU32" s="334"/>
      <c r="HV32" s="334"/>
      <c r="HW32" s="334"/>
      <c r="HX32" s="334"/>
      <c r="HY32" s="334"/>
      <c r="HZ32" s="336"/>
      <c r="IA32" s="158"/>
      <c r="IB32" s="149"/>
      <c r="IC32" s="334"/>
      <c r="ID32" s="334"/>
      <c r="IE32" s="334"/>
      <c r="IF32" s="334"/>
      <c r="IG32" s="334"/>
      <c r="IH32" s="334"/>
      <c r="II32" s="334"/>
      <c r="IJ32" s="334"/>
      <c r="IK32" s="334"/>
      <c r="IL32" s="334"/>
      <c r="IM32" s="336"/>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6"/>
      <c r="N38" s="152"/>
      <c r="O38" s="152"/>
      <c r="P38" s="335"/>
      <c r="Q38" s="335"/>
      <c r="R38" s="335"/>
      <c r="S38" s="335"/>
      <c r="T38" s="335"/>
      <c r="U38" s="335"/>
      <c r="V38" s="335"/>
      <c r="W38" s="335"/>
      <c r="X38" s="335"/>
      <c r="Y38" s="335"/>
      <c r="Z38" s="335"/>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6"/>
      <c r="N39" s="152"/>
      <c r="O39" s="152"/>
      <c r="P39" s="335"/>
      <c r="Q39" s="335"/>
      <c r="R39" s="335"/>
      <c r="S39" s="335"/>
      <c r="T39" s="335"/>
      <c r="U39" s="335"/>
      <c r="V39" s="335"/>
      <c r="W39" s="335"/>
      <c r="X39" s="335"/>
      <c r="Y39" s="335"/>
      <c r="Z39" s="335"/>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6"/>
      <c r="N40" s="152"/>
      <c r="O40" s="152"/>
      <c r="P40" s="335"/>
      <c r="Q40" s="335"/>
      <c r="R40" s="335"/>
      <c r="S40" s="335"/>
      <c r="T40" s="335"/>
      <c r="U40" s="335"/>
      <c r="V40" s="335"/>
      <c r="W40" s="335"/>
      <c r="X40" s="335"/>
      <c r="Y40" s="335"/>
      <c r="Z40" s="335"/>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6"/>
    </row>
    <row r="51" spans="1:256" x14ac:dyDescent="0.2">
      <c r="A51" s="158"/>
      <c r="B51" s="149"/>
      <c r="C51" s="334"/>
      <c r="D51" s="334"/>
      <c r="E51" s="334"/>
      <c r="F51" s="334"/>
      <c r="G51" s="334"/>
      <c r="H51" s="334"/>
      <c r="I51" s="334"/>
      <c r="J51" s="334"/>
      <c r="K51" s="334"/>
      <c r="L51" s="334"/>
      <c r="M51" s="336"/>
    </row>
    <row r="52" spans="1:256" x14ac:dyDescent="0.2">
      <c r="A52" s="158"/>
      <c r="B52" s="149"/>
      <c r="C52" s="334"/>
      <c r="D52" s="334"/>
      <c r="E52" s="334"/>
      <c r="F52" s="334"/>
      <c r="G52" s="334"/>
      <c r="H52" s="334"/>
      <c r="I52" s="334"/>
      <c r="J52" s="334"/>
      <c r="K52" s="334"/>
      <c r="L52" s="334"/>
      <c r="M52" s="336"/>
    </row>
    <row r="53" spans="1:256" x14ac:dyDescent="0.2">
      <c r="A53" s="158"/>
      <c r="B53" s="149"/>
      <c r="C53" s="334"/>
      <c r="D53" s="334"/>
      <c r="E53" s="334"/>
      <c r="F53" s="334"/>
      <c r="G53" s="334"/>
      <c r="H53" s="334"/>
      <c r="I53" s="334"/>
      <c r="J53" s="334"/>
      <c r="K53" s="334"/>
      <c r="L53" s="334"/>
      <c r="M53" s="336"/>
    </row>
    <row r="54" spans="1:256" x14ac:dyDescent="0.2">
      <c r="A54" s="158"/>
      <c r="B54" s="149"/>
      <c r="C54" s="334"/>
      <c r="D54" s="334"/>
      <c r="E54" s="334"/>
      <c r="F54" s="334"/>
      <c r="G54" s="334"/>
      <c r="H54" s="334"/>
      <c r="I54" s="334"/>
      <c r="J54" s="334"/>
      <c r="K54" s="334"/>
      <c r="L54" s="334"/>
      <c r="M54" s="336"/>
    </row>
    <row r="55" spans="1:256" x14ac:dyDescent="0.2">
      <c r="A55" s="158"/>
      <c r="B55" s="149"/>
      <c r="C55" s="334"/>
      <c r="D55" s="334"/>
      <c r="E55" s="334"/>
      <c r="F55" s="334"/>
      <c r="G55" s="334"/>
      <c r="H55" s="334"/>
      <c r="I55" s="334"/>
      <c r="J55" s="334"/>
      <c r="K55" s="334"/>
      <c r="L55" s="334"/>
      <c r="M55" s="336"/>
    </row>
    <row r="56" spans="1:256" x14ac:dyDescent="0.2">
      <c r="A56" s="158"/>
      <c r="B56" s="149"/>
      <c r="C56" s="334"/>
      <c r="D56" s="334"/>
      <c r="E56" s="334"/>
      <c r="F56" s="334"/>
      <c r="G56" s="334"/>
      <c r="H56" s="334"/>
      <c r="I56" s="334"/>
      <c r="J56" s="334"/>
      <c r="K56" s="334"/>
      <c r="L56" s="334"/>
      <c r="M56" s="336"/>
    </row>
    <row r="57" spans="1:256" x14ac:dyDescent="0.2">
      <c r="A57" s="158"/>
      <c r="B57" s="149"/>
      <c r="C57" s="334"/>
      <c r="D57" s="334"/>
      <c r="E57" s="334"/>
      <c r="F57" s="334"/>
      <c r="G57" s="334"/>
      <c r="H57" s="334"/>
      <c r="I57" s="334"/>
      <c r="J57" s="334"/>
      <c r="K57" s="334"/>
      <c r="L57" s="334"/>
      <c r="M57" s="336"/>
    </row>
    <row r="58" spans="1:256" x14ac:dyDescent="0.2">
      <c r="A58" s="158"/>
      <c r="B58" s="149"/>
      <c r="C58" s="334"/>
      <c r="D58" s="334"/>
      <c r="E58" s="334"/>
      <c r="F58" s="334"/>
      <c r="G58" s="334"/>
      <c r="H58" s="334"/>
      <c r="I58" s="334"/>
      <c r="J58" s="334"/>
      <c r="K58" s="334"/>
      <c r="L58" s="334"/>
      <c r="M58" s="336"/>
    </row>
    <row r="59" spans="1:256" x14ac:dyDescent="0.2">
      <c r="A59" s="158"/>
      <c r="B59" s="149"/>
      <c r="C59" s="334"/>
      <c r="D59" s="334"/>
      <c r="E59" s="334"/>
      <c r="F59" s="334"/>
      <c r="G59" s="334"/>
      <c r="H59" s="334"/>
      <c r="I59" s="334"/>
      <c r="J59" s="334"/>
      <c r="K59" s="334"/>
      <c r="L59" s="334"/>
      <c r="M59" s="336"/>
    </row>
    <row r="60" spans="1:256" x14ac:dyDescent="0.2">
      <c r="A60" s="158"/>
      <c r="B60" s="149"/>
      <c r="C60" s="334"/>
      <c r="D60" s="334"/>
      <c r="E60" s="334"/>
      <c r="F60" s="334"/>
      <c r="G60" s="334"/>
      <c r="H60" s="334"/>
      <c r="I60" s="334"/>
      <c r="J60" s="334"/>
      <c r="K60" s="334"/>
      <c r="L60" s="334"/>
      <c r="M60" s="336"/>
    </row>
    <row r="61" spans="1:256" x14ac:dyDescent="0.2">
      <c r="A61" s="158"/>
      <c r="B61" s="149"/>
      <c r="C61" s="334"/>
      <c r="D61" s="334"/>
      <c r="E61" s="334"/>
      <c r="F61" s="334"/>
      <c r="G61" s="334"/>
      <c r="H61" s="334"/>
      <c r="I61" s="334"/>
      <c r="J61" s="334"/>
      <c r="K61" s="334"/>
      <c r="L61" s="334"/>
      <c r="M61" s="336"/>
    </row>
    <row r="62" spans="1:256" x14ac:dyDescent="0.2">
      <c r="A62" s="158"/>
      <c r="B62" s="149"/>
      <c r="C62" s="334"/>
      <c r="D62" s="334"/>
      <c r="E62" s="334"/>
      <c r="F62" s="334"/>
      <c r="G62" s="334"/>
      <c r="H62" s="334"/>
      <c r="I62" s="334"/>
      <c r="J62" s="334"/>
      <c r="K62" s="334"/>
      <c r="L62" s="334"/>
      <c r="M62" s="336"/>
    </row>
    <row r="63" spans="1:256" x14ac:dyDescent="0.2">
      <c r="A63" s="158"/>
      <c r="B63" s="149"/>
      <c r="C63" s="334"/>
      <c r="D63" s="334"/>
      <c r="E63" s="334"/>
      <c r="F63" s="334"/>
      <c r="G63" s="334"/>
      <c r="H63" s="334"/>
      <c r="I63" s="334"/>
      <c r="J63" s="334"/>
      <c r="K63" s="334"/>
      <c r="L63" s="334"/>
      <c r="M63" s="336"/>
    </row>
    <row r="64" spans="1:256" x14ac:dyDescent="0.2">
      <c r="A64" s="158"/>
      <c r="B64" s="149"/>
      <c r="C64" s="334"/>
      <c r="D64" s="334"/>
      <c r="E64" s="334"/>
      <c r="F64" s="334"/>
      <c r="G64" s="334"/>
      <c r="H64" s="334"/>
      <c r="I64" s="334"/>
      <c r="J64" s="334"/>
      <c r="K64" s="334"/>
      <c r="L64" s="334"/>
      <c r="M64" s="336"/>
    </row>
    <row r="65" spans="1:13" x14ac:dyDescent="0.2">
      <c r="A65" s="158"/>
      <c r="B65" s="149"/>
      <c r="C65" s="334"/>
      <c r="D65" s="334"/>
      <c r="E65" s="334"/>
      <c r="F65" s="334"/>
      <c r="G65" s="334"/>
      <c r="H65" s="334"/>
      <c r="I65" s="334"/>
      <c r="J65" s="334"/>
      <c r="K65" s="334"/>
      <c r="L65" s="334"/>
      <c r="M65" s="336"/>
    </row>
    <row r="66" spans="1:13" x14ac:dyDescent="0.2">
      <c r="A66" s="158"/>
      <c r="B66" s="149"/>
      <c r="C66" s="334"/>
      <c r="D66" s="334"/>
      <c r="E66" s="334"/>
      <c r="F66" s="334"/>
      <c r="G66" s="334"/>
      <c r="H66" s="334"/>
      <c r="I66" s="334"/>
      <c r="J66" s="334"/>
      <c r="K66" s="334"/>
      <c r="L66" s="334"/>
      <c r="M66" s="336"/>
    </row>
    <row r="67" spans="1:13" x14ac:dyDescent="0.2">
      <c r="A67" s="158"/>
      <c r="B67" s="149"/>
      <c r="C67" s="334"/>
      <c r="D67" s="334"/>
      <c r="E67" s="334"/>
      <c r="F67" s="334"/>
      <c r="G67" s="334"/>
      <c r="H67" s="334"/>
      <c r="I67" s="334"/>
      <c r="J67" s="334"/>
      <c r="K67" s="334"/>
      <c r="L67" s="334"/>
      <c r="M67" s="336"/>
    </row>
    <row r="68" spans="1:13" x14ac:dyDescent="0.2">
      <c r="A68" s="158"/>
      <c r="B68" s="149"/>
      <c r="C68" s="334"/>
      <c r="D68" s="334"/>
      <c r="E68" s="334"/>
      <c r="F68" s="334"/>
      <c r="G68" s="334"/>
      <c r="H68" s="334"/>
      <c r="I68" s="334"/>
      <c r="J68" s="334"/>
      <c r="K68" s="334"/>
      <c r="L68" s="334"/>
      <c r="M68" s="336"/>
    </row>
    <row r="69" spans="1:13" x14ac:dyDescent="0.2">
      <c r="A69" s="158"/>
      <c r="B69" s="149"/>
      <c r="C69" s="334"/>
      <c r="D69" s="334"/>
      <c r="E69" s="334"/>
      <c r="F69" s="334"/>
      <c r="G69" s="334"/>
      <c r="H69" s="334"/>
      <c r="I69" s="334"/>
      <c r="J69" s="334"/>
      <c r="K69" s="334"/>
      <c r="L69" s="334"/>
      <c r="M69" s="336"/>
    </row>
    <row r="70" spans="1:13" ht="12" thickBot="1" x14ac:dyDescent="0.25">
      <c r="A70" s="159"/>
      <c r="B70" s="160"/>
      <c r="C70" s="345"/>
      <c r="D70" s="345"/>
      <c r="E70" s="345"/>
      <c r="F70" s="345"/>
      <c r="G70" s="345"/>
      <c r="H70" s="345"/>
      <c r="I70" s="345"/>
      <c r="J70" s="345"/>
      <c r="K70" s="345"/>
      <c r="L70" s="345"/>
      <c r="M70" s="346"/>
    </row>
    <row r="71" spans="1:13" ht="12" thickTop="1" x14ac:dyDescent="0.2">
      <c r="A71" s="150"/>
      <c r="B71" s="150"/>
      <c r="C71" s="151"/>
      <c r="D71" s="151"/>
      <c r="E71" s="151"/>
      <c r="F71" s="151"/>
      <c r="G71" s="151"/>
      <c r="H71" s="151"/>
      <c r="I71" s="151"/>
      <c r="J71" s="151"/>
      <c r="K71" s="151"/>
      <c r="L71" s="151"/>
    </row>
    <row r="72" spans="1:13" ht="12.75" x14ac:dyDescent="0.2">
      <c r="A72" s="347" t="s">
        <v>828</v>
      </c>
      <c r="B72" s="347"/>
      <c r="C72" s="347"/>
      <c r="D72" s="347"/>
      <c r="E72" s="347"/>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55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f>IF('School Level Expenditures'!$B$2=A58,'School Tables'!H58,"")</f>
        <v>55</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2025-01-14T17:02:48Z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8ca930-c773-4612-ba57-7600e9043226_Enabled">
    <vt:lpwstr>true</vt:lpwstr>
  </property>
  <property fmtid="{D5CDD505-2E9C-101B-9397-08002B2CF9AE}" pid="3" name="MSIP_Label_4b8ca930-c773-4612-ba57-7600e9043226_SetDate">
    <vt:lpwstr>2024-09-30T16:13:13Z</vt:lpwstr>
  </property>
  <property fmtid="{D5CDD505-2E9C-101B-9397-08002B2CF9AE}" pid="4" name="MSIP_Label_4b8ca930-c773-4612-ba57-7600e9043226_Method">
    <vt:lpwstr>Standard</vt:lpwstr>
  </property>
  <property fmtid="{D5CDD505-2E9C-101B-9397-08002B2CF9AE}" pid="5" name="MSIP_Label_4b8ca930-c773-4612-ba57-7600e9043226_Name">
    <vt:lpwstr>defa4170-0d19-0005-0004-bc88714345d2</vt:lpwstr>
  </property>
  <property fmtid="{D5CDD505-2E9C-101B-9397-08002B2CF9AE}" pid="6" name="MSIP_Label_4b8ca930-c773-4612-ba57-7600e9043226_SiteId">
    <vt:lpwstr>84475217-b423-48db-b766-ed4bbbea74f1</vt:lpwstr>
  </property>
  <property fmtid="{D5CDD505-2E9C-101B-9397-08002B2CF9AE}" pid="7" name="MSIP_Label_4b8ca930-c773-4612-ba57-7600e9043226_ActionId">
    <vt:lpwstr>86001006-1d36-4928-a159-127916d276b9</vt:lpwstr>
  </property>
  <property fmtid="{D5CDD505-2E9C-101B-9397-08002B2CF9AE}" pid="8" name="MSIP_Label_4b8ca930-c773-4612-ba57-7600e9043226_ContentBits">
    <vt:lpwstr>0</vt:lpwstr>
  </property>
</Properties>
</file>