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B2E70383-99BB-446C-B08B-9EF2D98D184A}" xr6:coauthVersionLast="47" xr6:coauthVersionMax="47" xr10:uidLastSave="{00000000-0000-0000-0000-000000000000}"/>
  <workbookProtection workbookAlgorithmName="SHA-512" workbookHashValue="ilgEYJX0XWAUj7vyUBfZSxkf78/sRqAPm28pkzK9e3G1hcUVAB/lgvYSEVZGj61yw4IcRQtdF3cnb1IabPm4Hw==" workbookSaltValue="K04F8IYpc1gqwS/5hc4zQ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583" i="1" l="1"/>
  <c r="F120" i="1" l="1"/>
  <c r="H98" i="1"/>
  <c r="H66" i="1"/>
  <c r="G158" i="1" l="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H139" i="2" l="1"/>
  <c r="H140" i="2"/>
  <c r="P2" i="14"/>
  <c r="O2" i="14"/>
  <c r="Q45" i="14"/>
  <c r="P45" i="14"/>
  <c r="O45" i="14"/>
  <c r="N45" i="14"/>
  <c r="M45" i="14"/>
  <c r="L45" i="14"/>
  <c r="K45" i="14"/>
  <c r="Q34" i="14"/>
  <c r="P34" i="14"/>
  <c r="O34" i="14"/>
  <c r="N34" i="14"/>
  <c r="M34" i="14"/>
  <c r="L34" i="14"/>
  <c r="K34" i="14"/>
  <c r="Q21" i="14"/>
  <c r="P21" i="14"/>
  <c r="O21" i="14"/>
  <c r="N21" i="14"/>
  <c r="M21" i="14"/>
  <c r="L21" i="14"/>
  <c r="C2" i="1"/>
  <c r="B2" i="1"/>
  <c r="P3" i="14" l="1"/>
  <c r="O3" i="14"/>
  <c r="G42" i="13"/>
  <c r="H97" i="2"/>
  <c r="H99" i="2"/>
  <c r="H100" i="2"/>
  <c r="H102" i="2"/>
  <c r="H94" i="2"/>
  <c r="H93" i="2"/>
  <c r="H89" i="2"/>
  <c r="H90" i="2"/>
  <c r="H73" i="2"/>
  <c r="H74" i="2"/>
  <c r="H79" i="2"/>
  <c r="H80" i="2"/>
  <c r="H59" i="2"/>
  <c r="H43" i="2"/>
  <c r="H44" i="2"/>
  <c r="H45" i="2"/>
  <c r="H42" i="2"/>
  <c r="H40" i="2"/>
  <c r="H38" i="2"/>
  <c r="H36" i="2"/>
  <c r="H35" i="2"/>
  <c r="H34" i="2"/>
  <c r="H22" i="2"/>
  <c r="H23" i="2"/>
  <c r="H24" i="2"/>
  <c r="H25" i="2"/>
  <c r="H26" i="2"/>
  <c r="H27" i="2"/>
  <c r="H28" i="2"/>
  <c r="H29" i="2"/>
  <c r="H30" i="2"/>
  <c r="H9" i="2"/>
  <c r="H10" i="2"/>
  <c r="H12" i="2"/>
  <c r="H13" i="2"/>
  <c r="H14" i="2"/>
  <c r="H15" i="2"/>
  <c r="H16"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G51" i="1"/>
  <c r="F51" i="1"/>
  <c r="A11" i="14" l="1" a="1"/>
  <c r="A11" i="14" s="1"/>
  <c r="J11" i="14" s="1"/>
  <c r="A42" i="14" a="1"/>
  <c r="A42" i="14" s="1"/>
  <c r="A16" i="14" a="1"/>
  <c r="A16" i="14" s="1"/>
  <c r="J16" i="14" s="1"/>
  <c r="A12" i="14" a="1"/>
  <c r="A12" i="14" s="1"/>
  <c r="B12" i="14" s="1"/>
  <c r="A41" i="14" a="1"/>
  <c r="A41" i="14" s="1"/>
  <c r="A43" i="14" a="1"/>
  <c r="A43" i="14" s="1"/>
  <c r="J8" i="14"/>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D39" i="2"/>
  <c r="H39" i="2" s="1"/>
  <c r="G656" i="1"/>
  <c r="F48" i="2"/>
  <c r="E48" i="2"/>
  <c r="D48" i="2"/>
  <c r="C48" i="2"/>
  <c r="H48" i="2" s="1"/>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D29" i="13" s="1"/>
  <c r="L359" i="1"/>
  <c r="L360" i="1"/>
  <c r="L361" i="1"/>
  <c r="G662" i="1" s="1"/>
  <c r="I368" i="1"/>
  <c r="J291" i="1"/>
  <c r="J310" i="1"/>
  <c r="J329" i="1"/>
  <c r="K291" i="1"/>
  <c r="K310" i="1"/>
  <c r="K329" i="1"/>
  <c r="L277" i="1"/>
  <c r="L278" i="1"/>
  <c r="L279" i="1"/>
  <c r="E111" i="2" s="1"/>
  <c r="L280" i="1"/>
  <c r="L282" i="1"/>
  <c r="L283" i="1"/>
  <c r="L284" i="1"/>
  <c r="L285" i="1"/>
  <c r="L286" i="1"/>
  <c r="L287" i="1"/>
  <c r="L288" i="1"/>
  <c r="L289" i="1"/>
  <c r="L296" i="1"/>
  <c r="L297" i="1"/>
  <c r="L298" i="1"/>
  <c r="L299" i="1"/>
  <c r="L301" i="1"/>
  <c r="L302" i="1"/>
  <c r="L303" i="1"/>
  <c r="E120" i="2" s="1"/>
  <c r="L304" i="1"/>
  <c r="L305" i="1"/>
  <c r="L306" i="1"/>
  <c r="L307" i="1"/>
  <c r="G663" i="1" s="1"/>
  <c r="L308" i="1"/>
  <c r="L315" i="1"/>
  <c r="L316" i="1"/>
  <c r="L317" i="1"/>
  <c r="L318" i="1"/>
  <c r="L320" i="1"/>
  <c r="L321" i="1"/>
  <c r="L322" i="1"/>
  <c r="L323" i="1"/>
  <c r="L324" i="1"/>
  <c r="L325" i="1"/>
  <c r="L326" i="1"/>
  <c r="E124" i="2" s="1"/>
  <c r="L327" i="1"/>
  <c r="L334" i="1"/>
  <c r="L335" i="1"/>
  <c r="L336" i="1"/>
  <c r="L261" i="1"/>
  <c r="L262" i="1"/>
  <c r="C132" i="2" s="1"/>
  <c r="H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C58" i="2" s="1"/>
  <c r="H58" i="2" s="1"/>
  <c r="F111" i="1"/>
  <c r="G111" i="1"/>
  <c r="H79" i="1"/>
  <c r="H94" i="1"/>
  <c r="H111" i="1"/>
  <c r="I111" i="1"/>
  <c r="I112" i="1" s="1"/>
  <c r="J111" i="1"/>
  <c r="J112" i="1" s="1"/>
  <c r="F121" i="1"/>
  <c r="F136" i="1"/>
  <c r="G121" i="1"/>
  <c r="G136" i="1"/>
  <c r="H121" i="1"/>
  <c r="H136" i="1"/>
  <c r="H140" i="1" s="1"/>
  <c r="I121" i="1"/>
  <c r="I136" i="1"/>
  <c r="J121" i="1"/>
  <c r="J136" i="1"/>
  <c r="J140" i="1" s="1"/>
  <c r="F147" i="1"/>
  <c r="C85" i="2" s="1"/>
  <c r="G147" i="1"/>
  <c r="D85" i="2" s="1"/>
  <c r="H147" i="1"/>
  <c r="H170" i="1" s="1"/>
  <c r="I147" i="1"/>
  <c r="L251" i="1"/>
  <c r="C113" i="2" s="1"/>
  <c r="H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H131" i="2" s="1"/>
  <c r="A1" i="2"/>
  <c r="A2" i="2"/>
  <c r="C8" i="2"/>
  <c r="D8" i="2"/>
  <c r="E8" i="2"/>
  <c r="F8" i="2"/>
  <c r="I440" i="1"/>
  <c r="J9" i="1" s="1"/>
  <c r="G8" i="2" s="1"/>
  <c r="C9" i="2"/>
  <c r="D9" i="2"/>
  <c r="E9" i="2"/>
  <c r="F9" i="2"/>
  <c r="I441" i="1"/>
  <c r="J10" i="1" s="1"/>
  <c r="G9" i="2" s="1"/>
  <c r="C10" i="2"/>
  <c r="C11" i="2"/>
  <c r="H11" i="2" s="1"/>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E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H72" i="2" s="1"/>
  <c r="F72" i="2"/>
  <c r="C73" i="2"/>
  <c r="F73" i="2"/>
  <c r="C74" i="2"/>
  <c r="C75" i="2"/>
  <c r="H75" i="2" s="1"/>
  <c r="C76" i="2"/>
  <c r="H76" i="2" s="1"/>
  <c r="E76" i="2"/>
  <c r="F76" i="2"/>
  <c r="C77" i="2"/>
  <c r="D77" i="2"/>
  <c r="E77" i="2"/>
  <c r="F77" i="2"/>
  <c r="G77" i="2"/>
  <c r="G78" i="2" s="1"/>
  <c r="C79" i="2"/>
  <c r="D79" i="2"/>
  <c r="E79" i="2"/>
  <c r="C80" i="2"/>
  <c r="E80" i="2"/>
  <c r="F85" i="2"/>
  <c r="C87" i="2"/>
  <c r="E87" i="2"/>
  <c r="H87" i="2" s="1"/>
  <c r="F87" i="2"/>
  <c r="C89" i="2"/>
  <c r="D89" i="2"/>
  <c r="E89" i="2"/>
  <c r="F89" i="2"/>
  <c r="C90" i="2"/>
  <c r="C93" i="2"/>
  <c r="F93" i="2"/>
  <c r="C94" i="2"/>
  <c r="F94" i="2"/>
  <c r="D96" i="2"/>
  <c r="E96" i="2"/>
  <c r="F96" i="2"/>
  <c r="G96" i="2"/>
  <c r="C97" i="2"/>
  <c r="D97" i="2"/>
  <c r="E97" i="2"/>
  <c r="F97" i="2"/>
  <c r="G97" i="2"/>
  <c r="C98" i="2"/>
  <c r="D98" i="2"/>
  <c r="E98" i="2"/>
  <c r="G98" i="2"/>
  <c r="H98" i="2" s="1"/>
  <c r="C99" i="2"/>
  <c r="D99" i="2"/>
  <c r="E99" i="2"/>
  <c r="F99" i="2"/>
  <c r="C100" i="2"/>
  <c r="D100" i="2"/>
  <c r="E100" i="2"/>
  <c r="F100" i="2"/>
  <c r="C101" i="2"/>
  <c r="D101" i="2"/>
  <c r="E101" i="2"/>
  <c r="H101" i="2" s="1"/>
  <c r="F101" i="2"/>
  <c r="C102" i="2"/>
  <c r="D102" i="2"/>
  <c r="E102" i="2"/>
  <c r="F102" i="2"/>
  <c r="E112" i="2"/>
  <c r="D115" i="2"/>
  <c r="F115" i="2"/>
  <c r="G115" i="2"/>
  <c r="E125" i="2"/>
  <c r="F128" i="2"/>
  <c r="G128" i="2"/>
  <c r="C130"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51" i="1"/>
  <c r="G652" i="1"/>
  <c r="H653" i="1"/>
  <c r="G654" i="1"/>
  <c r="H654" i="1"/>
  <c r="H655" i="1"/>
  <c r="H656" i="1"/>
  <c r="I170" i="1"/>
  <c r="H47" i="2" l="1"/>
  <c r="H17" i="2"/>
  <c r="H96" i="2"/>
  <c r="G409" i="1"/>
  <c r="H646" i="1" s="1"/>
  <c r="G646" i="1"/>
  <c r="H8" i="2"/>
  <c r="H21" i="2"/>
  <c r="G477" i="1"/>
  <c r="H624" i="1" s="1"/>
  <c r="J624" i="1" s="1"/>
  <c r="H477" i="1"/>
  <c r="H625" i="1" s="1"/>
  <c r="J625" i="1" s="1"/>
  <c r="J652" i="1"/>
  <c r="H134" i="2"/>
  <c r="C13" i="10"/>
  <c r="K2" i="14"/>
  <c r="C32" i="10"/>
  <c r="C119" i="2"/>
  <c r="K36" i="14"/>
  <c r="K37" i="14" s="1"/>
  <c r="C112" i="2"/>
  <c r="H112" i="2" s="1"/>
  <c r="C125" i="2"/>
  <c r="H125" i="2" s="1"/>
  <c r="E13" i="13"/>
  <c r="C13" i="13" s="1"/>
  <c r="D15" i="13"/>
  <c r="C15" i="13" s="1"/>
  <c r="C12" i="10"/>
  <c r="C120" i="2"/>
  <c r="H120" i="2" s="1"/>
  <c r="H61" i="2"/>
  <c r="F170" i="1"/>
  <c r="H85" i="2"/>
  <c r="D78" i="2"/>
  <c r="D81" i="2" s="1"/>
  <c r="H77"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J646" i="1"/>
  <c r="F112" i="1"/>
  <c r="L394" i="1"/>
  <c r="C138" i="2" s="1"/>
  <c r="H138" i="2" s="1"/>
  <c r="L363" i="1"/>
  <c r="B17" i="16" s="1"/>
  <c r="B19" i="16" s="1"/>
  <c r="B28" i="16"/>
  <c r="L329" i="1"/>
  <c r="E122" i="2"/>
  <c r="L291" i="1"/>
  <c r="L615" i="1"/>
  <c r="K599" i="1"/>
  <c r="G648" i="1" s="1"/>
  <c r="K572" i="1"/>
  <c r="L571" i="1"/>
  <c r="H572" i="1"/>
  <c r="L566" i="1"/>
  <c r="L572" i="1" s="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50" i="2" l="1"/>
  <c r="D51" i="2"/>
  <c r="H18" i="2"/>
  <c r="E51" i="2"/>
  <c r="H31" i="2"/>
  <c r="B33" i="16"/>
  <c r="D128" i="2"/>
  <c r="D145" i="2" s="1"/>
  <c r="H127" i="2"/>
  <c r="H122" i="2"/>
  <c r="I663" i="1"/>
  <c r="H78" i="2"/>
  <c r="H103" i="2"/>
  <c r="H57" i="2"/>
  <c r="H91" i="2"/>
  <c r="I662" i="1"/>
  <c r="D63" i="2"/>
  <c r="H62" i="2"/>
  <c r="C81" i="2"/>
  <c r="H81" i="2" s="1"/>
  <c r="F194" i="1"/>
  <c r="G628" i="1" s="1"/>
  <c r="J628" i="1" s="1"/>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44" i="2"/>
  <c r="C145" i="2" s="1"/>
  <c r="H141" i="2"/>
  <c r="C104" i="2"/>
  <c r="H104" i="2" s="1"/>
  <c r="H63" i="2"/>
  <c r="H128" i="2"/>
  <c r="H115" i="2"/>
  <c r="E145" i="2"/>
  <c r="H668" i="1"/>
  <c r="H670" i="1"/>
  <c r="H673" i="1" s="1"/>
  <c r="C6" i="10" s="1"/>
  <c r="G670" i="1"/>
  <c r="G673" i="1" s="1"/>
  <c r="C5" i="10" s="1"/>
  <c r="F668" i="1"/>
  <c r="F145" i="2"/>
  <c r="H144"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 r="K21" i="14" l="1"/>
  <c r="K3"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<sst xmlns="http://schemas.openxmlformats.org/spreadsheetml/2006/main" count="6643" uniqueCount="1843">
  <si>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</si>
  <si>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</si>
  <si>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</si>
  <si>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</si>
  <si>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</si>
  <si>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</si>
  <si>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</si>
  <si>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</si>
  <si>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</si>
  <si>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</si>
  <si>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</si>
  <si>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</si>
  <si>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</si>
  <si>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</si>
  <si>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</si>
  <si>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</si>
  <si>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</si>
  <si>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</si>
  <si>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</si>
  <si>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</si>
  <si>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</si>
  <si>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</si>
  <si>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</si>
  <si>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</si>
  <si>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</si>
  <si>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</si>
  <si>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</si>
  <si>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</si>
  <si>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</si>
  <si>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</si>
  <si>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</si>
  <si>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</si>
  <si>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</si>
  <si>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</si>
  <si>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</si>
  <si>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</si>
  <si>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</si>
  <si>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</si>
  <si>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</si>
  <si>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</si>
  <si>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</si>
  <si>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</si>
  <si>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</si>
  <si>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</si>
  <si>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</si>
  <si>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</si>
  <si>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</si>
  <si>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</si>
  <si>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</si>
  <si>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</si>
  <si>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</si>
  <si>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</si>
  <si>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</si>
  <si>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</si>
  <si>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</si>
  <si>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</si>
  <si>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</si>
  <si>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</si>
  <si>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</si>
  <si>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</si>
  <si>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</si>
  <si>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</si>
  <si>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</si>
  <si>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</si>
  <si>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</si>
  <si>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</si>
  <si>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</si>
  <si>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</si>
  <si>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</si>
  <si>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</si>
  <si>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</si>
  <si>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</si>
  <si>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</si>
  <si>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</si>
  <si>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</si>
  <si>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</si>
  <si>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</si>
  <si>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</si>
  <si>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</si>
  <si>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</si>
  <si>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</si>
  <si>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</si>
  <si>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</si>
  <si>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</si>
  <si>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</si>
  <si>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</si>
  <si>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</si>
  <si>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</si>
  <si>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</si>
  <si>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</si>
  <si>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</si>
  <si>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</si>
  <si>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</si>
  <si>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</si>
  <si>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</si>
  <si>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</si>
  <si>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</si>
  <si>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</si>
  <si>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</si>
  <si>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</si>
  <si>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</si>
  <si>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</si>
  <si>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</si>
  <si>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</si>
  <si>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</si>
  <si>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</si>
  <si>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</si>
  <si>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</si>
  <si>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</si>
  <si>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</si>
  <si>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</si>
  <si>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</si>
  <si>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</si>
  <si>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</si>
  <si>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</si>
  <si>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</si>
  <si>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</si>
  <si>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</si>
  <si>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</si>
  <si>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</si>
  <si>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</si>
  <si>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</si>
  <si>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</si>
  <si>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</si>
  <si>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</si>
  <si>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</si>
  <si>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</si>
  <si>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</si>
  <si>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</si>
  <si>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</si>
  <si>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</si>
  <si>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</si>
  <si>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</si>
  <si>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</si>
  <si>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</si>
  <si>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</si>
  <si>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</si>
  <si>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</si>
  <si>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</si>
  <si>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</si>
  <si>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</si>
  <si>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</si>
  <si>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</si>
  <si>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</si>
  <si>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</si>
  <si>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</si>
  <si>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</si>
  <si>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</si>
  <si>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</si>
  <si>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</si>
  <si>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</si>
  <si>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</si>
  <si>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</si>
  <si>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</si>
  <si>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</si>
  <si>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</si>
  <si>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</si>
  <si>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</si>
  <si>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</si>
  <si>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</si>
  <si>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</si>
  <si>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</si>
  <si>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</si>
  <si>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</si>
  <si>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</si>
  <si>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</si>
  <si>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</si>
  <si>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</si>
  <si>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</si>
  <si>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</si>
  <si>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</si>
  <si>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</si>
  <si>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</si>
  <si>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</si>
  <si>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</si>
  <si>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</si>
  <si>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</si>
  <si>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</si>
  <si>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</si>
  <si>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</si>
  <si>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</si>
  <si>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</si>
  <si>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</si>
  <si>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</si>
  <si>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</si>
  <si>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</si>
  <si>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</si>
  <si>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</si>
  <si>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</si>
  <si>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</si>
  <si>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</si>
  <si>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</si>
  <si>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</si>
  <si>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</si>
  <si>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</si>
  <si>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</si>
  <si>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</si>
  <si>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</si>
  <si>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</si>
  <si>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</si>
  <si>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</si>
  <si>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</si>
  <si>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</si>
  <si>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</si>
  <si>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</si>
  <si>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</si>
  <si>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</si>
  <si>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</si>
  <si>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</si>
  <si>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</si>
  <si>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</si>
  <si>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</si>
  <si>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</si>
  <si>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</si>
  <si>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</si>
  <si>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</si>
  <si>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</si>
  <si>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</si>
  <si>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</si>
  <si>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</si>
  <si>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</si>
  <si>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</si>
  <si>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</si>
  <si>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</si>
  <si>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</si>
  <si>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</si>
  <si>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</si>
  <si>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</si>
  <si>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</si>
  <si>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</si>
  <si>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</si>
  <si>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</si>
  <si>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</si>
  <si>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</si>
  <si>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</si>
  <si>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</si>
  <si>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</si>
  <si>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</si>
  <si>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</si>
  <si>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</si>
  <si>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</si>
  <si>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</si>
  <si>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</si>
  <si>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</si>
  <si>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</si>
  <si>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</si>
  <si>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</si>
  <si>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</si>
  <si>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</si>
  <si>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</si>
  <si>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</si>
  <si>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</si>
  <si>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</si>
  <si>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</si>
  <si>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</si>
  <si>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</si>
  <si>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</si>
  <si>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</si>
  <si>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</si>
  <si>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</si>
  <si>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</si>
  <si>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</si>
  <si>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</si>
  <si>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</si>
  <si>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</si>
  <si>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</si>
  <si>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</si>
  <si>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</si>
  <si>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</si>
  <si>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</si>
  <si>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</si>
  <si>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</si>
  <si>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</si>
  <si>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</si>
  <si>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</si>
  <si>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</si>
  <si>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</si>
  <si>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</si>
  <si>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</si>
  <si>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</si>
  <si>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</si>
  <si>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</si>
  <si>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</si>
  <si>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</si>
  <si>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</si>
  <si>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</si>
  <si>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</si>
  <si>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</si>
  <si>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</si>
  <si>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</si>
  <si>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</si>
  <si>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</si>
  <si>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</si>
  <si>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</si>
  <si>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</si>
  <si>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</si>
  <si>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</si>
  <si>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</si>
  <si>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</si>
  <si>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</si>
  <si>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</si>
  <si>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</si>
  <si>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</si>
  <si>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</si>
  <si>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</si>
  <si>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</si>
  <si>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</si>
  <si>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</si>
  <si>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</si>
  <si>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</si>
  <si>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</si>
  <si>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</si>
  <si>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</si>
  <si>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</si>
  <si>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</si>
  <si>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</si>
  <si>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</si>
  <si>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</si>
  <si>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</si>
  <si>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</si>
  <si>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</si>
  <si>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</si>
  <si>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</si>
  <si>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</si>
  <si>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</si>
  <si>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</si>
  <si>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</si>
  <si>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</si>
  <si>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</si>
  <si>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</si>
  <si>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</si>
  <si>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</si>
  <si>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</si>
  <si>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</si>
  <si>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</si>
  <si>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</si>
  <si>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</si>
  <si>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</si>
  <si>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</si>
  <si>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</si>
  <si>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</si>
  <si>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</si>
  <si>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</si>
  <si>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</si>
  <si>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</si>
  <si>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</si>
  <si>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</si>
  <si>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</si>
  <si>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</si>
  <si>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</si>
  <si>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</si>
  <si>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</si>
  <si>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</si>
  <si>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</si>
  <si>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</si>
  <si>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</si>
  <si>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</si>
  <si>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</si>
  <si>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</si>
  <si>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</si>
  <si>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</si>
  <si>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</si>
  <si>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</si>
  <si>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</si>
  <si>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</si>
  <si>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</si>
  <si>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</si>
  <si>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</si>
  <si>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</si>
  <si>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</si>
  <si>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</si>
  <si>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</si>
  <si>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</si>
  <si>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</si>
  <si>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</si>
  <si>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</si>
  <si>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</si>
  <si>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</si>
  <si>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</si>
  <si>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</si>
  <si>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</si>
  <si>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</si>
  <si>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</si>
  <si>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</si>
  <si>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</si>
  <si>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</si>
  <si>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</si>
  <si>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</si>
  <si>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</si>
  <si>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</si>
  <si>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</si>
  <si>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</si>
  <si>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</si>
  <si>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</si>
  <si>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</si>
  <si>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</si>
  <si>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</si>
  <si>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</si>
  <si>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</si>
  <si>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</si>
  <si>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</si>
  <si>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</si>
  <si>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</si>
  <si>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</si>
  <si>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</si>
  <si>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</si>
  <si>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</si>
  <si>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</si>
  <si>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</si>
  <si>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</si>
  <si>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</si>
  <si>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</si>
  <si>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</si>
  <si>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</si>
  <si>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</si>
  <si>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</si>
  <si>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</si>
  <si>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</si>
  <si>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</si>
  <si>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</si>
  <si>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</si>
  <si>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</si>
  <si>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</si>
  <si>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</si>
  <si>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</si>
  <si>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</si>
  <si>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</si>
  <si>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</si>
  <si>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</si>
  <si>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</si>
  <si>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</si>
  <si>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</si>
  <si>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</si>
  <si>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</si>
  <si>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</si>
  <si>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</si>
  <si>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</si>
  <si>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</si>
  <si>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</si>
  <si>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</si>
  <si>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</si>
  <si>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</si>
  <si>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</si>
  <si>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</si>
  <si>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</si>
  <si>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</si>
  <si>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</si>
  <si>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</si>
  <si>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</si>
  <si>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</si>
  <si>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</si>
  <si>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</si>
  <si>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</si>
  <si>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</si>
  <si>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</si>
  <si>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</si>
  <si>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</si>
  <si>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</si>
  <si>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</si>
  <si>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</si>
  <si>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</si>
  <si>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</si>
  <si>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</si>
  <si>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</si>
  <si>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</si>
  <si>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</si>
  <si>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</si>
  <si>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</si>
  <si>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</si>
  <si>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</si>
  <si>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</si>
  <si>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</si>
  <si>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</si>
  <si>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</si>
  <si>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</si>
  <si>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</si>
  <si>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</si>
  <si>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</si>
  <si>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</si>
  <si>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</si>
  <si>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</si>
  <si>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</si>
  <si>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</si>
  <si>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</si>
  <si>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</si>
  <si>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</si>
  <si>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</si>
  <si>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</si>
  <si>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</si>
  <si>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</si>
  <si>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</si>
  <si>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</si>
  <si>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</si>
  <si>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</si>
  <si>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</si>
  <si>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</si>
  <si>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</si>
  <si>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</si>
  <si>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</si>
  <si>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</si>
  <si>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</si>
  <si>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</si>
  <si>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</si>
  <si>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</si>
  <si>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</si>
  <si>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</si>
  <si>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</si>
  <si>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</si>
  <si>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</si>
  <si>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</si>
  <si>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</si>
  <si>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</si>
  <si>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</si>
  <si>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</si>
  <si>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</si>
  <si>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</si>
  <si>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</si>
  <si>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</si>
  <si>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</si>
  <si>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</si>
  <si>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</si>
  <si>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</si>
  <si>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</si>
  <si>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</si>
  <si>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</si>
  <si>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</si>
  <si>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</si>
  <si>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</si>
  <si>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</si>
  <si>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</si>
  <si>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</si>
  <si>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</si>
  <si>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</si>
  <si>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</si>
  <si>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</si>
  <si>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</si>
  <si>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</si>
  <si>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</si>
  <si>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</si>
  <si>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</si>
  <si>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</si>
  <si>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</si>
  <si>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</si>
  <si>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</si>
  <si>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</si>
  <si>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</si>
  <si>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</si>
  <si>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</si>
  <si>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</si>
  <si>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</si>
  <si>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</si>
  <si>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</si>
  <si>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</si>
  <si>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</si>
  <si>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</si>
  <si>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</si>
  <si>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</si>
  <si>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</si>
  <si>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</si>
  <si>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</si>
  <si>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</si>
  <si>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</si>
  <si>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</si>
  <si>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</si>
  <si>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</si>
  <si>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</si>
  <si>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</si>
  <si>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</si>
  <si>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</si>
  <si>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</si>
  <si>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</si>
  <si>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</si>
  <si>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</si>
  <si>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</si>
  <si>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</si>
  <si>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</si>
  <si>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</si>
  <si>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</si>
  <si>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</si>
  <si>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</si>
  <si>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</si>
  <si>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</si>
  <si>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</si>
  <si>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</si>
  <si>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</si>
  <si>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</si>
  <si>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</si>
  <si>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</si>
  <si>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</si>
  <si>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</si>
  <si>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</si>
  <si>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</si>
  <si>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</si>
  <si>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</si>
  <si>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</si>
  <si>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</si>
  <si>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</si>
  <si>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</si>
  <si>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</si>
  <si>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</si>
  <si>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</si>
  <si>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</si>
  <si>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</si>
  <si>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</si>
  <si>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</si>
  <si>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</si>
  <si>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</si>
  <si>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</si>
  <si>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</si>
  <si>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</si>
  <si>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</si>
  <si>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</si>
  <si>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</si>
  <si>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</si>
  <si>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</si>
  <si>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</si>
  <si>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</si>
  <si>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</si>
  <si>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</si>
  <si>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</si>
  <si>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</si>
  <si>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</si>
  <si>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</si>
  <si>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</si>
  <si>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</si>
  <si>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</si>
  <si>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</si>
  <si>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</si>
  <si>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</si>
  <si>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</si>
  <si>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</si>
  <si>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</si>
  <si>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</si>
  <si>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</si>
  <si>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</si>
  <si>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</si>
  <si>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</si>
  <si>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</si>
  <si>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</si>
  <si>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</si>
  <si>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</si>
  <si>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</si>
  <si>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</si>
  <si>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</si>
  <si>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</si>
  <si>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</si>
  <si>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</si>
  <si>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</si>
  <si>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</si>
  <si>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</si>
  <si>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</si>
  <si>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</si>
  <si>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</si>
  <si>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</si>
  <si>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</si>
  <si>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</si>
  <si>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</si>
  <si>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</si>
  <si>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</si>
  <si>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</si>
  <si>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</si>
  <si>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</si>
  <si>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</si>
  <si>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</si>
  <si>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</si>
  <si>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</si>
  <si>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</si>
  <si>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</si>
  <si>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</si>
  <si>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</si>
  <si>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</si>
  <si>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</si>
  <si>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</si>
  <si>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</si>
  <si>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</si>
  <si>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</si>
  <si>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</si>
  <si>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</si>
  <si>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</si>
  <si>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</si>
  <si>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</si>
  <si>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</si>
  <si>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</si>
  <si>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</si>
  <si>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</si>
  <si>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</si>
  <si>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</si>
  <si>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</si>
  <si>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</si>
  <si>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</si>
  <si>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</si>
  <si>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</si>
  <si>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</si>
  <si>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</si>
  <si>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</si>
  <si>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</si>
  <si>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</si>
  <si>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</si>
  <si>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</si>
  <si>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</si>
  <si>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</si>
  <si>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</si>
  <si>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</si>
  <si>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</si>
  <si>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</si>
  <si>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</si>
  <si>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</si>
  <si>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</si>
  <si>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</si>
  <si>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</si>
  <si>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</si>
  <si>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</si>
  <si>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</si>
  <si>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</si>
  <si>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</si>
  <si>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</si>
  <si>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</si>
  <si>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</si>
  <si>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</si>
  <si>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</si>
  <si>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</si>
  <si>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</si>
  <si>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</si>
  <si>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</si>
  <si>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</si>
  <si>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</si>
  <si>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</si>
  <si>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</si>
  <si>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</si>
  <si>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</si>
  <si>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</si>
  <si>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</si>
  <si>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</si>
  <si>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</si>
  <si>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</si>
  <si>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</si>
  <si>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</si>
  <si>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</si>
  <si>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</si>
  <si>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</si>
  <si>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</si>
  <si>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</si>
  <si>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</si>
  <si>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</si>
  <si>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</si>
  <si>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</si>
  <si>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</si>
  <si>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</si>
  <si>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</si>
  <si>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</si>
  <si>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</si>
  <si>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</si>
  <si>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</si>
  <si>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</si>
  <si>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</si>
  <si>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</si>
  <si>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</si>
  <si>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</si>
  <si>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</si>
  <si>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</si>
  <si>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</si>
  <si>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</si>
  <si>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</si>
  <si>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</si>
  <si>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</si>
  <si>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</si>
  <si>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</si>
  <si>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</si>
  <si>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</si>
  <si>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</si>
  <si>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</si>
  <si>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</si>
  <si>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</si>
  <si>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</si>
  <si>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</si>
  <si>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</si>
  <si>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</si>
  <si>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</si>
  <si>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</si>
  <si>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</si>
  <si>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</si>
  <si>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</si>
  <si>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</si>
  <si>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</si>
  <si>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</si>
  <si>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</si>
  <si>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</si>
  <si>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</si>
  <si>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</si>
  <si>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</si>
  <si>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</si>
  <si>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</si>
  <si>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</si>
  <si>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</si>
  <si>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</si>
  <si>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</si>
  <si>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</si>
  <si>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</si>
  <si>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</si>
  <si>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</si>
  <si>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</si>
  <si>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</si>
  <si>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</si>
  <si>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</si>
  <si>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</si>
  <si>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</si>
  <si>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</si>
  <si>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</si>
  <si>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</si>
  <si>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</si>
  <si>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</si>
  <si>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</si>
  <si>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</si>
  <si>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</si>
  <si>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</si>
  <si>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</si>
  <si>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</si>
  <si>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</si>
  <si>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</si>
  <si>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</si>
  <si>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</si>
  <si>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</si>
  <si>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</si>
  <si>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</si>
  <si>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</si>
  <si>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</si>
  <si>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</si>
  <si>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</si>
  <si>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</si>
  <si>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</si>
  <si>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</si>
  <si>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</si>
  <si>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</si>
  <si>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</si>
  <si>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</si>
  <si>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</si>
  <si>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</si>
  <si>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</si>
  <si>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</si>
  <si>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</si>
  <si>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</si>
  <si>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</si>
  <si>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</si>
  <si>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</si>
  <si>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</si>
  <si>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</si>
  <si>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</si>
  <si>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</si>
  <si>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</si>
  <si>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</si>
  <si>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</si>
  <si>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</si>
  <si>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</si>
  <si>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</si>
  <si>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</si>
  <si>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</si>
  <si>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</si>
  <si>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</si>
  <si>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</si>
  <si>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</si>
  <si>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</si>
  <si>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</si>
  <si>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</si>
  <si>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</si>
  <si>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</si>
  <si>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</si>
  <si>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</si>
  <si>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</si>
  <si>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</si>
  <si>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</si>
  <si>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</si>
  <si>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</si>
  <si>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</si>
  <si>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</si>
  <si>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</si>
  <si>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</si>
  <si>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</si>
  <si>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</si>
  <si>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</si>
  <si>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</si>
  <si>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</si>
  <si>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</si>
  <si>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</si>
  <si>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</si>
  <si>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</si>
  <si>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</si>
  <si>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</si>
  <si>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</si>
  <si>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</si>
  <si>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</si>
  <si>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</si>
  <si>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</si>
  <si>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</si>
  <si>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</si>
  <si>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</si>
  <si>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</si>
  <si>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</si>
  <si>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</si>
  <si>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</si>
  <si>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</si>
  <si>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</si>
  <si>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</si>
  <si>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</si>
  <si>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</si>
  <si>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</si>
  <si>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</si>
  <si>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</si>
  <si>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</si>
  <si>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</si>
  <si>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</si>
  <si>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</si>
  <si>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</si>
  <si>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</si>
  <si>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</si>
  <si>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</si>
  <si>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</si>
  <si>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</si>
  <si>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</si>
  <si>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</si>
  <si>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</si>
  <si>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</si>
  <si>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</si>
  <si>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</si>
  <si>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</si>
  <si>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</si>
  <si>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</si>
  <si>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</si>
  <si>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</si>
  <si>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</si>
  <si>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</si>
  <si>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</si>
  <si>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</si>
  <si>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</si>
  <si>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</si>
  <si>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</si>
  <si>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</si>
  <si>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</si>
  <si>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</si>
  <si>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</si>
  <si>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</si>
  <si>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</si>
  <si>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</si>
  <si>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</si>
  <si>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</si>
  <si>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</si>
  <si>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</si>
  <si>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</si>
  <si>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</si>
  <si>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</si>
  <si>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</si>
  <si>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</si>
  <si>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</si>
  <si>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</si>
  <si>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</si>
  <si>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</si>
  <si>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</si>
  <si>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</si>
  <si>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</si>
  <si>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</si>
  <si>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</si>
  <si>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</si>
  <si>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</si>
  <si>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</si>
  <si>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</si>
  <si>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</si>
  <si>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</si>
  <si>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</si>
  <si>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</si>
  <si>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</si>
  <si>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</si>
  <si>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</si>
  <si>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</si>
  <si>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</si>
  <si>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</si>
  <si>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</si>
  <si>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</si>
  <si>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</si>
  <si>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</si>
  <si>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</si>
  <si>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</si>
  <si>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</si>
  <si>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</si>
  <si>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</si>
  <si>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</si>
  <si>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</si>
  <si>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</si>
  <si>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</si>
  <si>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</si>
  <si>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</si>
  <si>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</si>
  <si>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</si>
  <si>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</si>
  <si>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</si>
  <si>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</si>
  <si>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</si>
  <si>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</si>
  <si>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</si>
  <si>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</si>
  <si>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</si>
  <si>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</si>
  <si>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</si>
  <si>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</si>
  <si>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</si>
  <si>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</si>
  <si>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</si>
  <si>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</si>
  <si>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</si>
  <si>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</si>
  <si>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</si>
  <si>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</si>
  <si>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</si>
  <si>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</si>
  <si>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</si>
  <si>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</si>
  <si>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</si>
  <si>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</si>
  <si>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</si>
  <si>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</si>
  <si>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</si>
  <si>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</si>
  <si>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</si>
  <si>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</si>
  <si>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</si>
  <si>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</si>
  <si>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</si>
  <si>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</si>
  <si>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</si>
  <si>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</si>
  <si>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</si>
  <si>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</si>
  <si>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</si>
  <si>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</si>
  <si>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</si>
  <si>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</si>
  <si>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</si>
  <si>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</si>
  <si>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</si>
  <si>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</si>
  <si>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</si>
  <si>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</si>
  <si>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</si>
  <si>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</si>
  <si>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</si>
  <si>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</si>
  <si>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</si>
  <si>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</si>
  <si>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</si>
  <si>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</si>
  <si>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</si>
  <si>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</si>
  <si>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</si>
  <si>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</si>
  <si>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</si>
  <si>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</si>
  <si>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</si>
  <si>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</si>
  <si>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</si>
  <si>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</si>
  <si>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</si>
  <si>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</si>
  <si>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</si>
  <si>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</si>
  <si>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</si>
  <si>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</si>
  <si>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</si>
  <si>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</si>
  <si>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</si>
  <si>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</si>
  <si>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</si>
  <si>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</si>
  <si>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</si>
  <si>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</si>
  <si>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</si>
  <si>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</si>
  <si>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</si>
  <si>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</si>
  <si>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</si>
  <si>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</si>
  <si>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</si>
  <si>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</si>
  <si>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</si>
  <si>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</si>
  <si>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</si>
  <si>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</si>
  <si>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</si>
  <si>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</si>
  <si>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</si>
  <si>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</si>
  <si>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</si>
  <si>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</si>
  <si>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</si>
  <si>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</si>
  <si>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</si>
  <si>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</si>
  <si>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</si>
  <si>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</si>
  <si>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</si>
  <si>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</si>
  <si>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</si>
  <si>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</si>
  <si>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</si>
  <si>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</si>
  <si>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</si>
  <si>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</si>
  <si>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</si>
  <si>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</si>
  <si>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</si>
  <si>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</si>
  <si>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</si>
  <si>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</si>
  <si>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</si>
  <si>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</si>
  <si>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</si>
  <si>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</si>
  <si>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</si>
  <si>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</si>
  <si>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</si>
  <si>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</si>
  <si>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</si>
  <si>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</si>
  <si>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</si>
  <si>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</si>
  <si>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</si>
  <si>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</si>
  <si>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</si>
  <si>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</si>
  <si>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</si>
  <si>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</si>
  <si>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</si>
  <si>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</si>
  <si>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</si>
  <si>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</si>
  <si>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</si>
  <si>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</si>
  <si>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</si>
  <si>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</si>
  <si>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</si>
  <si>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</si>
  <si>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</si>
  <si>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</si>
  <si>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</si>
  <si>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</si>
  <si>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</si>
  <si>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</si>
  <si>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</si>
  <si>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</si>
  <si>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</si>
  <si>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</si>
  <si>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</si>
  <si>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</si>
  <si>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</si>
  <si>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</si>
  <si>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</si>
  <si>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</si>
  <si>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</si>
  <si>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</si>
  <si>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</si>
  <si>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</si>
  <si>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</si>
  <si>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</si>
  <si>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</si>
  <si>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</si>
  <si>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</si>
  <si>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</si>
  <si>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</si>
  <si>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</si>
  <si>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</si>
  <si>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</si>
  <si>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</si>
  <si>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</si>
  <si>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</si>
  <si>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</si>
  <si>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</si>
  <si>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</si>
  <si>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</si>
  <si>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</si>
  <si>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</si>
  <si>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</si>
  <si>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</si>
  <si>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</si>
  <si>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</si>
  <si>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</si>
  <si>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</si>
  <si>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</si>
  <si>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</si>
  <si>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</si>
  <si>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</si>
  <si>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</si>
  <si>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</si>
  <si>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</si>
  <si>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</si>
  <si>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</si>
  <si>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</si>
  <si>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</si>
  <si>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</si>
  <si>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</si>
  <si>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</si>
  <si>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</si>
  <si>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</si>
  <si>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</si>
  <si>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</si>
  <si>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</si>
  <si>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</si>
  <si>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</si>
  <si>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</si>
  <si>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</si>
  <si>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</si>
  <si>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</si>
  <si>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</si>
  <si>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</si>
  <si>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</si>
  <si>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</si>
  <si>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</si>
  <si>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</si>
  <si>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</si>
  <si>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</si>
  <si>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</si>
  <si>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</si>
  <si>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</si>
  <si>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</si>
  <si>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</si>
  <si>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</si>
  <si>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</si>
  <si>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</si>
  <si>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</si>
  <si>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</si>
  <si>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</si>
  <si>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</si>
  <si>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</si>
  <si>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</si>
  <si>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</si>
  <si>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</si>
  <si>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</si>
  <si>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</si>
  <si>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</si>
  <si>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</si>
  <si>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</si>
  <si>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</si>
  <si>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</si>
  <si>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</si>
  <si>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</si>
  <si>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</si>
  <si>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</si>
  <si>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</si>
  <si>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</si>
  <si>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</si>
  <si>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</si>
  <si>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</si>
  <si>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</si>
  <si>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</si>
  <si>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</si>
  <si>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</si>
  <si>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</si>
  <si>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</si>
  <si>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</si>
  <si>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</si>
  <si>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</si>
  <si>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</si>
  <si>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</si>
  <si>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</si>
  <si>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</si>
  <si>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</si>
  <si>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</si>
  <si>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</si>
  <si>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</si>
  <si>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</si>
  <si>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</si>
  <si>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</si>
  <si>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</si>
  <si>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</si>
  <si>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</si>
  <si>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</si>
  <si>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</si>
  <si>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</si>
  <si>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</si>
  <si>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</si>
  <si>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</si>
  <si>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</si>
  <si>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</si>
  <si>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</si>
  <si>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</si>
  <si>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</si>
  <si>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</si>
  <si>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</si>
  <si>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</si>
  <si>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</si>
  <si>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</si>
  <si>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</si>
  <si>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</si>
  <si>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</si>
  <si>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</si>
  <si>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</si>
  <si>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</si>
  <si>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</si>
  <si>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</si>
  <si>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</si>
  <si>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</si>
  <si>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</si>
  <si>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</si>
  <si>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</si>
  <si>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</si>
  <si>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</si>
  <si>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</si>
  <si>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</si>
  <si>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</si>
  <si>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</si>
  <si>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</si>
  <si>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</si>
  <si>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</si>
  <si>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</si>
  <si>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</si>
  <si>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</si>
  <si>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</si>
  <si>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</si>
  <si>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</si>
  <si>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</si>
  <si>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</si>
  <si>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</si>
  <si>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</si>
  <si>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</si>
  <si>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</si>
  <si>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</si>
  <si>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</si>
  <si>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</si>
  <si>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</si>
  <si>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</si>
  <si>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</si>
  <si>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</si>
  <si>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</si>
  <si>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</si>
  <si>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</si>
  <si>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</si>
  <si>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</si>
  <si>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</si>
  <si>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</si>
  <si>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</si>
  <si>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</si>
  <si>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</si>
  <si>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</si>
  <si>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</si>
  <si>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</si>
  <si>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</si>
  <si>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</si>
  <si>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</si>
  <si>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</si>
  <si>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</si>
  <si>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</si>
  <si>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</si>
  <si>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</si>
  <si>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</si>
  <si>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</si>
  <si>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</si>
  <si>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</si>
  <si>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</si>
  <si>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</si>
  <si>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</si>
  <si>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</si>
  <si>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</si>
  <si>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</si>
  <si>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</si>
  <si>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</si>
  <si>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</si>
  <si>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</si>
  <si>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</si>
  <si>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</si>
  <si>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</si>
  <si>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</si>
  <si>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</si>
  <si>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</si>
  <si>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</si>
  <si>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</si>
  <si>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</si>
  <si>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</si>
  <si>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</si>
  <si>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</si>
  <si>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</si>
  <si>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</si>
  <si>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</si>
  <si>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</si>
  <si>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</si>
  <si>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</si>
  <si>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</si>
  <si>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</si>
  <si>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</si>
  <si>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</si>
  <si>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</si>
  <si>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</si>
  <si>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</si>
  <si>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</si>
  <si>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</si>
  <si>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</si>
  <si>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</si>
  <si>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</si>
  <si>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</si>
  <si>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</si>
  <si>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</si>
  <si>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</si>
  <si>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</si>
  <si>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</si>
  <si>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</si>
  <si>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</si>
  <si>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</si>
  <si>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</si>
  <si>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</si>
  <si>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</si>
  <si>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</si>
  <si>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</si>
  <si>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</si>
  <si>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</si>
  <si>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</si>
  <si>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</si>
  <si>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</si>
  <si>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</si>
  <si>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</si>
  <si>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</si>
  <si>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</si>
  <si>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</si>
  <si>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</si>
  <si>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</si>
  <si>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</si>
  <si>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</si>
  <si>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</si>
  <si>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</si>
  <si>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</si>
  <si>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</si>
  <si>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</si>
  <si>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</si>
  <si>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</si>
  <si>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</si>
  <si>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</si>
  <si>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</si>
  <si>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</si>
  <si>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</si>
  <si>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</si>
  <si>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</si>
  <si>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</si>
  <si>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</si>
  <si>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</si>
  <si>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</si>
  <si>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</si>
  <si>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</si>
  <si>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</si>
  <si>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</si>
  <si>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</si>
  <si>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</si>
  <si>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</si>
  <si>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</si>
  <si>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</si>
  <si>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</si>
  <si>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</si>
  <si>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</si>
  <si>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</si>
  <si>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</si>
  <si>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</si>
  <si>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</si>
  <si>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</si>
  <si>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</si>
  <si>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</si>
  <si>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</si>
  <si>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</si>
  <si>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</si>
  <si>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</si>
  <si>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</si>
  <si>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</si>
  <si>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</si>
  <si>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</si>
  <si>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</si>
  <si>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</si>
  <si>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</si>
  <si>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</si>
  <si>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</si>
  <si>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</si>
  <si>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</si>
  <si>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</si>
  <si>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</si>
  <si>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</si>
  <si>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</si>
  <si>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</si>
  <si>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</si>
  <si>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</si>
  <si>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</si>
  <si>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</si>
  <si>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</si>
  <si>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</si>
  <si>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</si>
  <si>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</si>
  <si>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</si>
  <si>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</si>
  <si>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</si>
  <si>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</si>
  <si>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</si>
  <si>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</si>
  <si>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</si>
  <si>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</si>
  <si>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</si>
  <si>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</si>
  <si>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</si>
  <si>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</si>
  <si>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</si>
  <si>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</si>
  <si>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</si>
  <si>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</si>
  <si>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</si>
  <si>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</si>
  <si>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</si>
  <si>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</si>
  <si>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</si>
  <si>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</si>
  <si>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</si>
  <si>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</si>
  <si>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</si>
  <si>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</si>
  <si>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</si>
  <si>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</si>
  <si>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</si>
  <si>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</si>
  <si>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</si>
  <si>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</si>
  <si>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</si>
  <si>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</si>
  <si>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</si>
  <si>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</si>
  <si>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</si>
  <si>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</si>
  <si>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</si>
  <si>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</si>
  <si>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</si>
  <si>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</si>
  <si>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</si>
  <si>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</si>
  <si>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</si>
  <si>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</si>
  <si>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</si>
  <si>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</si>
  <si>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</si>
  <si>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</si>
  <si>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</si>
  <si>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</si>
  <si>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</si>
  <si>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</si>
  <si>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</si>
  <si>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</si>
  <si>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</si>
  <si>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</si>
  <si>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</si>
  <si>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</si>
  <si>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</si>
  <si>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</si>
  <si>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</si>
  <si>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</si>
  <si>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</si>
  <si>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</si>
  <si>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</si>
  <si>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</si>
  <si>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</si>
  <si>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</si>
  <si>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</si>
  <si>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</si>
  <si>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</si>
  <si>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</si>
  <si>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</si>
  <si>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</si>
  <si>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</si>
  <si>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</si>
  <si>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</si>
  <si>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</si>
  <si>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</si>
  <si>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</si>
  <si>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</si>
  <si>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</si>
  <si>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</si>
  <si>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</si>
  <si>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</si>
  <si>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</si>
  <si>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</si>
  <si>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</si>
  <si>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</si>
  <si>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</si>
  <si>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</si>
  <si>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</si>
  <si>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</si>
  <si>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</si>
  <si>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</si>
  <si>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</si>
  <si>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</si>
  <si>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</si>
  <si>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</si>
  <si>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</si>
  <si>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</si>
  <si>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</si>
  <si>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</si>
  <si>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</si>
  <si>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</si>
  <si>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</si>
  <si>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</si>
  <si>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</si>
  <si>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</si>
  <si>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</si>
  <si>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</si>
  <si>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</si>
  <si>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</si>
  <si>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</si>
  <si>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</si>
  <si>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</si>
  <si>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</si>
  <si>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</si>
  <si>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</si>
  <si>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</si>
  <si>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</si>
  <si>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</si>
  <si>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</si>
  <si>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</si>
  <si>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</si>
  <si>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</si>
  <si>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</si>
  <si>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</si>
  <si>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</si>
  <si>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</si>
  <si>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</si>
  <si>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</si>
  <si>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</si>
  <si>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</si>
  <si>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</si>
  <si>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</si>
  <si>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</si>
  <si>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</si>
  <si>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</si>
  <si>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</si>
  <si>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</si>
  <si>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</si>
  <si>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</si>
  <si>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</si>
  <si>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</si>
  <si>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</si>
  <si>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</si>
  <si>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</si>
  <si>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</si>
  <si>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</si>
  <si>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</si>
  <si>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</si>
  <si>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</si>
  <si>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</si>
  <si>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</si>
  <si>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</si>
  <si>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</si>
  <si>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</si>
  <si>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</si>
  <si>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</si>
  <si>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</si>
  <si>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</si>
  <si>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</si>
  <si>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</si>
  <si>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</si>
  <si>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</si>
  <si>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</si>
  <si>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</si>
  <si>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</si>
  <si>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</si>
  <si>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</si>
  <si>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</si>
  <si>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</si>
  <si>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</si>
  <si>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</si>
  <si>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</si>
  <si>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</si>
  <si>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</si>
  <si>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</si>
  <si>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</si>
  <si>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</si>
  <si>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</si>
  <si>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</si>
  <si>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</si>
  <si>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</si>
  <si>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</si>
  <si>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</si>
  <si>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</si>
  <si>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</si>
  <si>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</si>
  <si>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</si>
  <si>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</si>
  <si>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</si>
  <si>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</si>
  <si>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</si>
  <si>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</si>
  <si>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</si>
  <si>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</si>
  <si>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</si>
  <si>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</si>
  <si>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</si>
  <si>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</si>
  <si>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</si>
  <si>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</si>
  <si>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</si>
  <si>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</si>
  <si>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</si>
  <si>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</si>
  <si>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</si>
  <si>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</si>
  <si>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</si>
  <si>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</si>
  <si>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</si>
  <si>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</si>
  <si>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</si>
  <si>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</si>
  <si>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</si>
  <si>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</si>
  <si>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</si>
  <si>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</si>
  <si>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</si>
  <si>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</si>
  <si>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</si>
  <si>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</si>
  <si>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</si>
  <si>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</si>
  <si>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</si>
  <si>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</si>
  <si>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</si>
  <si>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</si>
  <si>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</si>
  <si>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</si>
  <si>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</si>
  <si>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</si>
  <si>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</si>
  <si>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</si>
  <si>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</si>
  <si>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</si>
  <si>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</si>
  <si>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</si>
  <si>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</si>
  <si>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</si>
  <si>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</si>
  <si>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</si>
  <si>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</si>
  <si>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</si>
  <si>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</si>
  <si>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</si>
  <si>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</si>
  <si>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</si>
  <si>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</si>
  <si>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</si>
  <si>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</si>
  <si>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</si>
  <si>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</si>
  <si>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</si>
  <si>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</si>
  <si>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</si>
  <si>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</si>
  <si>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</si>
  <si>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</si>
  <si>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</si>
  <si>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</si>
  <si>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</si>
  <si>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</si>
  <si>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</si>
  <si>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</si>
  <si>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</si>
  <si>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</si>
  <si>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</si>
  <si>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</si>
  <si>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</si>
  <si>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</si>
  <si>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</si>
  <si>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</si>
  <si>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</si>
  <si>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</si>
  <si>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</si>
  <si>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</si>
  <si>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</si>
  <si>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</si>
  <si>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</si>
  <si>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</si>
  <si>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</si>
  <si>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</si>
  <si>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</si>
  <si>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</si>
  <si>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</si>
  <si>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</si>
  <si>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</si>
  <si>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</si>
  <si>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</si>
  <si>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</si>
  <si>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</si>
  <si>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</si>
  <si>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</si>
  <si>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</si>
  <si>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</si>
  <si>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</si>
  <si>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</si>
  <si>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</si>
  <si>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</si>
  <si>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</si>
  <si>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</si>
  <si>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</si>
  <si>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</si>
  <si>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</si>
  <si>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</si>
  <si>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</si>
  <si>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</si>
  <si>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</si>
  <si>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</si>
  <si>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</si>
  <si>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</si>
  <si>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</si>
  <si>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</si>
  <si>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</si>
  <si>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</si>
  <si>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</si>
  <si>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</si>
  <si>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</si>
  <si>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</si>
  <si>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</si>
  <si>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</si>
  <si>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</si>
  <si>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</si>
  <si>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</si>
  <si>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</si>
  <si>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</si>
  <si>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</si>
  <si>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</si>
  <si>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</si>
  <si>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</si>
  <si>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</si>
  <si>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</si>
  <si>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</si>
  <si>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</si>
  <si>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</si>
  <si>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</si>
  <si>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</si>
  <si>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</si>
  <si>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</si>
  <si>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</si>
  <si>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</si>
  <si>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</si>
  <si>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</si>
  <si>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</si>
  <si>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</si>
  <si>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</si>
  <si>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</si>
  <si>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</si>
  <si>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</si>
  <si>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</si>
  <si>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F474 Reserved for encumbrances &amp; UFB remaing to City</t>
  </si>
  <si>
    <t>I474 Transfer to City 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</si>
</sst>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0.00_)"/>
    <numFmt numFmtId="165" formatCode="0_)"/>
    <numFmt numFmtId="166" formatCode="0.0%"/>
    <numFmt numFmtId="167" formatCode="0.0"/>
  </numFmts>
  <fonts count="86"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6">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xf numFmtId="44" fontId="85" fillId="0" borderId="0" applyFont="0" applyFill="0" applyBorder="0" applyAlignment="0" applyProtection="0"/>
  </cellStyleXfs>
  <cellXfs count="349">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40" fontId="14" fillId="46" borderId="0" xfId="0" applyNumberFormat="1" applyFont="1" applyFill="1"/>
    <xf numFmtId="0" fontId="40" fillId="40" borderId="0" xfId="0" applyFont="1" applyFill="1"/>
    <xf numFmtId="4" fontId="15" fillId="0" borderId="0" xfId="0" applyNumberFormat="1" applyFont="1" applyProtection="1">
      <protection locked="0"/>
    </xf>
    <xf numFmtId="4" fontId="0" fillId="0" borderId="0" xfId="0" applyNumberFormat="1" applyAlignment="1" applyProtection="1">
      <alignment wrapText="1"/>
      <protection locked="0"/>
    </xf>
    <xf numFmtId="4" fontId="0" fillId="0" borderId="0" xfId="45" applyNumberFormat="1" applyFont="1" applyProtection="1">
      <protection locked="0"/>
    </xf>
    <xf numFmtId="4" fontId="0" fillId="0" borderId="0" xfId="45" applyNumberFormat="1" applyFont="1" applyAlignment="1" applyProtection="1">
      <alignment wrapText="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6">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Currency" xfId="45" builtinId="4"/>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4"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997</v>
      </c>
      <c r="B2">
        <f>INDEX('School Tables'!$AH$3:$AH$213,MATCH('DOE25'!A2,'School Tables'!$AJ$3:$AJ$213,0))</f>
        <v>141</v>
      </c>
      <c r="C2">
        <f>INDEX('School Tables'!$AI$3:$AI$213,MATCH('DOE25'!A2,'School Tables'!$AJ$3:$AJ$213,0))</f>
        <v>141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c r="H13" s="18"/>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v>860944.54</v>
      </c>
      <c r="H18" s="102">
        <v>1575933</v>
      </c>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0</v>
      </c>
      <c r="G19" s="38">
        <f>SUM(G9:G18)</f>
        <v>860944.54</v>
      </c>
      <c r="H19" s="38">
        <f>SUM(H9:H18)</f>
        <v>1575933</v>
      </c>
      <c r="I19" s="38">
        <f>SUM(I9:I18)</f>
        <v>0</v>
      </c>
      <c r="J19" s="38">
        <f>SUM(J9:J18)</f>
        <v>0</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c r="G24" s="18"/>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0</v>
      </c>
      <c r="G32" s="38">
        <f>SUM(G22:G31)</f>
        <v>0</v>
      </c>
      <c r="H32" s="38">
        <f>SUM(H22:H31)</f>
        <v>0</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v>860944.54</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v>1575933</v>
      </c>
      <c r="I48" s="18"/>
      <c r="J48" s="13">
        <f>SUM(I460)</f>
        <v>0</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0</v>
      </c>
      <c r="G51" s="38">
        <f>SUM(G35:G50)</f>
        <v>860944.54</v>
      </c>
      <c r="H51" s="38">
        <f>SUM(H35:H50)</f>
        <v>1575933</v>
      </c>
      <c r="I51" s="38">
        <f>SUM(I35:I50)</f>
        <v>0</v>
      </c>
      <c r="J51" s="38">
        <f>SUM(J35:J50)</f>
        <v>0</v>
      </c>
      <c r="K51" s="42" t="s">
        <v>288</v>
      </c>
      <c r="L51" s="42" t="s">
        <v>288</v>
      </c>
      <c r="N51" s="130"/>
    </row>
    <row r="52" spans="1:14" s="3" customFormat="1" ht="12.2" customHeight="1" thickTop="1" x14ac:dyDescent="0.15">
      <c r="A52" s="35" t="s">
        <v>455</v>
      </c>
      <c r="B52" s="36" t="s">
        <v>289</v>
      </c>
      <c r="C52" s="6">
        <v>37</v>
      </c>
      <c r="D52" s="36" t="s">
        <v>653</v>
      </c>
      <c r="E52" s="36"/>
      <c r="F52" s="38">
        <f>F51+F32</f>
        <v>0</v>
      </c>
      <c r="G52" s="38">
        <f>G51+G32</f>
        <v>860944.54</v>
      </c>
      <c r="H52" s="38">
        <f>H51+H32</f>
        <v>1575933</v>
      </c>
      <c r="I52" s="38">
        <f>I51+I32</f>
        <v>0</v>
      </c>
      <c r="J52" s="38">
        <f>J51+J32</f>
        <v>0</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51743398</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51743398</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18960.23</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f>98466+65104.9</f>
        <v>163570.9</v>
      </c>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5005773.8600000003</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172219.48</v>
      </c>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v>209778.04</v>
      </c>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v>30609.84</v>
      </c>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5437341.4500000011</v>
      </c>
      <c r="G79" s="42" t="s">
        <v>288</v>
      </c>
      <c r="H79" s="38">
        <f>SUM(H63:H78)</f>
        <v>163570.9</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v>130191</v>
      </c>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130191</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c r="G96" s="18"/>
      <c r="H96" s="18"/>
      <c r="I96" s="18"/>
      <c r="J96" s="18"/>
      <c r="K96" s="23" t="s">
        <v>288</v>
      </c>
      <c r="L96" s="23" t="s">
        <v>288</v>
      </c>
      <c r="M96" s="8"/>
      <c r="N96" s="164"/>
    </row>
    <row r="97" spans="1:14" s="3" customFormat="1" ht="12.2" customHeight="1" x14ac:dyDescent="0.15">
      <c r="A97" s="1" t="s">
        <v>503</v>
      </c>
      <c r="B97" s="2" t="s">
        <v>315</v>
      </c>
      <c r="C97" s="6">
        <v>12</v>
      </c>
      <c r="D97" s="2" t="s">
        <v>430</v>
      </c>
      <c r="E97" s="6">
        <v>1600</v>
      </c>
      <c r="F97" s="23" t="s">
        <v>288</v>
      </c>
      <c r="G97" s="18">
        <v>897822.09</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f>95709.71+21999</f>
        <v>117708.71</v>
      </c>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v>99042.33</v>
      </c>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v>5548.83</v>
      </c>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v>233</v>
      </c>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v>63491</v>
      </c>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2363.27</v>
      </c>
      <c r="G110" s="18"/>
      <c r="H110" s="18">
        <v>15940</v>
      </c>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2363.27</v>
      </c>
      <c r="G111" s="38">
        <f>SUM(G96:G110)</f>
        <v>898055.09</v>
      </c>
      <c r="H111" s="38">
        <f>SUM(H96:H110)</f>
        <v>301730.87</v>
      </c>
      <c r="I111" s="38">
        <f>SUM(I96:I110)</f>
        <v>0</v>
      </c>
      <c r="J111" s="38">
        <f>SUM(J96:J110)</f>
        <v>0</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57313293.720000006</v>
      </c>
      <c r="G112" s="38">
        <f>G60+G111</f>
        <v>898055.09</v>
      </c>
      <c r="H112" s="38">
        <f>H60+H79+H94+H111</f>
        <v>465301.77</v>
      </c>
      <c r="I112" s="38">
        <f>I60+I111</f>
        <v>0</v>
      </c>
      <c r="J112" s="38">
        <f>J60+J111</f>
        <v>0</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13819354.51</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7120667</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f>40716.53+15900.89</f>
        <v>56617.42</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20996638.93</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383462.16</v>
      </c>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1432571.92</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454084.75</v>
      </c>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1483.2</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22612.079999999998</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v>57473.760000000002</v>
      </c>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2271602.0300000003</v>
      </c>
      <c r="G136" s="38">
        <f>SUM(G123:G135)</f>
        <v>22612.079999999998</v>
      </c>
      <c r="H136" s="38">
        <f>SUM(H123:H135)</f>
        <v>57473.760000000002</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23268240.960000001</v>
      </c>
      <c r="G140" s="38">
        <f>G121+SUM(G136:G137)</f>
        <v>22612.079999999998</v>
      </c>
      <c r="H140" s="38">
        <f>H121+SUM(H136:H139)</f>
        <v>57473.760000000002</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v>141959.45000000001</v>
      </c>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v>250822.02000000002</v>
      </c>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250822.02000000002</v>
      </c>
      <c r="G147" s="38">
        <f>SUM(G145:G146)</f>
        <v>141959.45000000001</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1122420.94</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241786.3</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v>285840.02</v>
      </c>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v>557190.06000000006</v>
      </c>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f>569433.84+27352.26</f>
        <v>596786.1</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1110076.83</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43661.48</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v>10000</v>
      </c>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3120974.38</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43661.48</v>
      </c>
      <c r="G163" s="38">
        <f>SUM(G150:G162)</f>
        <v>606786.1</v>
      </c>
      <c r="H163" s="38">
        <f>SUM(H150:H162)</f>
        <v>6438288.5300000003</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294483.5</v>
      </c>
      <c r="G170" s="38">
        <f>G147+G163+SUM(G164:G169)</f>
        <v>748745.55</v>
      </c>
      <c r="H170" s="38">
        <f>H147+H163+SUM(H164:H169)</f>
        <v>6438288.5300000003</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18766.95</v>
      </c>
      <c r="H180" s="18"/>
      <c r="I180" s="18">
        <v>1355000</v>
      </c>
      <c r="J180" s="18"/>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18766.95</v>
      </c>
      <c r="H184" s="38">
        <f>SUM(H180:H183)</f>
        <v>0</v>
      </c>
      <c r="I184" s="38">
        <f>SUM(I180:I183)</f>
        <v>1355000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v>436</v>
      </c>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18766.95</v>
      </c>
      <c r="H193" s="38">
        <f>+H184+SUM(H189:H192)</f>
        <v>436</v>
      </c>
      <c r="I193" s="38">
        <f>I178+I184+SUM(I189:I192)</f>
        <v>1355000</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80876018.180000007</v>
      </c>
      <c r="G194" s="38">
        <f>G112+G140+G170+G193</f>
        <v>1688179.67</v>
      </c>
      <c r="H194" s="38">
        <f>H112+H140+H170+H193</f>
        <v>6961500.0600000005</v>
      </c>
      <c r="I194" s="38">
        <f>I112+I140+I170+I193</f>
        <v>1355000</v>
      </c>
      <c r="J194" s="38">
        <f>J112+J140+J193</f>
        <v>0</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6084267.0074483715</v>
      </c>
      <c r="G198" s="18">
        <v>3783288.8727042</v>
      </c>
      <c r="H198" s="18">
        <v>0</v>
      </c>
      <c r="I198" s="18">
        <v>164298.03623559221</v>
      </c>
      <c r="J198" s="18">
        <v>1075.94</v>
      </c>
      <c r="K198" s="18">
        <v>283.44908365586855</v>
      </c>
      <c r="L198" s="13">
        <f>SUM(F198:K198)</f>
        <v>10033213.305471819</v>
      </c>
      <c r="M198" s="8"/>
      <c r="N198" s="164"/>
    </row>
    <row r="199" spans="1:14" s="3" customFormat="1" ht="12.2" customHeight="1" x14ac:dyDescent="0.15">
      <c r="A199" s="1" t="s">
        <v>439</v>
      </c>
      <c r="B199" s="2" t="s">
        <v>341</v>
      </c>
      <c r="C199" s="2" t="s">
        <v>291</v>
      </c>
      <c r="D199" s="2" t="s">
        <v>431</v>
      </c>
      <c r="E199" s="6">
        <v>1200</v>
      </c>
      <c r="F199" s="18">
        <v>2971254.9211849482</v>
      </c>
      <c r="G199" s="18">
        <v>1106102.449451599</v>
      </c>
      <c r="H199" s="18">
        <v>2388477.2474043011</v>
      </c>
      <c r="I199" s="18">
        <v>21696.520912427604</v>
      </c>
      <c r="J199" s="18">
        <v>2751.0951249020695</v>
      </c>
      <c r="K199" s="18">
        <v>10148.718496957281</v>
      </c>
      <c r="L199" s="13">
        <f>SUM(F199:K199)</f>
        <v>6500430.952575135</v>
      </c>
      <c r="M199" s="8"/>
      <c r="N199" s="1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4"/>
    </row>
    <row r="201" spans="1:14" s="3" customFormat="1" ht="12.2" customHeight="1" x14ac:dyDescent="0.15">
      <c r="A201" s="1" t="s">
        <v>441</v>
      </c>
      <c r="B201" s="2" t="s">
        <v>341</v>
      </c>
      <c r="C201" s="2" t="s">
        <v>293</v>
      </c>
      <c r="D201" s="2" t="s">
        <v>431</v>
      </c>
      <c r="E201" s="6">
        <v>1400</v>
      </c>
      <c r="F201" s="18">
        <v>7500.8812934304742</v>
      </c>
      <c r="G201" s="18">
        <v>1097.1797727096105</v>
      </c>
      <c r="H201" s="18">
        <v>643.04264397104794</v>
      </c>
      <c r="I201" s="18">
        <v>2050.0230733897533</v>
      </c>
      <c r="J201" s="18">
        <v>0</v>
      </c>
      <c r="K201" s="18">
        <v>0</v>
      </c>
      <c r="L201" s="13">
        <f>SUM(F201:K201)</f>
        <v>11291.126783500886</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1237329.5500573316</v>
      </c>
      <c r="G203" s="18">
        <v>913009.32555463153</v>
      </c>
      <c r="H203" s="18">
        <v>145436.62341089046</v>
      </c>
      <c r="I203" s="18">
        <v>6396.57</v>
      </c>
      <c r="J203" s="18">
        <v>843.98</v>
      </c>
      <c r="K203" s="18">
        <v>0</v>
      </c>
      <c r="L203" s="13">
        <f t="shared" ref="L203:L209" si="0">SUM(F203:K203)</f>
        <v>2303016.0490228534</v>
      </c>
      <c r="M203" s="8"/>
      <c r="N203" s="164"/>
    </row>
    <row r="204" spans="1:14" s="3" customFormat="1" ht="12.2" customHeight="1" x14ac:dyDescent="0.15">
      <c r="A204" s="1" t="s">
        <v>443</v>
      </c>
      <c r="B204" s="2" t="s">
        <v>341</v>
      </c>
      <c r="C204" s="2" t="s">
        <v>295</v>
      </c>
      <c r="D204" s="2" t="s">
        <v>431</v>
      </c>
      <c r="E204" s="6">
        <v>2200</v>
      </c>
      <c r="F204" s="18">
        <v>391099.95945624838</v>
      </c>
      <c r="G204" s="18">
        <v>261350.6405217415</v>
      </c>
      <c r="H204" s="18">
        <v>15115.368055638864</v>
      </c>
      <c r="I204" s="18">
        <v>107285.96284797983</v>
      </c>
      <c r="J204" s="18">
        <v>0</v>
      </c>
      <c r="K204" s="18">
        <v>432.53551667047412</v>
      </c>
      <c r="L204" s="13">
        <f t="shared" si="0"/>
        <v>775284.46639827907</v>
      </c>
      <c r="M204" s="8"/>
      <c r="N204" s="164"/>
    </row>
    <row r="205" spans="1:14" s="3" customFormat="1" ht="12.2" customHeight="1" x14ac:dyDescent="0.15">
      <c r="A205" s="1" t="s">
        <v>444</v>
      </c>
      <c r="B205" s="2" t="s">
        <v>341</v>
      </c>
      <c r="C205" s="2" t="s">
        <v>296</v>
      </c>
      <c r="D205" s="2" t="s">
        <v>431</v>
      </c>
      <c r="E205" s="6">
        <v>2300</v>
      </c>
      <c r="F205" s="18">
        <v>250049.55352593286</v>
      </c>
      <c r="G205" s="18">
        <v>131594.29640541357</v>
      </c>
      <c r="H205" s="18">
        <v>199598.44545937667</v>
      </c>
      <c r="I205" s="18">
        <v>3086.9594417857638</v>
      </c>
      <c r="J205" s="18">
        <v>0</v>
      </c>
      <c r="K205" s="18">
        <v>5319.2820779690701</v>
      </c>
      <c r="L205" s="13">
        <f t="shared" si="0"/>
        <v>589648.53691047791</v>
      </c>
      <c r="M205" s="8"/>
      <c r="N205" s="164"/>
    </row>
    <row r="206" spans="1:14" s="3" customFormat="1" ht="12.2" customHeight="1" x14ac:dyDescent="0.15">
      <c r="A206" s="1" t="s">
        <v>445</v>
      </c>
      <c r="B206" s="2" t="s">
        <v>341</v>
      </c>
      <c r="C206" s="2" t="s">
        <v>297</v>
      </c>
      <c r="D206" s="2" t="s">
        <v>431</v>
      </c>
      <c r="E206" s="6">
        <v>2400</v>
      </c>
      <c r="F206" s="18">
        <v>850208.36</v>
      </c>
      <c r="G206" s="18">
        <v>470053.23</v>
      </c>
      <c r="H206" s="18">
        <v>5044.1000000000004</v>
      </c>
      <c r="I206" s="18">
        <v>476.96000000000004</v>
      </c>
      <c r="J206" s="18">
        <v>88.95</v>
      </c>
      <c r="K206" s="18">
        <v>3351</v>
      </c>
      <c r="L206" s="13">
        <f t="shared" si="0"/>
        <v>1329222.5999999999</v>
      </c>
      <c r="M206" s="8"/>
      <c r="N206" s="1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4"/>
    </row>
    <row r="208" spans="1:14" s="3" customFormat="1" ht="12.2" customHeight="1" x14ac:dyDescent="0.15">
      <c r="A208" s="1" t="s">
        <v>447</v>
      </c>
      <c r="B208" s="2" t="s">
        <v>341</v>
      </c>
      <c r="C208" s="2" t="s">
        <v>299</v>
      </c>
      <c r="D208" s="2" t="s">
        <v>431</v>
      </c>
      <c r="E208" s="6">
        <v>2600</v>
      </c>
      <c r="F208" s="18">
        <v>0</v>
      </c>
      <c r="G208" s="18">
        <v>0</v>
      </c>
      <c r="H208" s="18">
        <v>1401446.3184346806</v>
      </c>
      <c r="I208" s="18">
        <v>365175.15552962798</v>
      </c>
      <c r="J208" s="18">
        <v>211725.41487024486</v>
      </c>
      <c r="K208" s="18">
        <v>0</v>
      </c>
      <c r="L208" s="13">
        <f t="shared" si="0"/>
        <v>1978346.8888345535</v>
      </c>
      <c r="M208" s="8"/>
      <c r="N208" s="164"/>
    </row>
    <row r="209" spans="1:14" s="3" customFormat="1" ht="12.2" customHeight="1" x14ac:dyDescent="0.15">
      <c r="A209" s="1" t="s">
        <v>448</v>
      </c>
      <c r="B209" s="2" t="s">
        <v>341</v>
      </c>
      <c r="C209" s="2" t="s">
        <v>300</v>
      </c>
      <c r="D209" s="2" t="s">
        <v>431</v>
      </c>
      <c r="E209" s="6">
        <v>2700</v>
      </c>
      <c r="F209" s="18">
        <v>1630.5514962521258</v>
      </c>
      <c r="G209" s="18">
        <v>137.43498719308337</v>
      </c>
      <c r="H209" s="18">
        <v>1386795.0289436586</v>
      </c>
      <c r="I209" s="18">
        <v>0</v>
      </c>
      <c r="J209" s="18">
        <v>0</v>
      </c>
      <c r="K209" s="18">
        <v>0</v>
      </c>
      <c r="L209" s="13">
        <f t="shared" si="0"/>
        <v>1388563.0154271037</v>
      </c>
      <c r="M209" s="8"/>
      <c r="N209" s="164"/>
    </row>
    <row r="210" spans="1:14" s="3" customFormat="1" ht="12.2" customHeight="1" x14ac:dyDescent="0.15">
      <c r="A210" s="1" t="s">
        <v>449</v>
      </c>
      <c r="B210" s="2" t="s">
        <v>341</v>
      </c>
      <c r="C210" s="2" t="s">
        <v>343</v>
      </c>
      <c r="D210" s="2" t="s">
        <v>431</v>
      </c>
      <c r="E210" s="6">
        <v>2800</v>
      </c>
      <c r="F210" s="18">
        <v>164546.74623896473</v>
      </c>
      <c r="G210" s="18">
        <v>136388.02595457598</v>
      </c>
      <c r="H210" s="18">
        <v>60071.896229999693</v>
      </c>
      <c r="I210" s="18">
        <v>134609.40743436248</v>
      </c>
      <c r="J210" s="18">
        <v>39085.243669804047</v>
      </c>
      <c r="K210" s="18">
        <v>2177.9741742353744</v>
      </c>
      <c r="L210" s="13">
        <f>SUM(F210:K210)</f>
        <v>536879.29370194231</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11957887.530701479</v>
      </c>
      <c r="G212" s="38">
        <f t="shared" si="1"/>
        <v>6803021.4553520642</v>
      </c>
      <c r="H212" s="38">
        <f t="shared" si="1"/>
        <v>5602628.0705825174</v>
      </c>
      <c r="I212" s="38">
        <f t="shared" si="1"/>
        <v>805075.59547516564</v>
      </c>
      <c r="J212" s="38">
        <f t="shared" si="1"/>
        <v>255570.62366495098</v>
      </c>
      <c r="K212" s="38">
        <f t="shared" si="1"/>
        <v>21712.959349488068</v>
      </c>
      <c r="L212" s="38">
        <f t="shared" si="1"/>
        <v>25445896.235125672</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v>4132668.6429254632</v>
      </c>
      <c r="G216" s="18">
        <v>2540263.8577341842</v>
      </c>
      <c r="H216" s="18">
        <v>1723.78</v>
      </c>
      <c r="I216" s="18">
        <v>95300.966089328474</v>
      </c>
      <c r="J216" s="18">
        <v>68273.39</v>
      </c>
      <c r="K216" s="18">
        <v>240.68282264087614</v>
      </c>
      <c r="L216" s="13">
        <f>SUM(F216:K216)</f>
        <v>6838471.3195716171</v>
      </c>
      <c r="M216" s="8"/>
      <c r="N216" s="164"/>
    </row>
    <row r="217" spans="1:14" s="3" customFormat="1" ht="12.2" customHeight="1" x14ac:dyDescent="0.15">
      <c r="A217" s="1" t="s">
        <v>439</v>
      </c>
      <c r="B217" s="2" t="s">
        <v>346</v>
      </c>
      <c r="C217" s="2" t="s">
        <v>291</v>
      </c>
      <c r="D217" s="2" t="s">
        <v>431</v>
      </c>
      <c r="E217" s="6">
        <v>1200</v>
      </c>
      <c r="F217" s="18">
        <v>1657514.1959579787</v>
      </c>
      <c r="G217" s="18">
        <v>806521.24689209915</v>
      </c>
      <c r="H217" s="18">
        <v>2426605.6148092253</v>
      </c>
      <c r="I217" s="18">
        <v>20382.007277505429</v>
      </c>
      <c r="J217" s="18">
        <v>2336.0151018123597</v>
      </c>
      <c r="K217" s="18">
        <v>8617.4990673136235</v>
      </c>
      <c r="L217" s="13">
        <f>SUM(F217:K217)</f>
        <v>4921976.579105936</v>
      </c>
      <c r="M217" s="8"/>
      <c r="N217" s="1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4"/>
    </row>
    <row r="219" spans="1:14" s="3" customFormat="1" ht="12.2" customHeight="1" x14ac:dyDescent="0.15">
      <c r="A219" s="1" t="s">
        <v>441</v>
      </c>
      <c r="B219" s="2" t="s">
        <v>346</v>
      </c>
      <c r="C219" s="2" t="s">
        <v>293</v>
      </c>
      <c r="D219" s="2" t="s">
        <v>431</v>
      </c>
      <c r="E219" s="6">
        <v>1400</v>
      </c>
      <c r="F219" s="18">
        <v>36927.989727135086</v>
      </c>
      <c r="G219" s="18">
        <v>6806.2152661364225</v>
      </c>
      <c r="H219" s="18">
        <v>6378.0215874866153</v>
      </c>
      <c r="I219" s="18">
        <v>1740.7194739123099</v>
      </c>
      <c r="J219" s="18">
        <v>4204.7</v>
      </c>
      <c r="K219" s="18">
        <v>503.95</v>
      </c>
      <c r="L219" s="13">
        <f>SUM(F219:K219)</f>
        <v>56561.59605467043</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684823.02950349671</v>
      </c>
      <c r="G221" s="18">
        <v>405292.99718644924</v>
      </c>
      <c r="H221" s="18">
        <v>141613.44999157352</v>
      </c>
      <c r="I221" s="18">
        <v>2675.5600000000004</v>
      </c>
      <c r="J221" s="18">
        <v>0</v>
      </c>
      <c r="K221" s="18">
        <v>0</v>
      </c>
      <c r="L221" s="13">
        <f t="shared" ref="L221:L227" si="2">SUM(F221:K221)</f>
        <v>1234405.0366815196</v>
      </c>
      <c r="M221" s="8"/>
      <c r="N221" s="164"/>
    </row>
    <row r="222" spans="1:14" s="3" customFormat="1" ht="12.2" customHeight="1" x14ac:dyDescent="0.15">
      <c r="A222" s="1" t="s">
        <v>443</v>
      </c>
      <c r="B222" s="2" t="s">
        <v>346</v>
      </c>
      <c r="C222" s="2" t="s">
        <v>295</v>
      </c>
      <c r="D222" s="2" t="s">
        <v>431</v>
      </c>
      <c r="E222" s="6">
        <v>2200</v>
      </c>
      <c r="F222" s="18">
        <v>201422.96607904555</v>
      </c>
      <c r="G222" s="18">
        <v>96453.846858304416</v>
      </c>
      <c r="H222" s="18">
        <v>14416.655397906197</v>
      </c>
      <c r="I222" s="18">
        <v>71584.802537657612</v>
      </c>
      <c r="J222" s="18">
        <v>0</v>
      </c>
      <c r="K222" s="18">
        <v>367.27537694590131</v>
      </c>
      <c r="L222" s="13">
        <f t="shared" si="2"/>
        <v>384245.54624985968</v>
      </c>
      <c r="M222" s="8"/>
      <c r="N222" s="164"/>
    </row>
    <row r="223" spans="1:14" s="3" customFormat="1" ht="12.2" customHeight="1" x14ac:dyDescent="0.15">
      <c r="A223" s="1" t="s">
        <v>444</v>
      </c>
      <c r="B223" s="2" t="s">
        <v>346</v>
      </c>
      <c r="C223" s="2" t="s">
        <v>296</v>
      </c>
      <c r="D223" s="2" t="s">
        <v>431</v>
      </c>
      <c r="E223" s="6">
        <v>2300</v>
      </c>
      <c r="F223" s="18">
        <v>212322.55037303007</v>
      </c>
      <c r="G223" s="18">
        <v>111739.59814506986</v>
      </c>
      <c r="H223" s="18">
        <v>171576.03459983473</v>
      </c>
      <c r="I223" s="18">
        <v>2621.2048465428807</v>
      </c>
      <c r="J223" s="18">
        <v>0</v>
      </c>
      <c r="K223" s="18">
        <v>4516.7188704090713</v>
      </c>
      <c r="L223" s="13">
        <f t="shared" si="2"/>
        <v>502776.10683488654</v>
      </c>
      <c r="M223" s="8"/>
      <c r="N223" s="164"/>
    </row>
    <row r="224" spans="1:14" s="3" customFormat="1" ht="12.2" customHeight="1" x14ac:dyDescent="0.15">
      <c r="A224" s="1" t="s">
        <v>445</v>
      </c>
      <c r="B224" s="2" t="s">
        <v>346</v>
      </c>
      <c r="C224" s="2" t="s">
        <v>297</v>
      </c>
      <c r="D224" s="2" t="s">
        <v>431</v>
      </c>
      <c r="E224" s="6">
        <v>2400</v>
      </c>
      <c r="F224" s="18">
        <v>565175.91</v>
      </c>
      <c r="G224" s="18">
        <v>265369.77</v>
      </c>
      <c r="H224" s="18">
        <v>1625.21</v>
      </c>
      <c r="I224" s="18">
        <v>0</v>
      </c>
      <c r="J224" s="18">
        <v>0</v>
      </c>
      <c r="K224" s="18">
        <v>2556.0300000000002</v>
      </c>
      <c r="L224" s="13">
        <f t="shared" si="2"/>
        <v>834726.92</v>
      </c>
      <c r="M224" s="8"/>
      <c r="N224" s="164"/>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3">
        <f t="shared" si="2"/>
        <v>0</v>
      </c>
      <c r="M225" s="8"/>
      <c r="N225" s="164"/>
    </row>
    <row r="226" spans="1:14" s="3" customFormat="1" ht="12.2" customHeight="1" x14ac:dyDescent="0.15">
      <c r="A226" s="1" t="s">
        <v>447</v>
      </c>
      <c r="B226" s="2" t="s">
        <v>346</v>
      </c>
      <c r="C226" s="2" t="s">
        <v>299</v>
      </c>
      <c r="D226" s="2" t="s">
        <v>431</v>
      </c>
      <c r="E226" s="6">
        <v>2600</v>
      </c>
      <c r="F226" s="18">
        <v>0</v>
      </c>
      <c r="G226" s="18">
        <v>0</v>
      </c>
      <c r="H226" s="18">
        <v>1219077.4987870012</v>
      </c>
      <c r="I226" s="18">
        <v>319378.91402039136</v>
      </c>
      <c r="J226" s="18">
        <v>191220.14064884983</v>
      </c>
      <c r="K226" s="18">
        <v>0</v>
      </c>
      <c r="L226" s="13">
        <f t="shared" si="2"/>
        <v>1729676.5534562424</v>
      </c>
      <c r="M226" s="8"/>
      <c r="N226" s="164"/>
    </row>
    <row r="227" spans="1:14" s="3" customFormat="1" ht="12.2" customHeight="1" x14ac:dyDescent="0.15">
      <c r="A227" s="1" t="s">
        <v>448</v>
      </c>
      <c r="B227" s="2" t="s">
        <v>346</v>
      </c>
      <c r="C227" s="2" t="s">
        <v>300</v>
      </c>
      <c r="D227" s="2" t="s">
        <v>431</v>
      </c>
      <c r="E227" s="6">
        <v>2700</v>
      </c>
      <c r="F227" s="18">
        <v>1384.5369740398537</v>
      </c>
      <c r="G227" s="18">
        <v>116.69905656637714</v>
      </c>
      <c r="H227" s="18">
        <v>1126229.1388550033</v>
      </c>
      <c r="I227" s="18">
        <v>0</v>
      </c>
      <c r="J227" s="18">
        <v>0</v>
      </c>
      <c r="K227" s="18">
        <v>0</v>
      </c>
      <c r="L227" s="13">
        <f t="shared" si="2"/>
        <v>1127730.3748856096</v>
      </c>
      <c r="M227" s="8"/>
      <c r="N227" s="164"/>
    </row>
    <row r="228" spans="1:14" s="3" customFormat="1" ht="12.2" customHeight="1" x14ac:dyDescent="0.15">
      <c r="A228" s="1" t="s">
        <v>449</v>
      </c>
      <c r="B228" s="2" t="s">
        <v>346</v>
      </c>
      <c r="C228" s="2" t="s">
        <v>343</v>
      </c>
      <c r="D228" s="2" t="s">
        <v>431</v>
      </c>
      <c r="E228" s="6">
        <v>2800</v>
      </c>
      <c r="F228" s="18">
        <v>140620.24474507786</v>
      </c>
      <c r="G228" s="18">
        <v>117360.24755361074</v>
      </c>
      <c r="H228" s="18">
        <v>51008.362276378757</v>
      </c>
      <c r="I228" s="18">
        <v>114299.79493125564</v>
      </c>
      <c r="J228" s="18">
        <v>33188.136115041932</v>
      </c>
      <c r="K228" s="18">
        <v>1849.3655549450502</v>
      </c>
      <c r="L228" s="13">
        <f>SUM(F228:K228)</f>
        <v>458326.15117630997</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7632860.0662852656</v>
      </c>
      <c r="G230" s="38">
        <f>SUM(G216:G229)</f>
        <v>4349924.4786924217</v>
      </c>
      <c r="H230" s="38">
        <f>SUM(H216:H229)</f>
        <v>5160253.7663044091</v>
      </c>
      <c r="I230" s="38">
        <f>SUM(I216:I229)</f>
        <v>627983.9691765937</v>
      </c>
      <c r="J230" s="38">
        <f>SUM(J216:J229)</f>
        <v>299222.38186570408</v>
      </c>
      <c r="K230" s="38">
        <f t="shared" si="3"/>
        <v>18651.521692254522</v>
      </c>
      <c r="L230" s="38">
        <f t="shared" si="3"/>
        <v>18088896.184016656</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5350052.3696261663</v>
      </c>
      <c r="G234" s="18">
        <v>3334147.0095616155</v>
      </c>
      <c r="H234" s="18">
        <v>26385.27</v>
      </c>
      <c r="I234" s="18">
        <v>78619.407675079303</v>
      </c>
      <c r="J234" s="18">
        <v>14109.15</v>
      </c>
      <c r="K234" s="18">
        <v>346.7880937032553</v>
      </c>
      <c r="L234" s="13">
        <f>SUM(F234:K234)</f>
        <v>8803659.9949565642</v>
      </c>
      <c r="M234" s="8"/>
      <c r="N234" s="164"/>
    </row>
    <row r="235" spans="1:14" s="3" customFormat="1" ht="12.2" customHeight="1" x14ac:dyDescent="0.15">
      <c r="A235" s="1" t="s">
        <v>439</v>
      </c>
      <c r="B235" s="2" t="s">
        <v>350</v>
      </c>
      <c r="C235" s="2" t="s">
        <v>291</v>
      </c>
      <c r="D235" s="2" t="s">
        <v>431</v>
      </c>
      <c r="E235" s="6">
        <v>1200</v>
      </c>
      <c r="F235" s="18">
        <v>2320651.5428570732</v>
      </c>
      <c r="G235" s="18">
        <v>1138172.7936563017</v>
      </c>
      <c r="H235" s="18">
        <v>3008135.3877864741</v>
      </c>
      <c r="I235" s="18">
        <v>33898.501810066962</v>
      </c>
      <c r="J235" s="18">
        <v>4390.8297732855699</v>
      </c>
      <c r="K235" s="18">
        <v>12505.532435729096</v>
      </c>
      <c r="L235" s="13">
        <f>SUM(F235:K235)</f>
        <v>6517754.5883189309</v>
      </c>
      <c r="M235" s="8"/>
      <c r="N235" s="164"/>
    </row>
    <row r="236" spans="1:14" s="3" customFormat="1" ht="12.2" customHeight="1" x14ac:dyDescent="0.15">
      <c r="A236" s="1" t="s">
        <v>440</v>
      </c>
      <c r="B236" s="2" t="s">
        <v>350</v>
      </c>
      <c r="C236" s="2" t="s">
        <v>292</v>
      </c>
      <c r="D236" s="2" t="s">
        <v>431</v>
      </c>
      <c r="E236" s="6">
        <v>1300</v>
      </c>
      <c r="F236" s="18">
        <v>1645656.5400000003</v>
      </c>
      <c r="G236" s="18">
        <v>1042188.8500000003</v>
      </c>
      <c r="H236" s="18">
        <v>17673.55</v>
      </c>
      <c r="I236" s="18">
        <v>118570.33999999997</v>
      </c>
      <c r="J236" s="18">
        <v>2567.08</v>
      </c>
      <c r="K236" s="18">
        <v>5405.75</v>
      </c>
      <c r="L236" s="13">
        <f>SUM(F236:K236)</f>
        <v>2832062.1100000003</v>
      </c>
      <c r="M236" s="8"/>
      <c r="N236" s="164"/>
    </row>
    <row r="237" spans="1:14" s="3" customFormat="1" ht="12.2" customHeight="1" x14ac:dyDescent="0.15">
      <c r="A237" s="1" t="s">
        <v>441</v>
      </c>
      <c r="B237" s="2" t="s">
        <v>350</v>
      </c>
      <c r="C237" s="2" t="s">
        <v>293</v>
      </c>
      <c r="D237" s="2" t="s">
        <v>431</v>
      </c>
      <c r="E237" s="6">
        <v>1400</v>
      </c>
      <c r="F237" s="18">
        <v>370783.56897943444</v>
      </c>
      <c r="G237" s="18">
        <v>136820.30496115398</v>
      </c>
      <c r="H237" s="18">
        <v>55915.235768542334</v>
      </c>
      <c r="I237" s="18">
        <v>27698.787452697939</v>
      </c>
      <c r="J237" s="18">
        <v>21895.25</v>
      </c>
      <c r="K237" s="18">
        <v>44644.32</v>
      </c>
      <c r="L237" s="13">
        <f>SUM(F237:K237)</f>
        <v>657757.46716182877</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926889.55043917173</v>
      </c>
      <c r="G239" s="18">
        <v>581704.02725891932</v>
      </c>
      <c r="H239" s="18">
        <v>192983.94659753604</v>
      </c>
      <c r="I239" s="18">
        <v>3050.52</v>
      </c>
      <c r="J239" s="18">
        <v>0</v>
      </c>
      <c r="K239" s="18">
        <v>0</v>
      </c>
      <c r="L239" s="13">
        <f t="shared" ref="L239:L245" si="4">SUM(F239:K239)</f>
        <v>1704628.0442956272</v>
      </c>
      <c r="M239" s="8"/>
      <c r="N239" s="164"/>
    </row>
    <row r="240" spans="1:14" s="3" customFormat="1" ht="12.2" customHeight="1" x14ac:dyDescent="0.15">
      <c r="A240" s="1" t="s">
        <v>443</v>
      </c>
      <c r="B240" s="2" t="s">
        <v>350</v>
      </c>
      <c r="C240" s="2" t="s">
        <v>295</v>
      </c>
      <c r="D240" s="2" t="s">
        <v>431</v>
      </c>
      <c r="E240" s="6">
        <v>2200</v>
      </c>
      <c r="F240" s="18">
        <v>289349.21446470614</v>
      </c>
      <c r="G240" s="18">
        <v>155822.56261995409</v>
      </c>
      <c r="H240" s="18">
        <v>19092.336546454939</v>
      </c>
      <c r="I240" s="18">
        <v>48635.244614362571</v>
      </c>
      <c r="J240" s="18">
        <v>0</v>
      </c>
      <c r="K240" s="18">
        <v>529.18910638362456</v>
      </c>
      <c r="L240" s="13">
        <f t="shared" si="4"/>
        <v>513428.54735186143</v>
      </c>
      <c r="M240" s="8"/>
      <c r="N240" s="164"/>
    </row>
    <row r="241" spans="1:14" s="3" customFormat="1" ht="12.2" customHeight="1" x14ac:dyDescent="0.15">
      <c r="A241" s="1" t="s">
        <v>444</v>
      </c>
      <c r="B241" s="2" t="s">
        <v>350</v>
      </c>
      <c r="C241" s="2" t="s">
        <v>296</v>
      </c>
      <c r="D241" s="2" t="s">
        <v>431</v>
      </c>
      <c r="E241" s="6">
        <v>2300</v>
      </c>
      <c r="F241" s="18">
        <v>305925.16610103712</v>
      </c>
      <c r="G241" s="18">
        <v>161000.11544951657</v>
      </c>
      <c r="H241" s="18">
        <v>188252.88994078862</v>
      </c>
      <c r="I241" s="18">
        <v>3776.7657116713558</v>
      </c>
      <c r="J241" s="18">
        <v>0</v>
      </c>
      <c r="K241" s="18">
        <v>6507.9190516218569</v>
      </c>
      <c r="L241" s="13">
        <f t="shared" si="4"/>
        <v>665462.8562546355</v>
      </c>
      <c r="M241" s="8"/>
      <c r="N241" s="164"/>
    </row>
    <row r="242" spans="1:14" s="3" customFormat="1" ht="12.2" customHeight="1" x14ac:dyDescent="0.15">
      <c r="A242" s="1" t="s">
        <v>445</v>
      </c>
      <c r="B242" s="2" t="s">
        <v>350</v>
      </c>
      <c r="C242" s="2" t="s">
        <v>297</v>
      </c>
      <c r="D242" s="2" t="s">
        <v>431</v>
      </c>
      <c r="E242" s="6">
        <v>2400</v>
      </c>
      <c r="F242" s="18">
        <v>709026.97</v>
      </c>
      <c r="G242" s="18">
        <v>426456.66999999993</v>
      </c>
      <c r="H242" s="18">
        <v>23718.659999999996</v>
      </c>
      <c r="I242" s="18">
        <v>8445.6</v>
      </c>
      <c r="J242" s="18">
        <v>0</v>
      </c>
      <c r="K242" s="18">
        <v>5690</v>
      </c>
      <c r="L242" s="13">
        <f t="shared" si="4"/>
        <v>1173337.8999999999</v>
      </c>
      <c r="M242" s="8"/>
      <c r="N242" s="164"/>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3">
        <f t="shared" si="4"/>
        <v>0</v>
      </c>
      <c r="M243" s="8"/>
      <c r="N243" s="164"/>
    </row>
    <row r="244" spans="1:14" s="3" customFormat="1" ht="12.2" customHeight="1" x14ac:dyDescent="0.15">
      <c r="A244" s="1" t="s">
        <v>447</v>
      </c>
      <c r="B244" s="2" t="s">
        <v>350</v>
      </c>
      <c r="C244" s="2" t="s">
        <v>299</v>
      </c>
      <c r="D244" s="2" t="s">
        <v>431</v>
      </c>
      <c r="E244" s="6">
        <v>2600</v>
      </c>
      <c r="F244" s="18">
        <v>0</v>
      </c>
      <c r="G244" s="18">
        <v>0</v>
      </c>
      <c r="H244" s="18">
        <v>1648405.5427783178</v>
      </c>
      <c r="I244" s="18">
        <v>625737.92044998065</v>
      </c>
      <c r="J244" s="18">
        <v>130371.55448090531</v>
      </c>
      <c r="K244" s="18">
        <v>0</v>
      </c>
      <c r="L244" s="13">
        <f t="shared" si="4"/>
        <v>2404515.0177092035</v>
      </c>
      <c r="M244" s="8"/>
      <c r="N244" s="164"/>
    </row>
    <row r="245" spans="1:14" s="3" customFormat="1" ht="12.2" customHeight="1" x14ac:dyDescent="0.15">
      <c r="A245" s="1" t="s">
        <v>448</v>
      </c>
      <c r="B245" s="2" t="s">
        <v>350</v>
      </c>
      <c r="C245" s="2" t="s">
        <v>300</v>
      </c>
      <c r="D245" s="2" t="s">
        <v>431</v>
      </c>
      <c r="E245" s="6">
        <v>2700</v>
      </c>
      <c r="F245" s="18">
        <v>1994.9115297080202</v>
      </c>
      <c r="G245" s="18">
        <v>168.14595624053948</v>
      </c>
      <c r="H245" s="18">
        <v>2106108.8222013381</v>
      </c>
      <c r="I245" s="18">
        <v>0</v>
      </c>
      <c r="J245" s="18">
        <v>0</v>
      </c>
      <c r="K245" s="18">
        <v>0</v>
      </c>
      <c r="L245" s="13">
        <f t="shared" si="4"/>
        <v>2108271.8796872869</v>
      </c>
      <c r="M245" s="8"/>
      <c r="N245" s="164"/>
    </row>
    <row r="246" spans="1:14" s="3" customFormat="1" ht="12.2" customHeight="1" x14ac:dyDescent="0.15">
      <c r="A246" s="1" t="s">
        <v>449</v>
      </c>
      <c r="B246" s="2" t="s">
        <v>350</v>
      </c>
      <c r="C246" s="2" t="s">
        <v>343</v>
      </c>
      <c r="D246" s="2" t="s">
        <v>431</v>
      </c>
      <c r="E246" s="6">
        <v>2800</v>
      </c>
      <c r="F246" s="18">
        <v>201316.05901595738</v>
      </c>
      <c r="G246" s="18">
        <v>168261.63649181329</v>
      </c>
      <c r="H246" s="18">
        <v>73495.451493621542</v>
      </c>
      <c r="I246" s="18">
        <v>164688.97763438185</v>
      </c>
      <c r="J246" s="18">
        <v>47819.160215154014</v>
      </c>
      <c r="K246" s="18">
        <v>2664.6602708195751</v>
      </c>
      <c r="L246" s="13">
        <f>SUM(F246:K246)</f>
        <v>658245.94512174767</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12121645.893013256</v>
      </c>
      <c r="G248" s="38">
        <f t="shared" si="5"/>
        <v>7144742.1159555176</v>
      </c>
      <c r="H248" s="38">
        <f t="shared" si="5"/>
        <v>7360167.0931130731</v>
      </c>
      <c r="I248" s="38">
        <f t="shared" si="5"/>
        <v>1113122.0653482405</v>
      </c>
      <c r="J248" s="38">
        <f t="shared" si="5"/>
        <v>221153.02446934488</v>
      </c>
      <c r="K248" s="38">
        <f t="shared" si="5"/>
        <v>78294.158958257394</v>
      </c>
      <c r="L248" s="38">
        <f t="shared" si="5"/>
        <v>28039124.35085769</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4"/>
    </row>
    <row r="252" spans="1:14" s="3" customFormat="1" ht="12.2" customHeight="1" x14ac:dyDescent="0.15">
      <c r="A252" s="1" t="s">
        <v>353</v>
      </c>
      <c r="B252" s="2" t="s">
        <v>352</v>
      </c>
      <c r="C252" s="2" t="s">
        <v>309</v>
      </c>
      <c r="D252" s="2" t="s">
        <v>431</v>
      </c>
      <c r="E252" s="6">
        <v>1600</v>
      </c>
      <c r="F252" s="18">
        <v>153768.6</v>
      </c>
      <c r="G252" s="18">
        <v>106450.37</v>
      </c>
      <c r="H252" s="18">
        <v>0</v>
      </c>
      <c r="I252" s="18">
        <v>0</v>
      </c>
      <c r="J252" s="18">
        <v>0</v>
      </c>
      <c r="K252" s="18">
        <v>0</v>
      </c>
      <c r="L252" s="13">
        <f t="shared" si="6"/>
        <v>260218.97</v>
      </c>
      <c r="M252" s="8"/>
      <c r="N252" s="164"/>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6"/>
        <v>0</v>
      </c>
      <c r="M253" s="8"/>
      <c r="N253" s="164"/>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3">
        <f t="shared" si="6"/>
        <v>0</v>
      </c>
      <c r="M254" s="8"/>
      <c r="N254" s="164"/>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3">
        <f t="shared" si="6"/>
        <v>0</v>
      </c>
      <c r="M255" s="8"/>
      <c r="N255" s="164"/>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153768.6</v>
      </c>
      <c r="G257" s="38">
        <f t="shared" si="7"/>
        <v>106450.37</v>
      </c>
      <c r="H257" s="38">
        <f t="shared" si="7"/>
        <v>0</v>
      </c>
      <c r="I257" s="38">
        <f t="shared" si="7"/>
        <v>0</v>
      </c>
      <c r="J257" s="38">
        <f t="shared" si="7"/>
        <v>0</v>
      </c>
      <c r="K257" s="38">
        <f t="shared" si="7"/>
        <v>0</v>
      </c>
      <c r="L257" s="38">
        <f>SUM(F257:K257)</f>
        <v>260218.97</v>
      </c>
      <c r="M257" s="8"/>
      <c r="N257" s="164"/>
    </row>
    <row r="258" spans="1:14" s="3" customFormat="1" ht="12.2" customHeight="1" thickTop="1" x14ac:dyDescent="0.15">
      <c r="A258" s="35" t="s">
        <v>462</v>
      </c>
      <c r="B258" s="37">
        <v>10</v>
      </c>
      <c r="C258" s="37">
        <v>8</v>
      </c>
      <c r="D258" s="36" t="s">
        <v>431</v>
      </c>
      <c r="E258" s="37"/>
      <c r="F258" s="38">
        <f t="shared" ref="F258:L258" si="8">F212+F230+F248+F257</f>
        <v>31866162.090000004</v>
      </c>
      <c r="G258" s="38">
        <f t="shared" si="8"/>
        <v>18404138.420000006</v>
      </c>
      <c r="H258" s="38">
        <f t="shared" si="8"/>
        <v>18123048.93</v>
      </c>
      <c r="I258" s="38">
        <f t="shared" si="8"/>
        <v>2546181.63</v>
      </c>
      <c r="J258" s="38">
        <f t="shared" si="8"/>
        <v>775946.02999999991</v>
      </c>
      <c r="K258" s="38">
        <f t="shared" si="8"/>
        <v>118658.63999999998</v>
      </c>
      <c r="L258" s="38">
        <f t="shared" si="8"/>
        <v>71834135.74000001</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3457160.82</v>
      </c>
      <c r="L261" s="13">
        <f>SUM(F261:K261)</f>
        <v>3457160.82</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2850266.06</v>
      </c>
      <c r="L262" s="13">
        <f>SUM(F262:K262)</f>
        <v>2850266.06</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18766.95</v>
      </c>
      <c r="L264" s="13">
        <f>SUM(F264:K264)</f>
        <v>18766.95</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0</v>
      </c>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1355000</v>
      </c>
      <c r="L266" s="13">
        <f t="shared" si="9"/>
        <v>1355000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0</v>
      </c>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0</v>
      </c>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v>0</v>
      </c>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7681193.8300000001</v>
      </c>
      <c r="L271" s="38">
        <f t="shared" si="9"/>
        <v>7681193.8300000001</v>
      </c>
      <c r="M271" s="8"/>
      <c r="N271" s="164"/>
    </row>
    <row r="272" spans="1:14" s="33" customFormat="1" ht="12.2" customHeight="1" thickTop="1" x14ac:dyDescent="0.2">
      <c r="A272" s="40" t="s">
        <v>464</v>
      </c>
      <c r="B272" s="37">
        <v>10</v>
      </c>
      <c r="C272" s="37">
        <v>18</v>
      </c>
      <c r="D272" s="36" t="s">
        <v>431</v>
      </c>
      <c r="E272" s="37"/>
      <c r="F272" s="39">
        <f t="shared" ref="F272:L272" si="11">F258+F271</f>
        <v>31866162.090000004</v>
      </c>
      <c r="G272" s="39">
        <f t="shared" si="11"/>
        <v>18404138.420000006</v>
      </c>
      <c r="H272" s="39">
        <f t="shared" si="11"/>
        <v>18123048.93</v>
      </c>
      <c r="I272" s="39">
        <f t="shared" si="11"/>
        <v>2546181.63</v>
      </c>
      <c r="J272" s="39">
        <f t="shared" si="11"/>
        <v>775946.02999999991</v>
      </c>
      <c r="K272" s="39">
        <f t="shared" si="11"/>
        <v>7799852.4699999997</v>
      </c>
      <c r="L272" s="39">
        <f t="shared" si="11"/>
        <v>79515329.570000008</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152853.48976756638</v>
      </c>
      <c r="G277" s="18">
        <v>98790.973601827674</v>
      </c>
      <c r="H277" s="18">
        <v>157194.56350561348</v>
      </c>
      <c r="I277" s="18">
        <v>270001.84554263402</v>
      </c>
      <c r="J277" s="18">
        <v>130369.91170682467</v>
      </c>
      <c r="K277" s="18">
        <v>0</v>
      </c>
      <c r="L277" s="13">
        <f>SUM(F277:K277)</f>
        <v>809210.78412446624</v>
      </c>
      <c r="M277" s="8"/>
      <c r="N277" s="164"/>
    </row>
    <row r="278" spans="1:14" s="3" customFormat="1" ht="12.2" customHeight="1" x14ac:dyDescent="0.15">
      <c r="A278" s="1" t="s">
        <v>439</v>
      </c>
      <c r="B278" s="2" t="s">
        <v>357</v>
      </c>
      <c r="C278" s="2" t="s">
        <v>291</v>
      </c>
      <c r="D278" s="2" t="s">
        <v>431</v>
      </c>
      <c r="E278" s="6">
        <v>1200</v>
      </c>
      <c r="F278" s="18">
        <v>204837.43955432394</v>
      </c>
      <c r="G278" s="18">
        <v>106933.11894008574</v>
      </c>
      <c r="H278" s="18">
        <v>20730.776619772165</v>
      </c>
      <c r="I278" s="18">
        <v>21194.222676445082</v>
      </c>
      <c r="J278" s="18">
        <v>5319.6791384132675</v>
      </c>
      <c r="K278" s="18">
        <v>0</v>
      </c>
      <c r="L278" s="13">
        <f>SUM(F278:K278)</f>
        <v>359015.23692904023</v>
      </c>
      <c r="M278" s="8"/>
      <c r="N278" s="1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4"/>
    </row>
    <row r="280" spans="1:14" s="3" customFormat="1" ht="12.2" customHeight="1" x14ac:dyDescent="0.15">
      <c r="A280" s="1" t="s">
        <v>441</v>
      </c>
      <c r="B280" s="2" t="s">
        <v>357</v>
      </c>
      <c r="C280" s="2" t="s">
        <v>293</v>
      </c>
      <c r="D280" s="2" t="s">
        <v>431</v>
      </c>
      <c r="E280" s="6">
        <v>1400</v>
      </c>
      <c r="F280" s="18">
        <v>29220.126020830474</v>
      </c>
      <c r="G280" s="18">
        <v>6949.2260862150133</v>
      </c>
      <c r="H280" s="18">
        <v>839.68194706896645</v>
      </c>
      <c r="I280" s="18">
        <v>2697.0008213588062</v>
      </c>
      <c r="J280" s="18">
        <v>0</v>
      </c>
      <c r="K280" s="18">
        <v>0</v>
      </c>
      <c r="L280" s="13">
        <f>SUM(F280:K280)</f>
        <v>39706.034875473262</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236051.86150764304</v>
      </c>
      <c r="G282" s="18">
        <v>47531.065261919633</v>
      </c>
      <c r="H282" s="18">
        <v>30053.827226067035</v>
      </c>
      <c r="I282" s="18">
        <v>13655.103951567402</v>
      </c>
      <c r="J282" s="18">
        <v>0</v>
      </c>
      <c r="K282" s="18">
        <v>0</v>
      </c>
      <c r="L282" s="13">
        <f t="shared" ref="L282:L288" si="12">SUM(F282:K282)</f>
        <v>327291.85794719704</v>
      </c>
      <c r="M282" s="8"/>
      <c r="N282" s="164"/>
    </row>
    <row r="283" spans="1:14" s="3" customFormat="1" ht="12.2" customHeight="1" x14ac:dyDescent="0.15">
      <c r="A283" s="1" t="s">
        <v>443</v>
      </c>
      <c r="B283" s="2" t="s">
        <v>357</v>
      </c>
      <c r="C283" s="2" t="s">
        <v>295</v>
      </c>
      <c r="D283" s="2" t="s">
        <v>431</v>
      </c>
      <c r="E283" s="6">
        <v>2200</v>
      </c>
      <c r="F283" s="18">
        <v>121243.48213462577</v>
      </c>
      <c r="G283" s="18">
        <v>78818.666820401617</v>
      </c>
      <c r="H283" s="18">
        <v>151836.65893326842</v>
      </c>
      <c r="I283" s="18">
        <v>28452.909683941645</v>
      </c>
      <c r="J283" s="18">
        <v>1721.3747152846438</v>
      </c>
      <c r="K283" s="18">
        <v>0</v>
      </c>
      <c r="L283" s="13">
        <f t="shared" si="12"/>
        <v>382073.0922875221</v>
      </c>
      <c r="M283" s="8"/>
      <c r="N283" s="164"/>
    </row>
    <row r="284" spans="1:14" s="3" customFormat="1" ht="12.2" customHeight="1" x14ac:dyDescent="0.15">
      <c r="A284" s="1" t="s">
        <v>444</v>
      </c>
      <c r="B284" s="2" t="s">
        <v>357</v>
      </c>
      <c r="C284" s="2" t="s">
        <v>296</v>
      </c>
      <c r="D284" s="2" t="s">
        <v>431</v>
      </c>
      <c r="E284" s="6">
        <v>2300</v>
      </c>
      <c r="F284" s="18">
        <v>5721.6052003487093</v>
      </c>
      <c r="G284" s="18">
        <v>5699.0931750002537</v>
      </c>
      <c r="H284" s="18">
        <v>0</v>
      </c>
      <c r="I284" s="18">
        <v>0</v>
      </c>
      <c r="J284" s="18">
        <v>0</v>
      </c>
      <c r="K284" s="18">
        <v>0</v>
      </c>
      <c r="L284" s="13">
        <f t="shared" si="12"/>
        <v>11420.698375348962</v>
      </c>
      <c r="M284" s="8"/>
      <c r="N284" s="164"/>
    </row>
    <row r="285" spans="1:14" s="3" customFormat="1" ht="12.2" customHeight="1" x14ac:dyDescent="0.15">
      <c r="A285" s="1" t="s">
        <v>445</v>
      </c>
      <c r="B285" s="2" t="s">
        <v>357</v>
      </c>
      <c r="C285" s="2" t="s">
        <v>297</v>
      </c>
      <c r="D285" s="2" t="s">
        <v>431</v>
      </c>
      <c r="E285" s="6">
        <v>2400</v>
      </c>
      <c r="F285" s="18">
        <v>7399.9048423124423</v>
      </c>
      <c r="G285" s="18">
        <v>566.09428264192809</v>
      </c>
      <c r="H285" s="18">
        <v>0</v>
      </c>
      <c r="I285" s="18">
        <v>0</v>
      </c>
      <c r="J285" s="18">
        <v>0</v>
      </c>
      <c r="K285" s="18">
        <v>0</v>
      </c>
      <c r="L285" s="13">
        <f t="shared" si="12"/>
        <v>7965.99912495437</v>
      </c>
      <c r="M285" s="8"/>
      <c r="N285" s="1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4"/>
    </row>
    <row r="287" spans="1:14" s="3" customFormat="1" ht="12.2" customHeight="1" x14ac:dyDescent="0.15">
      <c r="A287" s="1" t="s">
        <v>447</v>
      </c>
      <c r="B287" s="2" t="s">
        <v>357</v>
      </c>
      <c r="C287" s="2" t="s">
        <v>299</v>
      </c>
      <c r="D287" s="2" t="s">
        <v>431</v>
      </c>
      <c r="E287" s="6">
        <v>2600</v>
      </c>
      <c r="F287" s="18">
        <v>2159.4490262979152</v>
      </c>
      <c r="G287" s="18">
        <v>161.54827269354647</v>
      </c>
      <c r="H287" s="18">
        <v>25724.641402453934</v>
      </c>
      <c r="I287" s="18">
        <v>4970.2887296764329</v>
      </c>
      <c r="J287" s="18">
        <v>0</v>
      </c>
      <c r="K287" s="18">
        <v>180.62995617164268</v>
      </c>
      <c r="L287" s="13">
        <f t="shared" si="12"/>
        <v>33196.557387293469</v>
      </c>
      <c r="M287" s="8"/>
      <c r="N287" s="164"/>
    </row>
    <row r="288" spans="1:14" s="3" customFormat="1" ht="12.2" customHeight="1" x14ac:dyDescent="0.15">
      <c r="A288" s="1" t="s">
        <v>448</v>
      </c>
      <c r="B288" s="2" t="s">
        <v>357</v>
      </c>
      <c r="C288" s="2" t="s">
        <v>300</v>
      </c>
      <c r="D288" s="2" t="s">
        <v>431</v>
      </c>
      <c r="E288" s="6">
        <v>2700</v>
      </c>
      <c r="F288" s="18">
        <v>0</v>
      </c>
      <c r="G288" s="18">
        <v>0</v>
      </c>
      <c r="H288" s="18">
        <v>13096.212085015708</v>
      </c>
      <c r="I288" s="18">
        <v>351.55796821089501</v>
      </c>
      <c r="J288" s="18">
        <v>0</v>
      </c>
      <c r="K288" s="18">
        <v>0</v>
      </c>
      <c r="L288" s="13">
        <f t="shared" si="12"/>
        <v>13447.770053226603</v>
      </c>
      <c r="M288" s="8"/>
      <c r="N288" s="1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759487.35805394861</v>
      </c>
      <c r="G291" s="39">
        <f t="shared" si="13"/>
        <v>345449.78644078545</v>
      </c>
      <c r="H291" s="39">
        <f t="shared" si="13"/>
        <v>399476.3617192597</v>
      </c>
      <c r="I291" s="39">
        <f t="shared" si="13"/>
        <v>341322.92937383428</v>
      </c>
      <c r="J291" s="39">
        <f t="shared" si="13"/>
        <v>137410.9655605226</v>
      </c>
      <c r="K291" s="39">
        <f t="shared" si="13"/>
        <v>180.62995617164268</v>
      </c>
      <c r="L291" s="38">
        <f t="shared" si="13"/>
        <v>1983328.0311045223</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10394.43205920561</v>
      </c>
      <c r="G296" s="18">
        <v>1064.258474899385</v>
      </c>
      <c r="H296" s="18">
        <v>133477.34542075734</v>
      </c>
      <c r="I296" s="18">
        <v>231605.0178326529</v>
      </c>
      <c r="J296" s="18">
        <v>110699.94629136179</v>
      </c>
      <c r="K296" s="18">
        <v>0</v>
      </c>
      <c r="L296" s="13">
        <f>SUM(F296:K296)</f>
        <v>487241.00007887708</v>
      </c>
      <c r="M296" s="8"/>
      <c r="N296" s="164"/>
    </row>
    <row r="297" spans="1:14" s="3" customFormat="1" ht="12.2" customHeight="1" x14ac:dyDescent="0.15">
      <c r="A297" s="1" t="s">
        <v>439</v>
      </c>
      <c r="B297" s="2" t="s">
        <v>358</v>
      </c>
      <c r="C297" s="2" t="s">
        <v>291</v>
      </c>
      <c r="D297" s="2" t="s">
        <v>431</v>
      </c>
      <c r="E297" s="6">
        <v>1200</v>
      </c>
      <c r="F297" s="18">
        <v>160627.48815654291</v>
      </c>
      <c r="G297" s="18">
        <v>89781.452480652588</v>
      </c>
      <c r="H297" s="18">
        <v>9825.8488751999084</v>
      </c>
      <c r="I297" s="18">
        <v>10259.322253495417</v>
      </c>
      <c r="J297" s="18">
        <v>4517.0560231253048</v>
      </c>
      <c r="K297" s="18">
        <v>0</v>
      </c>
      <c r="L297" s="13">
        <f>SUM(F297:K297)</f>
        <v>275011.16778901609</v>
      </c>
      <c r="M297" s="8"/>
      <c r="N297" s="1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4"/>
    </row>
    <row r="299" spans="1:14" s="3" customFormat="1" ht="12.2" customHeight="1" x14ac:dyDescent="0.15">
      <c r="A299" s="1" t="s">
        <v>441</v>
      </c>
      <c r="B299" s="2" t="s">
        <v>358</v>
      </c>
      <c r="C299" s="2" t="s">
        <v>293</v>
      </c>
      <c r="D299" s="2" t="s">
        <v>431</v>
      </c>
      <c r="E299" s="6">
        <v>1400</v>
      </c>
      <c r="F299" s="18">
        <v>17918.260222448778</v>
      </c>
      <c r="G299" s="18">
        <v>4022.524840629329</v>
      </c>
      <c r="H299" s="18">
        <v>712.99232488085477</v>
      </c>
      <c r="I299" s="18">
        <v>1186.9627187803103</v>
      </c>
      <c r="J299" s="18">
        <v>0</v>
      </c>
      <c r="K299" s="18">
        <v>0</v>
      </c>
      <c r="L299" s="13">
        <f>SUM(F299:K299)</f>
        <v>23840.740106739271</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v>8353.1105397559531</v>
      </c>
      <c r="G301" s="18">
        <v>5544.5679301410437</v>
      </c>
      <c r="H301" s="18">
        <v>25519.362682833864</v>
      </c>
      <c r="I301" s="18">
        <v>11594.847724072997</v>
      </c>
      <c r="J301" s="18">
        <v>0</v>
      </c>
      <c r="K301" s="18">
        <v>0</v>
      </c>
      <c r="L301" s="13">
        <f t="shared" ref="L301:L307" si="14">SUM(F301:K301)</f>
        <v>51011.88887680386</v>
      </c>
      <c r="M301" s="8"/>
      <c r="N301" s="164"/>
    </row>
    <row r="302" spans="1:14" s="3" customFormat="1" ht="12.2" customHeight="1" x14ac:dyDescent="0.15">
      <c r="A302" s="1" t="s">
        <v>443</v>
      </c>
      <c r="B302" s="2" t="s">
        <v>358</v>
      </c>
      <c r="C302" s="2" t="s">
        <v>295</v>
      </c>
      <c r="D302" s="2" t="s">
        <v>431</v>
      </c>
      <c r="E302" s="6">
        <v>2200</v>
      </c>
      <c r="F302" s="18">
        <v>254032.88423169515</v>
      </c>
      <c r="G302" s="18">
        <v>92387.830893102364</v>
      </c>
      <c r="H302" s="18">
        <v>134069.51623805115</v>
      </c>
      <c r="I302" s="18">
        <v>26135.641538597996</v>
      </c>
      <c r="J302" s="18">
        <v>190.52997432775189</v>
      </c>
      <c r="K302" s="18">
        <v>0</v>
      </c>
      <c r="L302" s="13">
        <f t="shared" si="14"/>
        <v>506816.40287577442</v>
      </c>
      <c r="M302" s="8"/>
      <c r="N302" s="164"/>
    </row>
    <row r="303" spans="1:14" s="3" customFormat="1" ht="12.2" customHeight="1" x14ac:dyDescent="0.15">
      <c r="A303" s="1" t="s">
        <v>444</v>
      </c>
      <c r="B303" s="2" t="s">
        <v>358</v>
      </c>
      <c r="C303" s="2" t="s">
        <v>296</v>
      </c>
      <c r="D303" s="2" t="s">
        <v>431</v>
      </c>
      <c r="E303" s="6">
        <v>2300</v>
      </c>
      <c r="F303" s="18">
        <v>4858.3402419058475</v>
      </c>
      <c r="G303" s="18">
        <v>4839.2247883141627</v>
      </c>
      <c r="H303" s="18">
        <v>0</v>
      </c>
      <c r="I303" s="18">
        <v>0</v>
      </c>
      <c r="J303" s="18">
        <v>0</v>
      </c>
      <c r="K303" s="18">
        <v>0</v>
      </c>
      <c r="L303" s="13">
        <f t="shared" si="14"/>
        <v>9697.5650302200102</v>
      </c>
      <c r="M303" s="8"/>
      <c r="N303" s="164"/>
    </row>
    <row r="304" spans="1:14" s="3" customFormat="1" ht="12.2" customHeight="1" x14ac:dyDescent="0.15">
      <c r="A304" s="1" t="s">
        <v>445</v>
      </c>
      <c r="B304" s="2" t="s">
        <v>358</v>
      </c>
      <c r="C304" s="2" t="s">
        <v>297</v>
      </c>
      <c r="D304" s="2" t="s">
        <v>431</v>
      </c>
      <c r="E304" s="6">
        <v>2400</v>
      </c>
      <c r="F304" s="18">
        <v>6283.4212118461774</v>
      </c>
      <c r="G304" s="18">
        <v>480.68304920872265</v>
      </c>
      <c r="H304" s="18">
        <v>0</v>
      </c>
      <c r="I304" s="18">
        <v>0</v>
      </c>
      <c r="J304" s="18">
        <v>0</v>
      </c>
      <c r="K304" s="18">
        <v>0</v>
      </c>
      <c r="L304" s="13">
        <f t="shared" si="14"/>
        <v>6764.1042610549002</v>
      </c>
      <c r="M304" s="8"/>
      <c r="N304" s="1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4"/>
    </row>
    <row r="306" spans="1:14" s="3" customFormat="1" ht="12.2" customHeight="1" x14ac:dyDescent="0.15">
      <c r="A306" s="1" t="s">
        <v>447</v>
      </c>
      <c r="B306" s="2" t="s">
        <v>358</v>
      </c>
      <c r="C306" s="2" t="s">
        <v>299</v>
      </c>
      <c r="D306" s="2" t="s">
        <v>431</v>
      </c>
      <c r="E306" s="6">
        <v>2600</v>
      </c>
      <c r="F306" s="18">
        <v>1833.6354462499708</v>
      </c>
      <c r="G306" s="18">
        <v>137.17417521041162</v>
      </c>
      <c r="H306" s="18">
        <v>21843.356218727258</v>
      </c>
      <c r="I306" s="18">
        <v>4220.3809776680182</v>
      </c>
      <c r="J306" s="18">
        <v>0</v>
      </c>
      <c r="K306" s="18">
        <v>153.3768504175886</v>
      </c>
      <c r="L306" s="13">
        <f t="shared" si="14"/>
        <v>28187.923668273248</v>
      </c>
      <c r="M306" s="8"/>
      <c r="N306" s="164"/>
    </row>
    <row r="307" spans="1:14" s="3" customFormat="1" ht="12.2" customHeight="1" x14ac:dyDescent="0.15">
      <c r="A307" s="1" t="s">
        <v>448</v>
      </c>
      <c r="B307" s="2" t="s">
        <v>358</v>
      </c>
      <c r="C307" s="2" t="s">
        <v>300</v>
      </c>
      <c r="D307" s="2" t="s">
        <v>431</v>
      </c>
      <c r="E307" s="6">
        <v>2700</v>
      </c>
      <c r="F307" s="18">
        <v>0</v>
      </c>
      <c r="G307" s="18">
        <v>0</v>
      </c>
      <c r="H307" s="18">
        <v>11120.280404052999</v>
      </c>
      <c r="I307" s="18">
        <v>298.51556766229737</v>
      </c>
      <c r="J307" s="18">
        <v>0</v>
      </c>
      <c r="K307" s="18">
        <v>0</v>
      </c>
      <c r="L307" s="13">
        <f t="shared" si="14"/>
        <v>11418.795971715297</v>
      </c>
      <c r="M307" s="8"/>
      <c r="N307" s="164"/>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464301.57210965035</v>
      </c>
      <c r="G310" s="39">
        <f t="shared" si="15"/>
        <v>198257.716632158</v>
      </c>
      <c r="H310" s="39">
        <f t="shared" si="15"/>
        <v>336568.70216450334</v>
      </c>
      <c r="I310" s="39">
        <f t="shared" si="15"/>
        <v>285300.68861292995</v>
      </c>
      <c r="J310" s="39">
        <f t="shared" si="15"/>
        <v>115407.53228881485</v>
      </c>
      <c r="K310" s="39">
        <f t="shared" si="15"/>
        <v>153.3768504175886</v>
      </c>
      <c r="L310" s="38">
        <f t="shared" si="15"/>
        <v>1399989.5886584742</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14976.828173228019</v>
      </c>
      <c r="G315" s="18">
        <v>1533.4379232729277</v>
      </c>
      <c r="H315" s="18">
        <v>192320.97107362919</v>
      </c>
      <c r="I315" s="18">
        <v>321349.25662471313</v>
      </c>
      <c r="J315" s="18">
        <v>159502.13200181353</v>
      </c>
      <c r="K315" s="18">
        <v>0</v>
      </c>
      <c r="L315" s="13">
        <f>SUM(F315:K315)</f>
        <v>689682.62579665682</v>
      </c>
      <c r="M315" s="8"/>
      <c r="N315" s="164"/>
    </row>
    <row r="316" spans="1:14" s="3" customFormat="1" ht="12.2" customHeight="1" x14ac:dyDescent="0.15">
      <c r="A316" s="1" t="s">
        <v>439</v>
      </c>
      <c r="B316" s="2" t="s">
        <v>359</v>
      </c>
      <c r="C316" s="2" t="s">
        <v>291</v>
      </c>
      <c r="D316" s="2" t="s">
        <v>431</v>
      </c>
      <c r="E316" s="6">
        <v>1200</v>
      </c>
      <c r="F316" s="18">
        <v>251018.1422891331</v>
      </c>
      <c r="G316" s="18">
        <v>130859.40857926167</v>
      </c>
      <c r="H316" s="18">
        <v>14157.58450502792</v>
      </c>
      <c r="I316" s="18">
        <v>14782.155070059507</v>
      </c>
      <c r="J316" s="18">
        <v>6508.4048384614271</v>
      </c>
      <c r="K316" s="18">
        <v>0</v>
      </c>
      <c r="L316" s="13">
        <f>SUM(F316:K316)</f>
        <v>417325.69528194366</v>
      </c>
      <c r="M316" s="8"/>
      <c r="N316" s="164"/>
    </row>
    <row r="317" spans="1:14" s="3" customFormat="1" ht="12.2" customHeight="1" x14ac:dyDescent="0.15">
      <c r="A317" s="1" t="s">
        <v>440</v>
      </c>
      <c r="B317" s="2" t="s">
        <v>359</v>
      </c>
      <c r="C317" s="2" t="s">
        <v>292</v>
      </c>
      <c r="D317" s="2" t="s">
        <v>431</v>
      </c>
      <c r="E317" s="6">
        <v>1300</v>
      </c>
      <c r="F317" s="18">
        <v>55324.6</v>
      </c>
      <c r="G317" s="18">
        <v>4232.5</v>
      </c>
      <c r="H317" s="18">
        <v>2962.2200000000003</v>
      </c>
      <c r="I317" s="18">
        <v>120971.40999999999</v>
      </c>
      <c r="J317" s="18">
        <v>191954.13</v>
      </c>
      <c r="K317" s="18">
        <v>23900.86</v>
      </c>
      <c r="L317" s="13">
        <f>SUM(F317:K317)</f>
        <v>399345.72</v>
      </c>
      <c r="M317" s="8"/>
      <c r="N317" s="164"/>
    </row>
    <row r="318" spans="1:14" s="3" customFormat="1" ht="12.2" customHeight="1" x14ac:dyDescent="0.15">
      <c r="A318" s="1" t="s">
        <v>441</v>
      </c>
      <c r="B318" s="2" t="s">
        <v>359</v>
      </c>
      <c r="C318" s="2" t="s">
        <v>293</v>
      </c>
      <c r="D318" s="2" t="s">
        <v>431</v>
      </c>
      <c r="E318" s="6">
        <v>1400</v>
      </c>
      <c r="F318" s="18">
        <v>33419.743756720745</v>
      </c>
      <c r="G318" s="18">
        <v>7449.7490731556572</v>
      </c>
      <c r="H318" s="18">
        <v>20083.845728050179</v>
      </c>
      <c r="I318" s="18">
        <v>10488.216459860883</v>
      </c>
      <c r="J318" s="18">
        <v>26280</v>
      </c>
      <c r="K318" s="18">
        <v>5000</v>
      </c>
      <c r="L318" s="13">
        <f>SUM(F318:K318)</f>
        <v>102721.55501778745</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12035.587952601019</v>
      </c>
      <c r="G320" s="18">
        <v>3070.176807939325</v>
      </c>
      <c r="H320" s="18">
        <v>36769.600091099099</v>
      </c>
      <c r="I320" s="18">
        <v>16706.448324359597</v>
      </c>
      <c r="J320" s="18">
        <v>0</v>
      </c>
      <c r="K320" s="18">
        <v>0</v>
      </c>
      <c r="L320" s="13">
        <f t="shared" ref="L320:L326" si="16">SUM(F320:K320)</f>
        <v>68581.813175999036</v>
      </c>
      <c r="M320" s="8"/>
      <c r="N320" s="164"/>
    </row>
    <row r="321" spans="1:14" s="3" customFormat="1" ht="12.2" customHeight="1" x14ac:dyDescent="0.15">
      <c r="A321" s="1" t="s">
        <v>443</v>
      </c>
      <c r="B321" s="2" t="s">
        <v>359</v>
      </c>
      <c r="C321" s="2" t="s">
        <v>295</v>
      </c>
      <c r="D321" s="2" t="s">
        <v>431</v>
      </c>
      <c r="E321" s="6">
        <v>2200</v>
      </c>
      <c r="F321" s="18">
        <v>103063.27363367907</v>
      </c>
      <c r="G321" s="18">
        <v>59289.292286495984</v>
      </c>
      <c r="H321" s="18">
        <v>196561.06482868051</v>
      </c>
      <c r="I321" s="18">
        <v>26575.908777460347</v>
      </c>
      <c r="J321" s="18">
        <v>274.52531038760429</v>
      </c>
      <c r="K321" s="18">
        <v>0</v>
      </c>
      <c r="L321" s="13">
        <f t="shared" si="16"/>
        <v>385764.06483670347</v>
      </c>
      <c r="M321" s="8"/>
      <c r="N321" s="164"/>
    </row>
    <row r="322" spans="1:14" s="3" customFormat="1" ht="12.2" customHeight="1" x14ac:dyDescent="0.15">
      <c r="A322" s="1" t="s">
        <v>444</v>
      </c>
      <c r="B322" s="2" t="s">
        <v>359</v>
      </c>
      <c r="C322" s="2" t="s">
        <v>296</v>
      </c>
      <c r="D322" s="2" t="s">
        <v>431</v>
      </c>
      <c r="E322" s="6">
        <v>2300</v>
      </c>
      <c r="F322" s="18">
        <v>7000.1445577454433</v>
      </c>
      <c r="G322" s="18">
        <v>6972.6020366855819</v>
      </c>
      <c r="H322" s="18">
        <v>148.41999999999999</v>
      </c>
      <c r="I322" s="18">
        <v>0</v>
      </c>
      <c r="J322" s="18">
        <v>0</v>
      </c>
      <c r="K322" s="18">
        <v>0</v>
      </c>
      <c r="L322" s="13">
        <f t="shared" si="16"/>
        <v>14121.166594431024</v>
      </c>
      <c r="M322" s="8"/>
      <c r="N322" s="164"/>
    </row>
    <row r="323" spans="1:14" s="3" customFormat="1" ht="12.2" customHeight="1" x14ac:dyDescent="0.15">
      <c r="A323" s="1" t="s">
        <v>445</v>
      </c>
      <c r="B323" s="2" t="s">
        <v>359</v>
      </c>
      <c r="C323" s="2" t="s">
        <v>297</v>
      </c>
      <c r="D323" s="2" t="s">
        <v>431</v>
      </c>
      <c r="E323" s="6">
        <v>2400</v>
      </c>
      <c r="F323" s="18">
        <v>9053.4739458413806</v>
      </c>
      <c r="G323" s="18">
        <v>692.59266814934915</v>
      </c>
      <c r="H323" s="18">
        <v>0</v>
      </c>
      <c r="I323" s="18">
        <v>0</v>
      </c>
      <c r="J323" s="18">
        <v>0</v>
      </c>
      <c r="K323" s="18">
        <v>0</v>
      </c>
      <c r="L323" s="13">
        <f t="shared" si="16"/>
        <v>9746.0666139907298</v>
      </c>
      <c r="M323" s="8"/>
      <c r="N323" s="1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4"/>
    </row>
    <row r="325" spans="1:14" s="3" customFormat="1" ht="12.2" customHeight="1" x14ac:dyDescent="0.15">
      <c r="A325" s="1" t="s">
        <v>447</v>
      </c>
      <c r="B325" s="2" t="s">
        <v>359</v>
      </c>
      <c r="C325" s="2" t="s">
        <v>299</v>
      </c>
      <c r="D325" s="2" t="s">
        <v>431</v>
      </c>
      <c r="E325" s="6">
        <v>2600</v>
      </c>
      <c r="F325" s="18">
        <v>2641.9955274521139</v>
      </c>
      <c r="G325" s="18">
        <v>197.64755209604192</v>
      </c>
      <c r="H325" s="18">
        <v>31473.022378818809</v>
      </c>
      <c r="I325" s="18">
        <v>6605.960292655549</v>
      </c>
      <c r="J325" s="18">
        <v>0</v>
      </c>
      <c r="K325" s="18">
        <v>220.99319341076873</v>
      </c>
      <c r="L325" s="13">
        <f t="shared" si="16"/>
        <v>41139.618944433278</v>
      </c>
      <c r="M325" s="8"/>
      <c r="N325" s="164"/>
    </row>
    <row r="326" spans="1:14" s="3" customFormat="1" ht="12.2" customHeight="1" x14ac:dyDescent="0.15">
      <c r="A326" s="1" t="s">
        <v>448</v>
      </c>
      <c r="B326" s="2" t="s">
        <v>359</v>
      </c>
      <c r="C326" s="2" t="s">
        <v>300</v>
      </c>
      <c r="D326" s="2" t="s">
        <v>431</v>
      </c>
      <c r="E326" s="6">
        <v>2700</v>
      </c>
      <c r="F326" s="18">
        <v>0</v>
      </c>
      <c r="G326" s="18">
        <v>0</v>
      </c>
      <c r="H326" s="18">
        <v>16742.027510931293</v>
      </c>
      <c r="I326" s="18">
        <v>430.11646412680767</v>
      </c>
      <c r="J326" s="18">
        <v>0</v>
      </c>
      <c r="K326" s="18">
        <v>0</v>
      </c>
      <c r="L326" s="13">
        <f t="shared" si="16"/>
        <v>17172.143975058101</v>
      </c>
      <c r="M326" s="8"/>
      <c r="N326" s="164"/>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488533.78983640083</v>
      </c>
      <c r="G329" s="39">
        <f t="shared" si="17"/>
        <v>214297.40692705661</v>
      </c>
      <c r="H329" s="39">
        <f t="shared" si="17"/>
        <v>511218.75611623703</v>
      </c>
      <c r="I329" s="39">
        <f t="shared" si="17"/>
        <v>517909.47201323585</v>
      </c>
      <c r="J329" s="39">
        <f t="shared" si="17"/>
        <v>384519.19215066254</v>
      </c>
      <c r="K329" s="39">
        <f t="shared" si="17"/>
        <v>29121.85319341077</v>
      </c>
      <c r="L329" s="38">
        <f t="shared" si="17"/>
        <v>2145600.4702370036</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3">
        <f t="shared" ref="L333:L338" si="18">SUM(F333:K333)</f>
        <v>0</v>
      </c>
      <c r="M333" s="8"/>
      <c r="N333" s="164"/>
    </row>
    <row r="334" spans="1:14" s="3" customFormat="1" ht="12.2" customHeight="1" x14ac:dyDescent="0.15">
      <c r="A334" s="1" t="s">
        <v>353</v>
      </c>
      <c r="B334" s="6">
        <v>14</v>
      </c>
      <c r="C334" s="2" t="s">
        <v>309</v>
      </c>
      <c r="D334" s="2" t="s">
        <v>431</v>
      </c>
      <c r="E334" s="6">
        <v>1600</v>
      </c>
      <c r="F334" s="18">
        <v>275546.52</v>
      </c>
      <c r="G334" s="18">
        <v>82316.76999999999</v>
      </c>
      <c r="H334" s="18">
        <v>56887.03</v>
      </c>
      <c r="I334" s="18">
        <v>5715.94</v>
      </c>
      <c r="J334" s="18">
        <v>18865.599999999999</v>
      </c>
      <c r="K334" s="18">
        <v>0</v>
      </c>
      <c r="L334" s="13">
        <f t="shared" si="18"/>
        <v>439331.86000000004</v>
      </c>
      <c r="M334" s="8"/>
      <c r="N334" s="164"/>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4"/>
    </row>
    <row r="336" spans="1:14" s="3" customFormat="1" ht="12.2" customHeight="1" x14ac:dyDescent="0.15">
      <c r="A336" s="1" t="s">
        <v>583</v>
      </c>
      <c r="B336" s="6">
        <v>14</v>
      </c>
      <c r="C336" s="2" t="s">
        <v>321</v>
      </c>
      <c r="D336" s="2" t="s">
        <v>431</v>
      </c>
      <c r="E336" s="6">
        <v>1800</v>
      </c>
      <c r="F336" s="18">
        <v>0</v>
      </c>
      <c r="G336" s="18">
        <v>0</v>
      </c>
      <c r="H336" s="18">
        <v>1072.75</v>
      </c>
      <c r="I336" s="18">
        <v>4124.58</v>
      </c>
      <c r="J336" s="18">
        <v>0</v>
      </c>
      <c r="K336" s="18">
        <v>0</v>
      </c>
      <c r="L336" s="13">
        <f t="shared" si="18"/>
        <v>5197.33</v>
      </c>
      <c r="M336" s="8"/>
      <c r="N336" s="164"/>
    </row>
    <row r="337" spans="1:43" s="3" customFormat="1" ht="12.2" customHeight="1" thickBot="1" x14ac:dyDescent="0.2">
      <c r="A337" s="1" t="s">
        <v>584</v>
      </c>
      <c r="B337" s="6">
        <v>14</v>
      </c>
      <c r="C337" s="6">
        <v>5</v>
      </c>
      <c r="D337" s="2" t="s">
        <v>431</v>
      </c>
      <c r="E337" s="6">
        <v>4000</v>
      </c>
      <c r="F337" s="18">
        <v>0</v>
      </c>
      <c r="G337" s="18">
        <v>0</v>
      </c>
      <c r="H337" s="18">
        <v>0</v>
      </c>
      <c r="I337" s="18">
        <v>0</v>
      </c>
      <c r="J337" s="18">
        <v>627860</v>
      </c>
      <c r="K337" s="18">
        <v>0</v>
      </c>
      <c r="L337" s="13">
        <f t="shared" si="18"/>
        <v>627860</v>
      </c>
      <c r="M337" s="8"/>
      <c r="N337" s="164"/>
    </row>
    <row r="338" spans="1:43" s="3" customFormat="1" ht="12.2" customHeight="1" thickTop="1" thickBot="1" x14ac:dyDescent="0.2">
      <c r="A338" s="46" t="s">
        <v>467</v>
      </c>
      <c r="B338" s="37">
        <v>14</v>
      </c>
      <c r="C338" s="47">
        <v>6</v>
      </c>
      <c r="D338" s="44" t="s">
        <v>431</v>
      </c>
      <c r="E338" s="47"/>
      <c r="F338" s="38">
        <f t="shared" ref="F338:K338" si="19">SUM(F333:F337)</f>
        <v>275546.52</v>
      </c>
      <c r="G338" s="38">
        <f t="shared" si="19"/>
        <v>82316.76999999999</v>
      </c>
      <c r="H338" s="38">
        <f t="shared" si="19"/>
        <v>57959.78</v>
      </c>
      <c r="I338" s="38">
        <f t="shared" si="19"/>
        <v>9840.52</v>
      </c>
      <c r="J338" s="38">
        <f t="shared" si="19"/>
        <v>646725.6</v>
      </c>
      <c r="K338" s="38">
        <f t="shared" si="19"/>
        <v>0</v>
      </c>
      <c r="L338" s="38">
        <f t="shared" si="18"/>
        <v>1072389.19</v>
      </c>
      <c r="M338" s="8"/>
      <c r="N338" s="164"/>
    </row>
    <row r="339" spans="1:43" s="3" customFormat="1" ht="12.2" customHeight="1" thickTop="1" x14ac:dyDescent="0.15">
      <c r="A339" s="35" t="s">
        <v>468</v>
      </c>
      <c r="B339" s="37">
        <v>14</v>
      </c>
      <c r="C339" s="37">
        <v>7</v>
      </c>
      <c r="D339" s="36" t="s">
        <v>431</v>
      </c>
      <c r="E339" s="37"/>
      <c r="F339" s="38">
        <f t="shared" ref="F339:L339" si="20">F291+F310+F329+F338</f>
        <v>1987869.24</v>
      </c>
      <c r="G339" s="38">
        <f t="shared" si="20"/>
        <v>840321.68</v>
      </c>
      <c r="H339" s="38">
        <f t="shared" si="20"/>
        <v>1305223.6000000001</v>
      </c>
      <c r="I339" s="38">
        <f t="shared" si="20"/>
        <v>1154373.6100000001</v>
      </c>
      <c r="J339" s="38">
        <f t="shared" si="20"/>
        <v>1284063.29</v>
      </c>
      <c r="K339" s="38">
        <f t="shared" si="20"/>
        <v>29455.86</v>
      </c>
      <c r="L339" s="38">
        <f t="shared" si="20"/>
        <v>6601307.2799999993</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226345.85000000009</v>
      </c>
      <c r="L345" s="13">
        <f t="shared" ref="L345:L351" si="21">SUM(F345:K345)</f>
        <v>226345.85000000009</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226345.85000000009</v>
      </c>
      <c r="L352" s="38">
        <f>SUM(L342:L351)</f>
        <v>226345.85000000009</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1987869.24</v>
      </c>
      <c r="G353" s="38">
        <f>G339</f>
        <v>840321.68</v>
      </c>
      <c r="H353" s="38">
        <f>H339</f>
        <v>1305223.6000000001</v>
      </c>
      <c r="I353" s="38">
        <f>I339</f>
        <v>1154373.6100000001</v>
      </c>
      <c r="J353" s="38">
        <f>J339</f>
        <v>1284063.29</v>
      </c>
      <c r="K353" s="38">
        <f>K339+K352</f>
        <v>255801.71000000008</v>
      </c>
      <c r="L353" s="38">
        <f>L339+L352</f>
        <v>6827653.129999999</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1440.1577586657997</v>
      </c>
      <c r="G359" s="18">
        <v>110.18101867089715</v>
      </c>
      <c r="H359" s="18">
        <v>500664.53414277761</v>
      </c>
      <c r="I359" s="18">
        <v>54694.812566055698</v>
      </c>
      <c r="J359" s="18">
        <v>47744.568913015079</v>
      </c>
      <c r="K359" s="18">
        <v>535.07149449367409</v>
      </c>
      <c r="L359" s="13">
        <f>SUM(F359:K359)</f>
        <v>605189.3258936787</v>
      </c>
      <c r="M359" s="8"/>
      <c r="N359" s="164"/>
    </row>
    <row r="360" spans="1:22" s="3" customFormat="1" ht="12.2" customHeight="1" x14ac:dyDescent="0.15">
      <c r="A360" s="1" t="s">
        <v>542</v>
      </c>
      <c r="B360" s="2" t="s">
        <v>366</v>
      </c>
      <c r="C360" s="6">
        <v>2</v>
      </c>
      <c r="D360" s="2" t="s">
        <v>431</v>
      </c>
      <c r="E360" s="6"/>
      <c r="F360" s="18">
        <v>1222.8694830591523</v>
      </c>
      <c r="G360" s="18">
        <v>93.557115207874674</v>
      </c>
      <c r="H360" s="18">
        <v>425125.21726816369</v>
      </c>
      <c r="I360" s="18">
        <v>46442.562813836063</v>
      </c>
      <c r="J360" s="18">
        <v>40540.958762483482</v>
      </c>
      <c r="K360" s="18">
        <v>454.34092059285859</v>
      </c>
      <c r="L360" s="13">
        <f>SUM(F360:K360)</f>
        <v>513879.5063633431</v>
      </c>
      <c r="M360" s="8"/>
      <c r="N360" s="164"/>
    </row>
    <row r="361" spans="1:22" s="3" customFormat="1" ht="12.2" customHeight="1" x14ac:dyDescent="0.15">
      <c r="A361" s="3" t="s">
        <v>543</v>
      </c>
      <c r="B361" s="2" t="s">
        <v>366</v>
      </c>
      <c r="C361" s="6">
        <v>3</v>
      </c>
      <c r="D361" s="2" t="s">
        <v>431</v>
      </c>
      <c r="E361" s="6"/>
      <c r="F361" s="18">
        <v>1761.9727582750479</v>
      </c>
      <c r="G361" s="18">
        <v>134.80186612122819</v>
      </c>
      <c r="H361" s="18">
        <v>612542.10858905874</v>
      </c>
      <c r="I361" s="18">
        <v>66916.814620108242</v>
      </c>
      <c r="J361" s="18">
        <v>58413.482324501419</v>
      </c>
      <c r="K361" s="18">
        <v>654.63758491346721</v>
      </c>
      <c r="L361" s="13">
        <f>SUM(F361:K361)</f>
        <v>740423.81774297811</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v>0</v>
      </c>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4425</v>
      </c>
      <c r="G363" s="38">
        <f t="shared" si="22"/>
        <v>338.53999999999996</v>
      </c>
      <c r="H363" s="38">
        <f t="shared" si="22"/>
        <v>1538331.86</v>
      </c>
      <c r="I363" s="38">
        <f t="shared" si="22"/>
        <v>168054.19</v>
      </c>
      <c r="J363" s="38">
        <f t="shared" si="22"/>
        <v>146699.00999999998</v>
      </c>
      <c r="K363" s="38">
        <f t="shared" si="22"/>
        <v>1644.05</v>
      </c>
      <c r="L363" s="38">
        <f t="shared" si="22"/>
        <v>1859492.65</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54093.169627829084</v>
      </c>
      <c r="G368" s="18">
        <v>45931.694622883864</v>
      </c>
      <c r="H368" s="18">
        <v>66180.729659287055</v>
      </c>
      <c r="I368" s="13">
        <f>SUM(F368:H368)</f>
        <v>166205.59391</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601.64293822661261</v>
      </c>
      <c r="G369" s="53">
        <v>510.86819095219664</v>
      </c>
      <c r="H369" s="53">
        <v>736.08496082119063</v>
      </c>
      <c r="I369" s="13">
        <f>SUM(F369:H369)</f>
        <v>1848.59609</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54694.812566055698</v>
      </c>
      <c r="G370" s="38">
        <f>SUM(G368:G369)</f>
        <v>46442.562813836063</v>
      </c>
      <c r="H370" s="38">
        <f>SUM(H368:H369)</f>
        <v>66916.814620108242</v>
      </c>
      <c r="I370" s="38">
        <f>SUM(I368:I369)</f>
        <v>168054.19</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164"/>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164"/>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164"/>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164"/>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164"/>
    </row>
    <row r="380" spans="1:14" s="3" customFormat="1" ht="12.2" customHeight="1" x14ac:dyDescent="0.15">
      <c r="A380" s="1" t="s">
        <v>549</v>
      </c>
      <c r="B380" s="2" t="s">
        <v>366</v>
      </c>
      <c r="C380" s="2" t="s">
        <v>345</v>
      </c>
      <c r="D380" s="2" t="s">
        <v>431</v>
      </c>
      <c r="E380" s="6">
        <v>4600</v>
      </c>
      <c r="F380" s="18">
        <v>0</v>
      </c>
      <c r="G380" s="18">
        <v>0</v>
      </c>
      <c r="H380" s="18">
        <v>0</v>
      </c>
      <c r="I380" s="18">
        <v>0</v>
      </c>
      <c r="J380" s="18">
        <v>1205929.1400000001</v>
      </c>
      <c r="K380" s="18">
        <v>0</v>
      </c>
      <c r="L380" s="13">
        <f t="shared" si="23"/>
        <v>1205929.1400000001</v>
      </c>
      <c r="M380" s="8"/>
      <c r="N380" s="164"/>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v>0</v>
      </c>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1205929.1400000001</v>
      </c>
      <c r="K383" s="38">
        <f t="shared" si="24"/>
        <v>0</v>
      </c>
      <c r="L383" s="38">
        <f t="shared" si="24"/>
        <v>1205929.1400000001</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0</v>
      </c>
      <c r="I409" s="38">
        <f>I394+I402+I408</f>
        <v>0</v>
      </c>
      <c r="J409" s="23" t="s">
        <v>288</v>
      </c>
      <c r="K409" s="23" t="s">
        <v>288</v>
      </c>
      <c r="L409" s="38">
        <f>L394+L402+L408</f>
        <v>0</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0</v>
      </c>
      <c r="H447" s="13">
        <f>SUM(H440:H446)</f>
        <v>0</v>
      </c>
      <c r="I447" s="13">
        <f>SUM(I440:I446)</f>
        <v>0</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0</v>
      </c>
      <c r="H461" s="65">
        <f>SUM(H455:H460)</f>
        <v>0</v>
      </c>
      <c r="I461" s="65">
        <f>SUM(I455:I460)</f>
        <v>0</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0</v>
      </c>
      <c r="H462" s="39">
        <f>H453+H461</f>
        <v>0</v>
      </c>
      <c r="I462" s="39">
        <f>I453+I461</f>
        <v>0</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c r="G466" s="18">
        <v>1032257.52</v>
      </c>
      <c r="H466" s="18">
        <v>1442086.07</v>
      </c>
      <c r="I466" s="18"/>
      <c r="J466" s="18"/>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80876018.180000007</v>
      </c>
      <c r="G469" s="18">
        <v>1688179.67</v>
      </c>
      <c r="H469" s="18">
        <v>6961500.0599999996</v>
      </c>
      <c r="I469" s="18">
        <v>1355000</v>
      </c>
      <c r="J469" s="18"/>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80876018.180000007</v>
      </c>
      <c r="G471" s="19">
        <f>SUM(G469:G470)</f>
        <v>1688179.67</v>
      </c>
      <c r="H471" s="19">
        <f>SUM(H469:H470)</f>
        <v>6961500.0599999996</v>
      </c>
      <c r="I471" s="19">
        <f>SUM(I469:I470)</f>
        <v>1355000</v>
      </c>
      <c r="J471" s="19">
        <f>SUM(J469:J470)</f>
        <v>0</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79515329.570000008</v>
      </c>
      <c r="G473" s="18">
        <v>1859492.65</v>
      </c>
      <c r="H473" s="18">
        <v>6827653.129999999</v>
      </c>
      <c r="I473" s="18">
        <v>1205929.1400000001</v>
      </c>
      <c r="J473" s="18"/>
      <c r="K473" s="23" t="s">
        <v>288</v>
      </c>
      <c r="L473" s="23" t="s">
        <v>288</v>
      </c>
      <c r="N473" s="130"/>
    </row>
    <row r="474" spans="1:14" ht="12.2" customHeight="1" x14ac:dyDescent="0.2">
      <c r="A474" s="71" t="s">
        <v>613</v>
      </c>
      <c r="B474" s="22">
        <v>19</v>
      </c>
      <c r="C474" s="31">
        <v>6</v>
      </c>
      <c r="D474" s="2" t="s">
        <v>432</v>
      </c>
      <c r="E474" s="31"/>
      <c r="F474" s="18">
        <v>1360688.6099999994</v>
      </c>
      <c r="G474" s="18"/>
      <c r="H474" s="18"/>
      <c r="I474" s="18">
        <v>149070.85999999987</v>
      </c>
      <c r="J474" s="18"/>
      <c r="K474" s="23" t="s">
        <v>288</v>
      </c>
      <c r="L474" s="23" t="s">
        <v>288</v>
      </c>
      <c r="N474" s="130"/>
    </row>
    <row r="475" spans="1:14" ht="12.2" customHeight="1" x14ac:dyDescent="0.2">
      <c r="A475" s="32" t="s">
        <v>426</v>
      </c>
      <c r="B475" s="22">
        <v>19</v>
      </c>
      <c r="C475" s="31">
        <v>7</v>
      </c>
      <c r="D475" s="2" t="s">
        <v>432</v>
      </c>
      <c r="E475" s="31"/>
      <c r="F475" s="19">
        <f>SUM(F473:F474)</f>
        <v>80876018.180000007</v>
      </c>
      <c r="G475" s="19">
        <f>SUM(G473:G474)</f>
        <v>1859492.65</v>
      </c>
      <c r="H475" s="19">
        <f>SUM(H473:H474)</f>
        <v>6827653.129999999</v>
      </c>
      <c r="I475" s="19">
        <f>SUM(I473:I474)</f>
        <v>1355000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0</v>
      </c>
      <c r="G477" s="19">
        <f>(G466+G471)- G475</f>
        <v>860944.54</v>
      </c>
      <c r="H477" s="19">
        <f>(H466+H471)- H475</f>
        <v>1575933</v>
      </c>
      <c r="I477" s="19">
        <f>(I466+I471)- I475</f>
        <v>0</v>
      </c>
      <c r="J477" s="19">
        <f>(J466+J471)- J475</f>
        <v>0</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t="s">
        <v>1841</v>
      </c>
      <c r="B484" s="73"/>
      <c r="C484" s="73"/>
      <c r="D484" s="73"/>
      <c r="E484" s="73"/>
      <c r="F484" s="73"/>
      <c r="G484" s="73"/>
      <c r="H484" s="73"/>
      <c r="I484" s="73" t="s">
        <v>18</v>
      </c>
      <c r="J484" s="73"/>
      <c r="K484" s="73"/>
      <c r="L484" s="73"/>
      <c r="N484" s="130"/>
    </row>
    <row r="485" spans="1:14" ht="12.2" customHeight="1" x14ac:dyDescent="0.2">
      <c r="A485" s="55" t="s">
        <v>1842</v>
      </c>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v>79439386.230000004</v>
      </c>
      <c r="G496" s="18"/>
      <c r="H496" s="18"/>
      <c r="I496" s="18"/>
      <c r="J496" s="18"/>
      <c r="K496" s="19">
        <f>SUM(F496:J496)</f>
        <v>79439386.230000004</v>
      </c>
      <c r="L496" s="23" t="s">
        <v>288</v>
      </c>
      <c r="N496" s="130"/>
    </row>
    <row r="497" spans="1:14" ht="12.2" customHeight="1" x14ac:dyDescent="0.2">
      <c r="A497" s="21" t="s">
        <v>620</v>
      </c>
      <c r="B497" s="22">
        <v>20</v>
      </c>
      <c r="C497" s="22">
        <v>7</v>
      </c>
      <c r="D497" s="2" t="s">
        <v>432</v>
      </c>
      <c r="E497" s="22"/>
      <c r="F497" s="18">
        <v>0</v>
      </c>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v>3457160.82</v>
      </c>
      <c r="G498" s="18"/>
      <c r="H498" s="18"/>
      <c r="I498" s="18"/>
      <c r="J498" s="18"/>
      <c r="K498" s="19">
        <f t="shared" si="35"/>
        <v>3457160.82</v>
      </c>
      <c r="L498" s="23" t="s">
        <v>288</v>
      </c>
      <c r="N498" s="130"/>
    </row>
    <row r="499" spans="1:14" ht="12.2" customHeight="1" x14ac:dyDescent="0.2">
      <c r="A499" s="143" t="s">
        <v>622</v>
      </c>
      <c r="B499" s="144">
        <v>20</v>
      </c>
      <c r="C499" s="144">
        <v>9</v>
      </c>
      <c r="D499" s="145" t="s">
        <v>432</v>
      </c>
      <c r="E499" s="144"/>
      <c r="F499" s="146">
        <v>75982225.410000011</v>
      </c>
      <c r="G499" s="146"/>
      <c r="H499" s="146"/>
      <c r="I499" s="146"/>
      <c r="J499" s="146"/>
      <c r="K499" s="147">
        <f t="shared" si="35"/>
        <v>75982225.410000011</v>
      </c>
      <c r="L499" s="148" t="s">
        <v>288</v>
      </c>
      <c r="N499" s="130"/>
    </row>
    <row r="500" spans="1:14" ht="12.2" customHeight="1" thickBot="1" x14ac:dyDescent="0.25">
      <c r="A500" s="21" t="s">
        <v>623</v>
      </c>
      <c r="B500" s="22">
        <v>20</v>
      </c>
      <c r="C500" s="22">
        <v>10</v>
      </c>
      <c r="D500" s="2" t="s">
        <v>432</v>
      </c>
      <c r="E500" s="22"/>
      <c r="F500" s="18">
        <v>24125247.41</v>
      </c>
      <c r="G500" s="18"/>
      <c r="H500" s="18"/>
      <c r="I500" s="18"/>
      <c r="J500" s="18"/>
      <c r="K500" s="19">
        <f t="shared" si="35"/>
        <v>24125247.41</v>
      </c>
      <c r="L500" s="23" t="s">
        <v>288</v>
      </c>
      <c r="N500" s="130"/>
    </row>
    <row r="501" spans="1:14" ht="12.2" customHeight="1" thickTop="1" x14ac:dyDescent="0.2">
      <c r="A501" s="97" t="s">
        <v>624</v>
      </c>
      <c r="B501" s="41">
        <v>20</v>
      </c>
      <c r="C501" s="41">
        <v>11</v>
      </c>
      <c r="D501" s="36" t="s">
        <v>432</v>
      </c>
      <c r="E501" s="41"/>
      <c r="F501" s="39">
        <f>SUM(F499:F500)</f>
        <v>100107472.82000001</v>
      </c>
      <c r="G501" s="39">
        <f>SUM(G499:G500)</f>
        <v>0</v>
      </c>
      <c r="H501" s="39">
        <f>SUM(H499:H500)</f>
        <v>0</v>
      </c>
      <c r="I501" s="39">
        <f>SUM(I499:I500)</f>
        <v>0</v>
      </c>
      <c r="J501" s="39">
        <f>SUM(J499:J500)</f>
        <v>0</v>
      </c>
      <c r="K501" s="39">
        <f t="shared" si="35"/>
        <v>100107472.82000001</v>
      </c>
      <c r="L501" s="42" t="s">
        <v>288</v>
      </c>
      <c r="N501" s="130"/>
    </row>
    <row r="502" spans="1:14" ht="12.2" customHeight="1" x14ac:dyDescent="0.2">
      <c r="A502" s="143" t="s">
        <v>651</v>
      </c>
      <c r="B502" s="144">
        <v>20</v>
      </c>
      <c r="C502" s="144">
        <v>12</v>
      </c>
      <c r="D502" s="145" t="s">
        <v>432</v>
      </c>
      <c r="E502" s="144"/>
      <c r="F502" s="146">
        <v>3544466.17</v>
      </c>
      <c r="G502" s="146"/>
      <c r="H502" s="146"/>
      <c r="I502" s="146"/>
      <c r="J502" s="146"/>
      <c r="K502" s="147">
        <f t="shared" si="35"/>
        <v>3544466.17</v>
      </c>
      <c r="L502" s="148" t="s">
        <v>288</v>
      </c>
      <c r="N502" s="130"/>
    </row>
    <row r="503" spans="1:14" ht="12.2" customHeight="1" thickBot="1" x14ac:dyDescent="0.25">
      <c r="A503" s="21" t="s">
        <v>625</v>
      </c>
      <c r="B503" s="22">
        <v>20</v>
      </c>
      <c r="C503" s="22">
        <v>13</v>
      </c>
      <c r="D503" s="2" t="s">
        <v>432</v>
      </c>
      <c r="E503" s="22"/>
      <c r="F503" s="18">
        <v>2677658.2999999998</v>
      </c>
      <c r="G503" s="18"/>
      <c r="H503" s="18"/>
      <c r="I503" s="18"/>
      <c r="J503" s="18"/>
      <c r="K503" s="19">
        <f t="shared" si="35"/>
        <v>2677658.2999999998</v>
      </c>
      <c r="L503" s="23" t="s">
        <v>288</v>
      </c>
      <c r="N503" s="130"/>
    </row>
    <row r="504" spans="1:14" ht="12.2" customHeight="1" thickTop="1" x14ac:dyDescent="0.2">
      <c r="A504" s="97" t="s">
        <v>626</v>
      </c>
      <c r="B504" s="41">
        <v>20</v>
      </c>
      <c r="C504" s="41">
        <v>14</v>
      </c>
      <c r="D504" s="36" t="s">
        <v>432</v>
      </c>
      <c r="E504" s="41"/>
      <c r="F504" s="39">
        <f>SUM(F502:F503)</f>
        <v>6222124.4699999997</v>
      </c>
      <c r="G504" s="39">
        <f>SUM(G502:G503)</f>
        <v>0</v>
      </c>
      <c r="H504" s="39">
        <f>SUM(H502:H503)</f>
        <v>0</v>
      </c>
      <c r="I504" s="39">
        <f>SUM(I502:I503)</f>
        <v>0</v>
      </c>
      <c r="J504" s="39">
        <f>SUM(J502:J503)</f>
        <v>0</v>
      </c>
      <c r="K504" s="39">
        <f t="shared" si="35"/>
        <v>6222124.4699999997</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3112207.3498615199</v>
      </c>
      <c r="G522" s="18">
        <v>1177313.7977079242</v>
      </c>
      <c r="H522" s="18">
        <v>2409208.024024073</v>
      </c>
      <c r="I522" s="18">
        <v>42890.743588872683</v>
      </c>
      <c r="J522" s="18">
        <v>8070.7742633153366</v>
      </c>
      <c r="K522" s="18">
        <v>10148.718496957281</v>
      </c>
      <c r="L522" s="69">
        <f>SUM(F522:K522)</f>
        <v>6759839.4079426611</v>
      </c>
      <c r="N522" s="130"/>
    </row>
    <row r="523" spans="1:14" ht="12.2" customHeight="1" x14ac:dyDescent="0.2">
      <c r="A523" s="21" t="s">
        <v>634</v>
      </c>
      <c r="B523" s="22">
        <v>21</v>
      </c>
      <c r="C523" s="22">
        <v>2</v>
      </c>
      <c r="D523" s="2" t="s">
        <v>432</v>
      </c>
      <c r="E523" s="22"/>
      <c r="F523" s="18">
        <v>1763895.5227080933</v>
      </c>
      <c r="G523" s="18">
        <v>865970.56180854689</v>
      </c>
      <c r="H523" s="18">
        <v>2436431.4636844252</v>
      </c>
      <c r="I523" s="18">
        <v>30641.32953100084</v>
      </c>
      <c r="J523" s="18">
        <v>6853.0711249376627</v>
      </c>
      <c r="K523" s="18">
        <v>8617.4990673136235</v>
      </c>
      <c r="L523" s="69">
        <f>SUM(F523:K523)</f>
        <v>5112409.4479243178</v>
      </c>
      <c r="N523" s="130"/>
    </row>
    <row r="524" spans="1:14" ht="12.2" customHeight="1" thickBot="1" x14ac:dyDescent="0.25">
      <c r="A524" s="21" t="s">
        <v>635</v>
      </c>
      <c r="B524" s="22">
        <v>21</v>
      </c>
      <c r="C524" s="22">
        <v>3</v>
      </c>
      <c r="D524" s="2" t="s">
        <v>432</v>
      </c>
      <c r="E524" s="22"/>
      <c r="F524" s="18">
        <v>2402547.2074303869</v>
      </c>
      <c r="G524" s="18">
        <v>1175183.0004835287</v>
      </c>
      <c r="H524" s="18">
        <v>3022292.9722915022</v>
      </c>
      <c r="I524" s="18">
        <v>48680.656880126466</v>
      </c>
      <c r="J524" s="18">
        <v>10899.234611746995</v>
      </c>
      <c r="K524" s="18">
        <v>12505.532435729096</v>
      </c>
      <c r="L524" s="69">
        <f>SUM(F524:K524)</f>
        <v>6672108.6041330202</v>
      </c>
      <c r="N524" s="130"/>
    </row>
    <row r="525" spans="1:14" ht="12.2" customHeight="1" thickTop="1" x14ac:dyDescent="0.2">
      <c r="A525" s="97" t="s">
        <v>63</v>
      </c>
      <c r="B525" s="41">
        <v>21</v>
      </c>
      <c r="C525" s="41">
        <v>4</v>
      </c>
      <c r="D525" s="115" t="s">
        <v>432</v>
      </c>
      <c r="E525" s="41"/>
      <c r="F525" s="81">
        <f>SUM(F522:F524)</f>
        <v>7278650.0800000001</v>
      </c>
      <c r="G525" s="81">
        <f t="shared" ref="G525:L525" si="36">SUM(G522:G524)</f>
        <v>3218467.36</v>
      </c>
      <c r="H525" s="81">
        <f t="shared" si="36"/>
        <v>7867932.46</v>
      </c>
      <c r="I525" s="81">
        <f t="shared" si="36"/>
        <v>122212.73</v>
      </c>
      <c r="J525" s="81">
        <f t="shared" si="36"/>
        <v>25823.079999999994</v>
      </c>
      <c r="K525" s="81">
        <f t="shared" si="36"/>
        <v>31271.75</v>
      </c>
      <c r="L525" s="70">
        <f t="shared" si="36"/>
        <v>18544357.460000001</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566523.66005733144</v>
      </c>
      <c r="G527" s="18">
        <v>418761.28555463161</v>
      </c>
      <c r="H527" s="18">
        <v>121192.28186211408</v>
      </c>
      <c r="I527" s="18">
        <v>0</v>
      </c>
      <c r="J527" s="18">
        <v>0</v>
      </c>
      <c r="K527" s="18">
        <v>0</v>
      </c>
      <c r="L527" s="69">
        <f>SUM(F527:K527)</f>
        <v>1106477.2274740771</v>
      </c>
      <c r="M527" s="8"/>
      <c r="N527" s="164"/>
    </row>
    <row r="528" spans="1:14" s="3" customFormat="1" ht="12.2" customHeight="1" x14ac:dyDescent="0.15">
      <c r="A528" s="21" t="s">
        <v>634</v>
      </c>
      <c r="B528" s="22">
        <v>21</v>
      </c>
      <c r="C528" s="22">
        <v>6</v>
      </c>
      <c r="D528" s="2" t="s">
        <v>432</v>
      </c>
      <c r="E528" s="22"/>
      <c r="F528" s="18">
        <v>182292.55950349671</v>
      </c>
      <c r="G528" s="18">
        <v>105361.15718644919</v>
      </c>
      <c r="H528" s="18">
        <v>80283.666705166252</v>
      </c>
      <c r="I528" s="18">
        <v>0</v>
      </c>
      <c r="J528" s="18">
        <v>0</v>
      </c>
      <c r="K528" s="18">
        <v>0</v>
      </c>
      <c r="L528" s="69">
        <f>SUM(F528:K528)</f>
        <v>367937.38339511212</v>
      </c>
      <c r="M528" s="8"/>
      <c r="N528" s="164"/>
    </row>
    <row r="529" spans="1:14" s="3" customFormat="1" ht="12.2" customHeight="1" thickBot="1" x14ac:dyDescent="0.2">
      <c r="A529" s="21" t="s">
        <v>635</v>
      </c>
      <c r="B529" s="22">
        <v>21</v>
      </c>
      <c r="C529" s="22">
        <v>7</v>
      </c>
      <c r="D529" s="2" t="s">
        <v>432</v>
      </c>
      <c r="E529" s="22"/>
      <c r="F529" s="18">
        <v>284727.34043917182</v>
      </c>
      <c r="G529" s="18">
        <v>160855.74725891912</v>
      </c>
      <c r="H529" s="18">
        <v>145659.41143271967</v>
      </c>
      <c r="I529" s="18">
        <v>0</v>
      </c>
      <c r="J529" s="18">
        <v>0</v>
      </c>
      <c r="K529" s="18">
        <v>0</v>
      </c>
      <c r="L529" s="69">
        <f>SUM(F529:K529)</f>
        <v>591242.49913081061</v>
      </c>
      <c r="M529" s="8"/>
      <c r="N529" s="164"/>
    </row>
    <row r="530" spans="1:14" s="3" customFormat="1" ht="12.2" customHeight="1" thickTop="1" x14ac:dyDescent="0.15">
      <c r="A530" s="97" t="s">
        <v>65</v>
      </c>
      <c r="B530" s="41">
        <v>21</v>
      </c>
      <c r="C530" s="41">
        <v>8</v>
      </c>
      <c r="D530" s="115" t="s">
        <v>432</v>
      </c>
      <c r="E530" s="41"/>
      <c r="F530" s="70">
        <f>SUM(F527:F529)</f>
        <v>1033543.56</v>
      </c>
      <c r="G530" s="70">
        <f t="shared" ref="G530:L530" si="37">SUM(G527:G529)</f>
        <v>684978.19</v>
      </c>
      <c r="H530" s="70">
        <f t="shared" si="37"/>
        <v>347135.36</v>
      </c>
      <c r="I530" s="70">
        <f t="shared" si="37"/>
        <v>0</v>
      </c>
      <c r="J530" s="70">
        <f t="shared" si="37"/>
        <v>0</v>
      </c>
      <c r="K530" s="70">
        <f t="shared" si="37"/>
        <v>0</v>
      </c>
      <c r="L530" s="70">
        <f t="shared" si="37"/>
        <v>2065657.1099999999</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63885.010877752095</v>
      </c>
      <c r="G532" s="18">
        <v>35721.770683760646</v>
      </c>
      <c r="H532" s="18">
        <v>0</v>
      </c>
      <c r="I532" s="18">
        <v>0</v>
      </c>
      <c r="J532" s="18">
        <v>0</v>
      </c>
      <c r="K532" s="18">
        <v>0</v>
      </c>
      <c r="L532" s="69">
        <f>SUM(F532:K532)</f>
        <v>99606.781561512733</v>
      </c>
      <c r="M532" s="8"/>
      <c r="N532" s="164"/>
    </row>
    <row r="533" spans="1:14" s="3" customFormat="1" ht="12.2" customHeight="1" x14ac:dyDescent="0.15">
      <c r="A533" s="21" t="s">
        <v>634</v>
      </c>
      <c r="B533" s="22">
        <v>21</v>
      </c>
      <c r="C533" s="22">
        <v>10</v>
      </c>
      <c r="D533" s="2" t="s">
        <v>432</v>
      </c>
      <c r="E533" s="22"/>
      <c r="F533" s="18">
        <v>54246.161406428328</v>
      </c>
      <c r="G533" s="18">
        <v>30332.137564204844</v>
      </c>
      <c r="H533" s="18">
        <v>0</v>
      </c>
      <c r="I533" s="18">
        <v>0</v>
      </c>
      <c r="J533" s="18">
        <v>0</v>
      </c>
      <c r="K533" s="18">
        <v>0</v>
      </c>
      <c r="L533" s="69">
        <f>SUM(F533:K533)</f>
        <v>84578.298970633172</v>
      </c>
      <c r="M533" s="8"/>
      <c r="N533" s="164"/>
    </row>
    <row r="534" spans="1:14" s="3" customFormat="1" ht="12.2" customHeight="1" thickBot="1" x14ac:dyDescent="0.2">
      <c r="A534" s="21" t="s">
        <v>635</v>
      </c>
      <c r="B534" s="22">
        <v>21</v>
      </c>
      <c r="C534" s="22">
        <v>11</v>
      </c>
      <c r="D534" s="2" t="s">
        <v>432</v>
      </c>
      <c r="E534" s="22"/>
      <c r="F534" s="18">
        <v>169122.47771581958</v>
      </c>
      <c r="G534" s="18">
        <v>93849.201752034511</v>
      </c>
      <c r="H534" s="18">
        <v>0</v>
      </c>
      <c r="I534" s="18">
        <v>0</v>
      </c>
      <c r="J534" s="18">
        <v>0</v>
      </c>
      <c r="K534" s="18">
        <v>0</v>
      </c>
      <c r="L534" s="69">
        <f>SUM(F534:K534)</f>
        <v>262971.67946785409</v>
      </c>
      <c r="M534" s="8"/>
      <c r="N534" s="164"/>
    </row>
    <row r="535" spans="1:14" s="3" customFormat="1" ht="12.2" customHeight="1" thickTop="1" x14ac:dyDescent="0.15">
      <c r="A535" s="97" t="s">
        <v>67</v>
      </c>
      <c r="B535" s="41">
        <v>21</v>
      </c>
      <c r="C535" s="41">
        <v>12</v>
      </c>
      <c r="D535" s="115" t="s">
        <v>432</v>
      </c>
      <c r="E535" s="41"/>
      <c r="F535" s="70">
        <f>SUM(F532:F534)</f>
        <v>287253.65000000002</v>
      </c>
      <c r="G535" s="70">
        <f t="shared" ref="G535:L535" si="38">SUM(G532:G534)</f>
        <v>159903.10999999999</v>
      </c>
      <c r="H535" s="70">
        <f t="shared" si="38"/>
        <v>0</v>
      </c>
      <c r="I535" s="70">
        <f t="shared" si="38"/>
        <v>0</v>
      </c>
      <c r="J535" s="70">
        <f t="shared" si="38"/>
        <v>0</v>
      </c>
      <c r="K535" s="70">
        <f t="shared" si="38"/>
        <v>0</v>
      </c>
      <c r="L535" s="70">
        <f t="shared" si="38"/>
        <v>447156.76</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v>0</v>
      </c>
      <c r="G537" s="18">
        <v>0</v>
      </c>
      <c r="H537" s="18">
        <v>17074.751226683282</v>
      </c>
      <c r="I537" s="18">
        <v>0</v>
      </c>
      <c r="J537" s="18">
        <v>0</v>
      </c>
      <c r="K537" s="18">
        <v>0</v>
      </c>
      <c r="L537" s="69">
        <f>SUM(F537:K537)</f>
        <v>17074.751226683282</v>
      </c>
      <c r="M537" s="8"/>
      <c r="N537" s="164"/>
    </row>
    <row r="538" spans="1:14" s="3" customFormat="1" ht="12.2" customHeight="1" x14ac:dyDescent="0.15">
      <c r="A538" s="21" t="s">
        <v>634</v>
      </c>
      <c r="B538" s="22">
        <v>21</v>
      </c>
      <c r="C538" s="22">
        <v>14</v>
      </c>
      <c r="D538" s="2" t="s">
        <v>432</v>
      </c>
      <c r="E538" s="22"/>
      <c r="F538" s="18">
        <v>0</v>
      </c>
      <c r="G538" s="18">
        <v>0</v>
      </c>
      <c r="H538" s="18">
        <v>14498.545093616531</v>
      </c>
      <c r="I538" s="18">
        <v>0</v>
      </c>
      <c r="J538" s="18">
        <v>0</v>
      </c>
      <c r="K538" s="18">
        <v>0</v>
      </c>
      <c r="L538" s="69">
        <f>SUM(F538:K538)</f>
        <v>14498.545093616531</v>
      </c>
      <c r="M538" s="8"/>
      <c r="N538" s="164"/>
    </row>
    <row r="539" spans="1:14" s="3" customFormat="1" ht="12.2" customHeight="1" thickBot="1" x14ac:dyDescent="0.2">
      <c r="A539" s="21" t="s">
        <v>635</v>
      </c>
      <c r="B539" s="22">
        <v>21</v>
      </c>
      <c r="C539" s="22">
        <v>15</v>
      </c>
      <c r="D539" s="2" t="s">
        <v>432</v>
      </c>
      <c r="E539" s="22"/>
      <c r="F539" s="18">
        <v>0</v>
      </c>
      <c r="G539" s="18">
        <v>0</v>
      </c>
      <c r="H539" s="18">
        <v>20890.243679700179</v>
      </c>
      <c r="I539" s="18">
        <v>0</v>
      </c>
      <c r="J539" s="18">
        <v>0</v>
      </c>
      <c r="K539" s="18">
        <v>0</v>
      </c>
      <c r="L539" s="69">
        <f>SUM(F539:K539)</f>
        <v>20890.243679700179</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52463.539999999994</v>
      </c>
      <c r="I540" s="70">
        <f t="shared" si="39"/>
        <v>0</v>
      </c>
      <c r="J540" s="70">
        <f t="shared" si="39"/>
        <v>0</v>
      </c>
      <c r="K540" s="70">
        <f t="shared" si="39"/>
        <v>0</v>
      </c>
      <c r="L540" s="70">
        <f t="shared" si="39"/>
        <v>52463.539999999994</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v>0</v>
      </c>
      <c r="G542" s="18">
        <v>0</v>
      </c>
      <c r="H542" s="18">
        <v>727930.23191449803</v>
      </c>
      <c r="I542" s="18">
        <v>0</v>
      </c>
      <c r="J542" s="18">
        <v>0</v>
      </c>
      <c r="K542" s="18">
        <v>0</v>
      </c>
      <c r="L542" s="69">
        <f>SUM(F542:K542)</f>
        <v>727930.23191449803</v>
      </c>
      <c r="M542" s="8"/>
      <c r="N542" s="164"/>
    </row>
    <row r="543" spans="1:14" s="3" customFormat="1" ht="12.2" customHeight="1" x14ac:dyDescent="0.15">
      <c r="A543" s="21" t="s">
        <v>634</v>
      </c>
      <c r="B543" s="22">
        <v>21</v>
      </c>
      <c r="C543" s="22">
        <v>18</v>
      </c>
      <c r="D543" s="2" t="s">
        <v>432</v>
      </c>
      <c r="E543" s="22"/>
      <c r="F543" s="18">
        <v>0</v>
      </c>
      <c r="G543" s="18">
        <v>0</v>
      </c>
      <c r="H543" s="18">
        <v>547739.48573230056</v>
      </c>
      <c r="I543" s="18">
        <v>0</v>
      </c>
      <c r="J543" s="18">
        <v>0</v>
      </c>
      <c r="K543" s="18">
        <v>0</v>
      </c>
      <c r="L543" s="69">
        <f>SUM(F543:K543)</f>
        <v>547739.48573230056</v>
      </c>
      <c r="M543" s="8"/>
      <c r="N543" s="164"/>
    </row>
    <row r="544" spans="1:14" s="3" customFormat="1" ht="12.2" customHeight="1" thickBot="1" x14ac:dyDescent="0.2">
      <c r="A544" s="21" t="s">
        <v>635</v>
      </c>
      <c r="B544" s="22">
        <v>21</v>
      </c>
      <c r="C544" s="22">
        <v>19</v>
      </c>
      <c r="D544" s="2" t="s">
        <v>432</v>
      </c>
      <c r="E544" s="22"/>
      <c r="F544" s="18">
        <v>0</v>
      </c>
      <c r="G544" s="18">
        <v>0</v>
      </c>
      <c r="H544" s="18">
        <v>1007437.0423532014</v>
      </c>
      <c r="I544" s="18">
        <v>0</v>
      </c>
      <c r="J544" s="18">
        <v>0</v>
      </c>
      <c r="K544" s="18">
        <v>0</v>
      </c>
      <c r="L544" s="69">
        <f>SUM(F544:K544)</f>
        <v>1007437.0423532014</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2283106.7599999998</v>
      </c>
      <c r="I545" s="140">
        <f t="shared" si="40"/>
        <v>0</v>
      </c>
      <c r="J545" s="140">
        <f t="shared" si="40"/>
        <v>0</v>
      </c>
      <c r="K545" s="140">
        <f t="shared" si="40"/>
        <v>0</v>
      </c>
      <c r="L545" s="140">
        <f t="shared" si="40"/>
        <v>2283106.7599999998</v>
      </c>
      <c r="M545" s="8"/>
      <c r="N545" s="164"/>
    </row>
    <row r="546" spans="1:14" s="3" customFormat="1" ht="12.2" customHeight="1" thickTop="1" x14ac:dyDescent="0.15">
      <c r="A546" s="75" t="s">
        <v>72</v>
      </c>
      <c r="B546" s="41">
        <v>21</v>
      </c>
      <c r="C546" s="41">
        <v>21</v>
      </c>
      <c r="D546" s="115" t="s">
        <v>432</v>
      </c>
      <c r="E546" s="41"/>
      <c r="F546" s="70">
        <f>F525+F530+F535+F540+F545</f>
        <v>8599447.290000001</v>
      </c>
      <c r="G546" s="70">
        <f t="shared" ref="G546:L546" si="41">G525+G530+G535+G540+G545</f>
        <v>4063348.6599999997</v>
      </c>
      <c r="H546" s="70">
        <f t="shared" si="41"/>
        <v>10550638.120000001</v>
      </c>
      <c r="I546" s="70">
        <f t="shared" si="41"/>
        <v>122212.73</v>
      </c>
      <c r="J546" s="70">
        <f t="shared" si="41"/>
        <v>25823.079999999994</v>
      </c>
      <c r="K546" s="70">
        <f t="shared" si="41"/>
        <v>31271.75</v>
      </c>
      <c r="L546" s="70">
        <f t="shared" si="41"/>
        <v>23392741.630000003</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6759839.4079426611</v>
      </c>
      <c r="G550" s="69">
        <f>L527</f>
        <v>1106477.2274740771</v>
      </c>
      <c r="H550" s="69">
        <f>L532</f>
        <v>99606.781561512733</v>
      </c>
      <c r="I550" s="69">
        <f>L537</f>
        <v>17074.751226683282</v>
      </c>
      <c r="J550" s="69">
        <f>L542</f>
        <v>727930.23191449803</v>
      </c>
      <c r="K550" s="69">
        <f>SUM(F550:J550)</f>
        <v>8710928.4001194332</v>
      </c>
      <c r="L550" s="23" t="s">
        <v>288</v>
      </c>
      <c r="M550" s="8"/>
      <c r="N550" s="164"/>
    </row>
    <row r="551" spans="1:14" s="3" customFormat="1" ht="12.2" customHeight="1" x14ac:dyDescent="0.15">
      <c r="A551" s="21" t="s">
        <v>634</v>
      </c>
      <c r="B551" s="22">
        <v>21</v>
      </c>
      <c r="C551" s="22">
        <v>23</v>
      </c>
      <c r="D551" s="2" t="s">
        <v>432</v>
      </c>
      <c r="E551" s="22"/>
      <c r="F551" s="69">
        <f>L523</f>
        <v>5112409.4479243178</v>
      </c>
      <c r="G551" s="69">
        <f>L528</f>
        <v>367937.38339511212</v>
      </c>
      <c r="H551" s="69">
        <f>L533</f>
        <v>84578.298970633172</v>
      </c>
      <c r="I551" s="69">
        <f>L538</f>
        <v>14498.545093616531</v>
      </c>
      <c r="J551" s="69">
        <f>L543</f>
        <v>547739.48573230056</v>
      </c>
      <c r="K551" s="69">
        <f>SUM(F551:J551)</f>
        <v>6127163.1611159798</v>
      </c>
      <c r="L551" s="23" t="s">
        <v>288</v>
      </c>
      <c r="M551" s="8"/>
      <c r="N551" s="164"/>
    </row>
    <row r="552" spans="1:14" s="3" customFormat="1" ht="12.2" customHeight="1" thickBot="1" x14ac:dyDescent="0.2">
      <c r="A552" s="21" t="s">
        <v>635</v>
      </c>
      <c r="B552" s="22">
        <v>21</v>
      </c>
      <c r="C552" s="22">
        <v>24</v>
      </c>
      <c r="D552" s="2" t="s">
        <v>432</v>
      </c>
      <c r="E552" s="22"/>
      <c r="F552" s="69">
        <f>L524</f>
        <v>6672108.6041330202</v>
      </c>
      <c r="G552" s="69">
        <f>L529</f>
        <v>591242.49913081061</v>
      </c>
      <c r="H552" s="69">
        <f>L534</f>
        <v>262971.67946785409</v>
      </c>
      <c r="I552" s="69">
        <f>L539</f>
        <v>20890.243679700179</v>
      </c>
      <c r="J552" s="69">
        <f>L544</f>
        <v>1007437.0423532014</v>
      </c>
      <c r="K552" s="69">
        <f>SUM(F552:J552)</f>
        <v>8554650.068764586</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18544357.460000001</v>
      </c>
      <c r="G553" s="70">
        <f t="shared" si="42"/>
        <v>2065657.1099999999</v>
      </c>
      <c r="H553" s="70">
        <f t="shared" si="42"/>
        <v>447156.76</v>
      </c>
      <c r="I553" s="70">
        <f t="shared" si="42"/>
        <v>52463.539999999994</v>
      </c>
      <c r="J553" s="70">
        <f t="shared" si="42"/>
        <v>2283106.7599999998</v>
      </c>
      <c r="K553" s="70">
        <f t="shared" si="42"/>
        <v>23392741.629999999</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v>0</v>
      </c>
      <c r="G576" s="18">
        <v>0</v>
      </c>
      <c r="H576" s="18">
        <v>19230</v>
      </c>
      <c r="I576" s="69">
        <f>SUM(F576:H576)</f>
        <v>19230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v>0</v>
      </c>
      <c r="G577" s="18">
        <v>0</v>
      </c>
      <c r="H577" s="18">
        <v>0</v>
      </c>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v>0</v>
      </c>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v>0</v>
      </c>
      <c r="G579" s="18">
        <v>0</v>
      </c>
      <c r="H579" s="18">
        <v>0</v>
      </c>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7739.02</v>
      </c>
      <c r="G580" s="18">
        <v>0</v>
      </c>
      <c r="H580" s="18">
        <v>0</v>
      </c>
      <c r="I580" s="69">
        <f t="shared" si="47"/>
        <v>7739.02</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v>0</v>
      </c>
      <c r="G581" s="18">
        <v>0</v>
      </c>
      <c r="H581" s="18">
        <v>0</v>
      </c>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v>0</v>
      </c>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1211171.6200000001</v>
      </c>
      <c r="G583" s="18">
        <v>1717024.0499999998</v>
      </c>
      <c r="H583" s="18">
        <f>2091804.34+2550</f>
        <v>2094354.34</v>
      </c>
      <c r="I583" s="69">
        <f t="shared" si="47"/>
        <v>5022550.01</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v>0</v>
      </c>
      <c r="G584" s="18">
        <v>0</v>
      </c>
      <c r="H584" s="18">
        <v>0</v>
      </c>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v>0</v>
      </c>
      <c r="G585" s="18">
        <v>0</v>
      </c>
      <c r="H585" s="18">
        <v>7646.39</v>
      </c>
      <c r="I585" s="69">
        <f t="shared" si="47"/>
        <v>7646.39</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v>0</v>
      </c>
      <c r="G586" s="18">
        <v>0</v>
      </c>
      <c r="H586" s="18">
        <v>0</v>
      </c>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v>0</v>
      </c>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v>0</v>
      </c>
      <c r="G588" s="53">
        <v>0</v>
      </c>
      <c r="H588" s="53">
        <v>0</v>
      </c>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1218910.6400000001</v>
      </c>
      <c r="G589" s="79">
        <f t="shared" ref="G589:I589" si="48">SUM(G576:G588)</f>
        <v>1717024.0499999998</v>
      </c>
      <c r="H589" s="79">
        <f t="shared" si="48"/>
        <v>2121230.73</v>
      </c>
      <c r="I589" s="79">
        <f t="shared" si="48"/>
        <v>5057165.419999999</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597078.05471964914</v>
      </c>
      <c r="I592" s="18">
        <v>506992.04842489655</v>
      </c>
      <c r="J592" s="18">
        <v>734266.97685545438</v>
      </c>
      <c r="K592" s="80">
        <f t="shared" ref="K592:K598" si="49">SUM(H592:J592)</f>
        <v>1838337.08</v>
      </c>
      <c r="L592" s="23" t="s">
        <v>288</v>
      </c>
      <c r="M592" s="8"/>
      <c r="N592" s="164"/>
    </row>
    <row r="593" spans="1:14" s="3" customFormat="1" ht="12.2" customHeight="1" x14ac:dyDescent="0.15">
      <c r="A593" s="3" t="s">
        <v>638</v>
      </c>
      <c r="B593" s="22">
        <v>23</v>
      </c>
      <c r="C593" s="22">
        <v>2</v>
      </c>
      <c r="D593" s="2" t="s">
        <v>432</v>
      </c>
      <c r="E593" s="22"/>
      <c r="F593" s="78">
        <v>2722</v>
      </c>
      <c r="G593" s="79" t="s">
        <v>97</v>
      </c>
      <c r="H593" s="18">
        <v>727930.23191449803</v>
      </c>
      <c r="I593" s="18">
        <v>547739.48573230056</v>
      </c>
      <c r="J593" s="18">
        <v>1007437.0423532014</v>
      </c>
      <c r="K593" s="80">
        <f t="shared" si="49"/>
        <v>2283106.7599999998</v>
      </c>
      <c r="L593" s="23" t="s">
        <v>288</v>
      </c>
      <c r="M593" s="8"/>
      <c r="N593" s="164"/>
    </row>
    <row r="594" spans="1:14" s="3" customFormat="1" ht="12.2" customHeight="1" x14ac:dyDescent="0.15">
      <c r="A594" s="3" t="s">
        <v>639</v>
      </c>
      <c r="B594" s="22">
        <v>23</v>
      </c>
      <c r="C594" s="22">
        <v>3</v>
      </c>
      <c r="D594" s="2" t="s">
        <v>432</v>
      </c>
      <c r="E594" s="22"/>
      <c r="F594" s="78">
        <v>2723</v>
      </c>
      <c r="G594" s="79" t="s">
        <v>97</v>
      </c>
      <c r="H594" s="18">
        <v>0</v>
      </c>
      <c r="I594" s="18">
        <v>0</v>
      </c>
      <c r="J594" s="18">
        <v>130596.91</v>
      </c>
      <c r="K594" s="80">
        <f t="shared" si="49"/>
        <v>130596.91</v>
      </c>
      <c r="L594" s="23" t="s">
        <v>288</v>
      </c>
      <c r="M594" s="8"/>
      <c r="N594" s="164"/>
    </row>
    <row r="595" spans="1:14" s="3" customFormat="1" ht="12.2" customHeight="1" x14ac:dyDescent="0.15">
      <c r="A595" s="21" t="s">
        <v>640</v>
      </c>
      <c r="B595" s="22">
        <v>23</v>
      </c>
      <c r="C595" s="22">
        <v>4</v>
      </c>
      <c r="D595" s="2" t="s">
        <v>432</v>
      </c>
      <c r="E595" s="22"/>
      <c r="F595" s="78">
        <v>2724</v>
      </c>
      <c r="G595" s="79" t="s">
        <v>97</v>
      </c>
      <c r="H595" s="18">
        <v>0</v>
      </c>
      <c r="I595" s="18">
        <v>19148.27</v>
      </c>
      <c r="J595" s="18">
        <v>142580.29999999999</v>
      </c>
      <c r="K595" s="80">
        <f t="shared" si="49"/>
        <v>161728.56999999998</v>
      </c>
      <c r="L595" s="23" t="s">
        <v>288</v>
      </c>
      <c r="M595" s="8"/>
      <c r="N595" s="164"/>
    </row>
    <row r="596" spans="1:14" s="3" customFormat="1" ht="12.2" customHeight="1" x14ac:dyDescent="0.15">
      <c r="A596" s="103" t="s">
        <v>652</v>
      </c>
      <c r="B596" s="22">
        <v>23</v>
      </c>
      <c r="C596" s="22">
        <v>5</v>
      </c>
      <c r="D596" s="2" t="s">
        <v>432</v>
      </c>
      <c r="E596" s="22"/>
      <c r="F596" s="78">
        <v>2725</v>
      </c>
      <c r="G596" s="79" t="s">
        <v>97</v>
      </c>
      <c r="H596" s="18">
        <v>135.6</v>
      </c>
      <c r="I596" s="18">
        <v>0</v>
      </c>
      <c r="J596" s="18">
        <v>15800</v>
      </c>
      <c r="K596" s="80">
        <f t="shared" si="49"/>
        <v>15935.6</v>
      </c>
      <c r="L596" s="23" t="s">
        <v>288</v>
      </c>
      <c r="M596" s="8"/>
      <c r="N596" s="164"/>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v>63419.128792956675</v>
      </c>
      <c r="I598" s="18">
        <v>53850.570728412546</v>
      </c>
      <c r="J598" s="18">
        <v>77590.650478630792</v>
      </c>
      <c r="K598" s="80">
        <f t="shared" si="49"/>
        <v>194860.35</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1388563.015427104</v>
      </c>
      <c r="I599" s="81">
        <f>SUM(I592:I598)</f>
        <v>1127730.3748856096</v>
      </c>
      <c r="J599" s="81">
        <f>SUM(J592:J598)</f>
        <v>2108271.8796872864</v>
      </c>
      <c r="K599" s="81">
        <f>SUM(K592:K598)</f>
        <v>4624565.2699999996</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v>0</v>
      </c>
      <c r="I604" s="18">
        <v>0</v>
      </c>
      <c r="J604" s="18">
        <v>0</v>
      </c>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399121.57571403519</v>
      </c>
      <c r="I605" s="18">
        <v>419843.511108101</v>
      </c>
      <c r="J605" s="18">
        <v>613184.23317786364</v>
      </c>
      <c r="K605" s="80">
        <f>SUM(H605:J605)</f>
        <v>1432149.3199999998</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399121.57571403519</v>
      </c>
      <c r="I606" s="81">
        <f>SUM(I603:I605)</f>
        <v>419843.511108101</v>
      </c>
      <c r="J606" s="81">
        <f>SUM(J603:J605)</f>
        <v>613184.23317786364</v>
      </c>
      <c r="K606" s="81">
        <f>SUM(K603:K605)</f>
        <v>1432149.3199999998</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289310.74353340414</v>
      </c>
      <c r="G612" s="18">
        <v>64692.299599945145</v>
      </c>
      <c r="H612" s="18">
        <v>839.68194706896645</v>
      </c>
      <c r="I612" s="18">
        <v>2697.0008213588062</v>
      </c>
      <c r="J612" s="18">
        <v>0</v>
      </c>
      <c r="K612" s="18">
        <v>0</v>
      </c>
      <c r="L612" s="69">
        <f>SUM(F612:K612)</f>
        <v>357539.72590177704</v>
      </c>
      <c r="M612" s="8"/>
      <c r="N612" s="164"/>
    </row>
    <row r="613" spans="1:14" s="3" customFormat="1" ht="12.2" customHeight="1" x14ac:dyDescent="0.15">
      <c r="A613" s="21" t="s">
        <v>634</v>
      </c>
      <c r="B613" s="22">
        <v>23</v>
      </c>
      <c r="C613" s="22">
        <v>14</v>
      </c>
      <c r="D613" s="2" t="s">
        <v>432</v>
      </c>
      <c r="E613" s="22"/>
      <c r="F613" s="18">
        <v>67274.59551722405</v>
      </c>
      <c r="G613" s="18">
        <v>15379.043153228702</v>
      </c>
      <c r="H613" s="18">
        <v>712.99232488085477</v>
      </c>
      <c r="I613" s="18">
        <v>1186.9627187803103</v>
      </c>
      <c r="J613" s="18">
        <v>0</v>
      </c>
      <c r="K613" s="18">
        <v>0</v>
      </c>
      <c r="L613" s="69">
        <f>SUM(F613:K613)</f>
        <v>84553.593714113915</v>
      </c>
      <c r="M613" s="8"/>
      <c r="N613" s="164"/>
    </row>
    <row r="614" spans="1:14" s="3" customFormat="1" ht="12.2" customHeight="1" thickBot="1" x14ac:dyDescent="0.2">
      <c r="A614" s="21" t="s">
        <v>645</v>
      </c>
      <c r="B614" s="22">
        <v>23</v>
      </c>
      <c r="C614" s="22">
        <v>15</v>
      </c>
      <c r="D614" s="2" t="s">
        <v>432</v>
      </c>
      <c r="E614" s="22"/>
      <c r="F614" s="18">
        <v>110142.73094937173</v>
      </c>
      <c r="G614" s="18">
        <v>25764.007246826157</v>
      </c>
      <c r="H614" s="18">
        <v>1027.3157280501787</v>
      </c>
      <c r="I614" s="18">
        <v>1710.2364598608835</v>
      </c>
      <c r="J614" s="18">
        <v>0</v>
      </c>
      <c r="K614" s="18">
        <v>0</v>
      </c>
      <c r="L614" s="69">
        <f>SUM(F614:K614)</f>
        <v>138644.29038410896</v>
      </c>
      <c r="M614" s="8"/>
      <c r="N614" s="164"/>
    </row>
    <row r="615" spans="1:14" s="3" customFormat="1" ht="12.2" customHeight="1" thickTop="1" x14ac:dyDescent="0.15">
      <c r="A615" s="75" t="s">
        <v>340</v>
      </c>
      <c r="B615" s="41">
        <v>23</v>
      </c>
      <c r="C615" s="41">
        <v>16</v>
      </c>
      <c r="D615" s="36" t="s">
        <v>432</v>
      </c>
      <c r="E615" s="41"/>
      <c r="F615" s="81">
        <f t="shared" ref="F615:L615" si="50">SUM(F612:F614)</f>
        <v>466728.06999999995</v>
      </c>
      <c r="G615" s="81">
        <f t="shared" si="50"/>
        <v>105835.35</v>
      </c>
      <c r="H615" s="81">
        <f t="shared" si="50"/>
        <v>2579.9899999999998</v>
      </c>
      <c r="I615" s="81">
        <f t="shared" si="50"/>
        <v>5594.2</v>
      </c>
      <c r="J615" s="81">
        <f t="shared" si="50"/>
        <v>0</v>
      </c>
      <c r="K615" s="81">
        <f t="shared" si="50"/>
        <v>0</v>
      </c>
      <c r="L615" s="70">
        <f t="shared" si="50"/>
        <v>580737.60999999987</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0</v>
      </c>
      <c r="H618" s="80">
        <f>SUM(F52)</f>
        <v>0</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860944.54</v>
      </c>
      <c r="H619" s="80">
        <f>SUM(G52)</f>
        <v>860944.54</v>
      </c>
      <c r="I619" s="87" t="s">
        <v>872</v>
      </c>
      <c r="J619" s="80">
        <f>G619-H619</f>
        <v>0</v>
      </c>
      <c r="K619" s="80"/>
      <c r="L619" s="80"/>
      <c r="M619" s="8"/>
    </row>
    <row r="620" spans="1:14" s="3" customFormat="1" ht="12.2" customHeight="1" x14ac:dyDescent="0.15">
      <c r="A620" s="74"/>
      <c r="B620" s="22"/>
      <c r="C620" s="22"/>
      <c r="D620" s="22"/>
      <c r="E620" s="22"/>
      <c r="F620" s="87" t="s">
        <v>685</v>
      </c>
      <c r="G620" s="80">
        <f>SUM(H19)</f>
        <v>1575933</v>
      </c>
      <c r="H620" s="80">
        <f>SUM(H52)</f>
        <v>1575933</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0</v>
      </c>
      <c r="H622" s="80">
        <f>SUM(J52)</f>
        <v>0</v>
      </c>
      <c r="I622" s="87" t="s">
        <v>875</v>
      </c>
      <c r="J622" s="80">
        <f>G622-H622</f>
        <v>0</v>
      </c>
      <c r="K622" s="80"/>
      <c r="L622" s="80"/>
      <c r="M622" s="8"/>
    </row>
    <row r="623" spans="1:14" s="3" customFormat="1" ht="12.2" customHeight="1" x14ac:dyDescent="0.15">
      <c r="A623" s="74"/>
      <c r="B623" s="22"/>
      <c r="C623" s="22"/>
      <c r="D623" s="22"/>
      <c r="E623" s="22"/>
      <c r="F623" s="87" t="s">
        <v>861</v>
      </c>
      <c r="G623" s="80">
        <f>F51</f>
        <v>0</v>
      </c>
      <c r="H623" s="80">
        <f>F477</f>
        <v>0</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860944.54</v>
      </c>
      <c r="H624" s="80">
        <f>G477</f>
        <v>860944.54</v>
      </c>
      <c r="I624" s="87" t="s">
        <v>102</v>
      </c>
      <c r="J624" s="80">
        <f t="shared" si="51"/>
        <v>0</v>
      </c>
      <c r="K624" s="80"/>
      <c r="L624" s="80"/>
      <c r="M624" s="8"/>
    </row>
    <row r="625" spans="1:13" s="3" customFormat="1" ht="12.2" customHeight="1" x14ac:dyDescent="0.15">
      <c r="A625" s="74"/>
      <c r="B625" s="22"/>
      <c r="C625" s="22"/>
      <c r="D625" s="22"/>
      <c r="E625" s="22"/>
      <c r="F625" s="86" t="s">
        <v>863</v>
      </c>
      <c r="G625" s="80">
        <f>H51</f>
        <v>1575933</v>
      </c>
      <c r="H625" s="80">
        <f>H477</f>
        <v>1575933</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0</v>
      </c>
      <c r="H627" s="80">
        <f>J477</f>
        <v>0</v>
      </c>
      <c r="I627" s="87" t="s">
        <v>105</v>
      </c>
      <c r="J627" s="80">
        <f t="shared" si="51"/>
        <v>0</v>
      </c>
      <c r="K627" s="67"/>
      <c r="L627" s="69"/>
      <c r="M627" s="8"/>
    </row>
    <row r="628" spans="1:13" s="3" customFormat="1" ht="12.2" customHeight="1" x14ac:dyDescent="0.15">
      <c r="A628" s="21"/>
      <c r="B628" s="22"/>
      <c r="C628" s="22"/>
      <c r="D628" s="22"/>
      <c r="E628" s="22"/>
      <c r="F628" s="86" t="s">
        <v>658</v>
      </c>
      <c r="G628" s="80">
        <f>F194</f>
        <v>80876018.180000007</v>
      </c>
      <c r="H628" s="80">
        <f>SUM(F469)</f>
        <v>80876018.180000007</v>
      </c>
      <c r="I628" s="87" t="s">
        <v>106</v>
      </c>
      <c r="J628" s="80">
        <f>G628-H628</f>
        <v>0</v>
      </c>
      <c r="K628" s="67"/>
      <c r="L628" s="69"/>
      <c r="M628" s="8"/>
    </row>
    <row r="629" spans="1:13" s="3" customFormat="1" ht="12.2" customHeight="1" x14ac:dyDescent="0.15">
      <c r="A629" s="21"/>
      <c r="B629" s="22"/>
      <c r="C629" s="22"/>
      <c r="D629" s="22"/>
      <c r="E629" s="22"/>
      <c r="F629" s="86" t="s">
        <v>659</v>
      </c>
      <c r="G629" s="80">
        <f>G194</f>
        <v>1688179.67</v>
      </c>
      <c r="H629" s="80">
        <f>SUM(G469)</f>
        <v>1688179.67</v>
      </c>
      <c r="I629" s="87" t="s">
        <v>107</v>
      </c>
      <c r="J629" s="80">
        <f>G629-H629</f>
        <v>0</v>
      </c>
      <c r="K629" s="67"/>
      <c r="L629" s="69"/>
      <c r="M629" s="8"/>
    </row>
    <row r="630" spans="1:13" s="3" customFormat="1" ht="12.2" customHeight="1" x14ac:dyDescent="0.15">
      <c r="A630" s="21"/>
      <c r="B630" s="22"/>
      <c r="C630" s="22"/>
      <c r="D630" s="22"/>
      <c r="E630" s="22"/>
      <c r="F630" s="86" t="s">
        <v>660</v>
      </c>
      <c r="G630" s="80">
        <f>H194</f>
        <v>6961500.0600000005</v>
      </c>
      <c r="H630" s="80">
        <f>SUM(H469)</f>
        <v>6961500.0599999996</v>
      </c>
      <c r="I630" s="87" t="s">
        <v>108</v>
      </c>
      <c r="J630" s="80">
        <f>G630-H630</f>
        <v>0</v>
      </c>
      <c r="K630" s="67"/>
      <c r="L630" s="69"/>
      <c r="M630" s="8"/>
    </row>
    <row r="631" spans="1:13" s="3" customFormat="1" ht="12.2" customHeight="1" x14ac:dyDescent="0.15">
      <c r="A631" s="21"/>
      <c r="B631" s="22"/>
      <c r="C631" s="22"/>
      <c r="D631" s="22"/>
      <c r="E631" s="22"/>
      <c r="F631" s="86" t="s">
        <v>661</v>
      </c>
      <c r="G631" s="80">
        <f>I194</f>
        <v>1355000</v>
      </c>
      <c r="H631" s="80">
        <f>SUM(I469)</f>
        <v>1355000</v>
      </c>
      <c r="I631" s="87" t="s">
        <v>109</v>
      </c>
      <c r="J631" s="80">
        <f>G631-H631</f>
        <v>0</v>
      </c>
      <c r="K631" s="67"/>
      <c r="L631" s="69"/>
      <c r="M631" s="8"/>
    </row>
    <row r="632" spans="1:13" s="3" customFormat="1" ht="12.2" customHeight="1" x14ac:dyDescent="0.15">
      <c r="A632" s="21"/>
      <c r="B632" s="22"/>
      <c r="C632" s="22"/>
      <c r="D632" s="22"/>
      <c r="E632" s="22"/>
      <c r="F632" s="86" t="s">
        <v>662</v>
      </c>
      <c r="G632" s="80">
        <f>J194</f>
        <v>0</v>
      </c>
      <c r="H632" s="80">
        <f>SUM(J469)</f>
        <v>0</v>
      </c>
      <c r="I632" s="87" t="s">
        <v>110</v>
      </c>
      <c r="J632" s="80">
        <f>G632-H632</f>
        <v>0</v>
      </c>
      <c r="K632" s="67"/>
      <c r="L632" s="69"/>
      <c r="M632" s="8"/>
    </row>
    <row r="633" spans="1:13" s="3" customFormat="1" ht="12.2" customHeight="1" x14ac:dyDescent="0.15">
      <c r="A633" s="21"/>
      <c r="B633" s="22"/>
      <c r="C633" s="22"/>
      <c r="D633" s="22"/>
      <c r="E633" s="22"/>
      <c r="F633" s="86" t="s">
        <v>394</v>
      </c>
      <c r="G633" s="80">
        <f>SUM(L272)</f>
        <v>79515329.570000008</v>
      </c>
      <c r="H633" s="80">
        <f>SUM(F473)</f>
        <v>79515329.570000008</v>
      </c>
      <c r="I633" s="87" t="s">
        <v>111</v>
      </c>
      <c r="J633" s="80">
        <f t="shared" si="51"/>
        <v>0</v>
      </c>
      <c r="K633" s="67"/>
      <c r="L633" s="69"/>
      <c r="M633" s="8"/>
    </row>
    <row r="634" spans="1:13" s="3" customFormat="1" ht="12.2" customHeight="1" x14ac:dyDescent="0.15">
      <c r="A634" s="21"/>
      <c r="B634" s="22"/>
      <c r="C634" s="22"/>
      <c r="D634" s="22"/>
      <c r="E634" s="22"/>
      <c r="F634" s="86" t="s">
        <v>395</v>
      </c>
      <c r="G634" s="80">
        <f>SUM(L353)</f>
        <v>6827653.129999999</v>
      </c>
      <c r="H634" s="80">
        <f>SUM(H473)</f>
        <v>6827653.129999999</v>
      </c>
      <c r="I634" s="87" t="s">
        <v>112</v>
      </c>
      <c r="J634" s="80">
        <f>G634-H634</f>
        <v>0</v>
      </c>
      <c r="K634" s="67"/>
      <c r="L634" s="69"/>
      <c r="M634" s="8"/>
    </row>
    <row r="635" spans="1:13" s="124" customFormat="1" ht="12.2" customHeight="1" x14ac:dyDescent="0.15">
      <c r="A635" s="21"/>
      <c r="B635" s="22"/>
      <c r="C635" s="22"/>
      <c r="D635" s="22"/>
      <c r="E635" s="22"/>
      <c r="F635" s="99" t="s">
        <v>247</v>
      </c>
      <c r="G635" s="80">
        <f>I363</f>
        <v>168054.19</v>
      </c>
      <c r="H635" s="80">
        <f>I370</f>
        <v>168054.19</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1859492.65</v>
      </c>
      <c r="H636" s="80">
        <f>SUM(G473)</f>
        <v>1859492.65</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1205929.1400000001</v>
      </c>
      <c r="H637" s="80">
        <f>SUM(I473)</f>
        <v>1205929.1400000001</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0</v>
      </c>
      <c r="H638" s="108">
        <f>SUM(J469)</f>
        <v>0</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0</v>
      </c>
      <c r="H643" s="80">
        <f>SUM(I462)</f>
        <v>0</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0</v>
      </c>
      <c r="H647" s="80">
        <f>L409</f>
        <v>0</v>
      </c>
      <c r="I647" s="87" t="s">
        <v>477</v>
      </c>
      <c r="J647" s="80">
        <f t="shared" si="51"/>
        <v>0</v>
      </c>
      <c r="K647" s="67"/>
      <c r="L647" s="69"/>
      <c r="M647" s="8"/>
    </row>
    <row r="648" spans="1:13" s="3" customFormat="1" ht="12.2" customHeight="1" x14ac:dyDescent="0.15">
      <c r="A648" s="21"/>
      <c r="B648" s="22"/>
      <c r="C648" s="22"/>
      <c r="D648" s="22"/>
      <c r="E648" s="22"/>
      <c r="F648" s="86" t="s">
        <v>51</v>
      </c>
      <c r="G648" s="80">
        <f>K599</f>
        <v>4624565.2699999996</v>
      </c>
      <c r="H648" s="80">
        <f>L209+L227+L245</f>
        <v>4624565.2700000005</v>
      </c>
      <c r="I648" s="87" t="s">
        <v>396</v>
      </c>
      <c r="J648" s="80">
        <f t="shared" si="51"/>
        <v>0</v>
      </c>
      <c r="K648" s="67"/>
      <c r="L648" s="69"/>
      <c r="M648" s="8"/>
    </row>
    <row r="649" spans="1:13" s="3" customFormat="1" ht="12.2" customHeight="1" x14ac:dyDescent="0.15">
      <c r="A649" s="21"/>
      <c r="B649" s="22"/>
      <c r="C649" s="22"/>
      <c r="D649" s="22"/>
      <c r="E649" s="22"/>
      <c r="F649" s="86" t="s">
        <v>52</v>
      </c>
      <c r="G649" s="80">
        <f>K606</f>
        <v>1432149.3199999998</v>
      </c>
      <c r="H649" s="80">
        <f>(J258+J339)-(J256+J337)</f>
        <v>1432149.3199999998</v>
      </c>
      <c r="I649" s="87" t="s">
        <v>699</v>
      </c>
      <c r="J649" s="80">
        <f t="shared" si="51"/>
        <v>0</v>
      </c>
      <c r="K649" s="67"/>
      <c r="L649" s="69"/>
      <c r="M649" s="8"/>
    </row>
    <row r="650" spans="1:13" s="3" customFormat="1" ht="12.2" customHeight="1" x14ac:dyDescent="0.15">
      <c r="A650" s="21"/>
      <c r="B650" s="22"/>
      <c r="C650" s="22"/>
      <c r="D650" s="22"/>
      <c r="E650" s="22"/>
      <c r="F650" s="86" t="s">
        <v>387</v>
      </c>
      <c r="G650" s="80">
        <f>L209</f>
        <v>1388563.0154271037</v>
      </c>
      <c r="H650" s="80">
        <f>H599</f>
        <v>1388563.015427104</v>
      </c>
      <c r="I650" s="87" t="s">
        <v>388</v>
      </c>
      <c r="J650" s="80">
        <f t="shared" si="51"/>
        <v>0</v>
      </c>
      <c r="K650" s="67"/>
      <c r="L650" s="69"/>
      <c r="M650" s="8"/>
    </row>
    <row r="651" spans="1:13" s="3" customFormat="1" ht="12.2" customHeight="1" x14ac:dyDescent="0.15">
      <c r="A651" s="21"/>
      <c r="B651" s="22"/>
      <c r="C651" s="22"/>
      <c r="D651" s="22"/>
      <c r="E651" s="22"/>
      <c r="F651" s="86" t="s">
        <v>392</v>
      </c>
      <c r="G651" s="80">
        <f>L227</f>
        <v>1127730.3748856096</v>
      </c>
      <c r="H651" s="80">
        <f>I599</f>
        <v>1127730.3748856096</v>
      </c>
      <c r="I651" s="87" t="s">
        <v>389</v>
      </c>
      <c r="J651" s="80">
        <f t="shared" si="51"/>
        <v>0</v>
      </c>
      <c r="K651" s="67"/>
      <c r="L651" s="69"/>
      <c r="M651" s="8"/>
    </row>
    <row r="652" spans="1:13" s="3" customFormat="1" ht="12.2" customHeight="1" x14ac:dyDescent="0.15">
      <c r="A652" s="21"/>
      <c r="B652" s="22"/>
      <c r="C652" s="22"/>
      <c r="D652" s="22"/>
      <c r="E652" s="22"/>
      <c r="F652" s="86" t="s">
        <v>393</v>
      </c>
      <c r="G652" s="80">
        <f>L245</f>
        <v>2108271.8796872869</v>
      </c>
      <c r="H652" s="80">
        <f>J599</f>
        <v>2108271.8796872864</v>
      </c>
      <c r="I652" s="87" t="s">
        <v>390</v>
      </c>
      <c r="J652" s="80">
        <f t="shared" si="51"/>
        <v>0</v>
      </c>
      <c r="K652" s="67"/>
      <c r="L652" s="69"/>
      <c r="M652" s="8"/>
    </row>
    <row r="653" spans="1:13" s="3" customFormat="1" ht="12.2" customHeight="1" x14ac:dyDescent="0.15">
      <c r="A653" s="21"/>
      <c r="B653" s="22"/>
      <c r="C653" s="22"/>
      <c r="D653" s="22"/>
      <c r="E653" s="22"/>
      <c r="F653" s="86" t="s">
        <v>665</v>
      </c>
      <c r="G653" s="80">
        <f>G180+G182</f>
        <v>18766.95</v>
      </c>
      <c r="H653" s="80">
        <f>K264+K346</f>
        <v>18766.95</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1355000</v>
      </c>
      <c r="H655" s="80">
        <f>K266+K347</f>
        <v>1355000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28034413.592123874</v>
      </c>
      <c r="G661" s="13">
        <f>(L230+L310+L360)</f>
        <v>20002765.279038474</v>
      </c>
      <c r="H661" s="13">
        <f>(L248+L329+L361)</f>
        <v>30925148.638837669</v>
      </c>
      <c r="I661" s="13">
        <f>SUM(F661:H661)</f>
        <v>78962327.51000002</v>
      </c>
      <c r="J661" s="13"/>
      <c r="K661" s="13"/>
      <c r="L661" s="13"/>
      <c r="M661" s="9"/>
    </row>
    <row r="662" spans="1:13" s="3" customFormat="1" ht="12.2" customHeight="1" x14ac:dyDescent="0.2">
      <c r="A662" s="1" t="s">
        <v>127</v>
      </c>
      <c r="F662" s="13">
        <f>(L359/IF(SUM(L359:L361)=0,1,SUM(L359:L361))*(SUM(G97:G110)))</f>
        <v>292280.45323679392</v>
      </c>
      <c r="G662" s="13">
        <f>(L360/IF(SUM(L359:L361)=0,1,SUM(L359:L361))*(SUM(G97:G110)))</f>
        <v>248181.73190213344</v>
      </c>
      <c r="H662" s="13">
        <f>(L361/IF(SUM(L359:L361)=0,1,SUM(L359:L361))*(SUM(G97:G110)))</f>
        <v>357592.9048610726</v>
      </c>
      <c r="I662" s="13">
        <f>SUM(F662:H662)</f>
        <v>898055.08999999985</v>
      </c>
      <c r="J662"/>
      <c r="K662" s="13"/>
      <c r="L662" s="13"/>
      <c r="M662" s="8"/>
    </row>
    <row r="663" spans="1:13" s="3" customFormat="1" ht="12.2" customHeight="1" x14ac:dyDescent="0.2">
      <c r="A663" s="1" t="s">
        <v>128</v>
      </c>
      <c r="F663" s="13">
        <f>(L209+L288)-(J209+J288)</f>
        <v>1402010.7854803302</v>
      </c>
      <c r="G663" s="13">
        <f>(L227+L307)-(J227+J307)</f>
        <v>1139149.170857325</v>
      </c>
      <c r="H663" s="13">
        <f>(L245+L326)-(J245+J326)</f>
        <v>2125444.023662345</v>
      </c>
      <c r="I663" s="13">
        <f>SUM(F663:H663)</f>
        <v>4666603.9800000004</v>
      </c>
      <c r="J663"/>
      <c r="K663" s="13"/>
      <c r="L663" s="13"/>
      <c r="M663" s="9"/>
    </row>
    <row r="664" spans="1:13" s="3" customFormat="1" ht="12.2" customHeight="1" x14ac:dyDescent="0.15">
      <c r="A664" s="141" t="s">
        <v>129</v>
      </c>
      <c r="B664" s="124"/>
      <c r="C664" s="124"/>
      <c r="D664" s="124"/>
      <c r="E664" s="124"/>
      <c r="F664" s="142">
        <f>SUM(F576:F588)+SUM(H603:H605)+SUM(L612)</f>
        <v>1975571.9416158125</v>
      </c>
      <c r="G664" s="142">
        <f>SUM(G576:G588)+SUM(I603:I605)+L613</f>
        <v>2221421.1548222145</v>
      </c>
      <c r="H664" s="142">
        <f>SUM(H576:H588)+SUM(J603:J605)+L614</f>
        <v>2873059.2535619726</v>
      </c>
      <c r="I664" s="13">
        <f>SUM(F664:H664)</f>
        <v>7070052.3499999996</v>
      </c>
      <c r="J664" s="13"/>
      <c r="K664" s="13"/>
      <c r="L664" s="13"/>
      <c r="M664" s="9"/>
    </row>
    <row r="665" spans="1:13" s="3" customFormat="1" ht="12.2" customHeight="1" x14ac:dyDescent="0.15">
      <c r="A665" s="1" t="s">
        <v>130</v>
      </c>
      <c r="F665" s="13">
        <f>F661-SUM(F662:F664)</f>
        <v>24364550.411790937</v>
      </c>
      <c r="G665" s="13">
        <f>G661-SUM(G662:G664)</f>
        <v>16394013.221456802</v>
      </c>
      <c r="H665" s="13">
        <f>H661-SUM(H662:H664)</f>
        <v>25569052.456752278</v>
      </c>
      <c r="I665" s="13">
        <f>I661-SUM(I662:I664)</f>
        <v>66327616.090000018</v>
      </c>
      <c r="J665" s="13"/>
      <c r="K665" s="13"/>
      <c r="L665" s="13"/>
      <c r="M665" s="8"/>
    </row>
    <row r="666" spans="1:13" s="3" customFormat="1" ht="12.2" customHeight="1" x14ac:dyDescent="0.2">
      <c r="A666" s="1" t="s">
        <v>131</v>
      </c>
      <c r="F666" s="182">
        <v>1187.5899999999999</v>
      </c>
      <c r="G666" s="183">
        <v>966.9</v>
      </c>
      <c r="H666" s="183">
        <v>1356.08</v>
      </c>
      <c r="I666" s="13">
        <f>SUM(F666:H666)</f>
        <v>3510.5699999999997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20515.96</v>
      </c>
      <c r="G668" s="13">
        <f>ROUND(G665/G666,2)</f>
        <v>16955.23</v>
      </c>
      <c r="H668" s="13">
        <f>ROUND(H665/H666,2)</f>
        <v>18855.12</v>
      </c>
      <c r="I668" s="13">
        <f>ROUND(I665/I666,2)</f>
        <v>18893.689999999999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51.91</v>
      </c>
      <c r="I671" s="13">
        <f>SUM(F671:H671)</f>
        <v>51.91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20515.96</v>
      </c>
      <c r="G673" s="13">
        <f>ROUND((G665+G670)/(G666+G671),2)</f>
        <v>16955.23</v>
      </c>
      <c r="H673" s="13">
        <f>ROUND((H665+H670)/(H666+H671),2)</f>
        <v>18159.97</v>
      </c>
      <c r="I673" s="13">
        <f>ROUND((I665+I670)/(I666+I671),2)</f>
        <v>18618.38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4" sqref="C24"/>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21" t="s">
        <v>1611</v>
      </c>
      <c r="D2" s="321"/>
      <c r="E2" s="321"/>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241786.3</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145270.54999999999</v>
      </c>
      <c r="F9" s="271" t="s">
        <v>1612</v>
      </c>
    </row>
    <row r="10" spans="2:8" x14ac:dyDescent="0.25">
      <c r="B10" s="270"/>
      <c r="C10" s="270"/>
      <c r="D10" s="270"/>
      <c r="E10" s="270"/>
      <c r="F10" s="270"/>
    </row>
    <row r="11" spans="2:8" x14ac:dyDescent="0.25">
      <c r="B11" s="270"/>
      <c r="C11" s="274" t="s">
        <v>1616</v>
      </c>
      <c r="D11" s="271" t="s">
        <v>1619</v>
      </c>
      <c r="E11" s="259">
        <v>44595.54</v>
      </c>
      <c r="F11" s="271" t="s">
        <v>1613</v>
      </c>
    </row>
    <row r="12" spans="2:8" x14ac:dyDescent="0.25">
      <c r="B12" s="270"/>
      <c r="C12" s="270"/>
      <c r="D12" s="271"/>
      <c r="E12" s="270"/>
      <c r="F12" s="270"/>
    </row>
    <row r="13" spans="2:8" x14ac:dyDescent="0.25">
      <c r="B13" s="270"/>
      <c r="C13" s="271" t="s">
        <v>1606</v>
      </c>
      <c r="D13" s="271" t="s">
        <v>1620</v>
      </c>
      <c r="E13" s="259">
        <v>51920.21</v>
      </c>
      <c r="F13" s="271" t="s">
        <v>1614</v>
      </c>
    </row>
    <row r="14" spans="2:8" x14ac:dyDescent="0.25">
      <c r="B14" s="270"/>
      <c r="C14" s="270"/>
      <c r="D14" s="271"/>
      <c r="E14" s="270"/>
      <c r="F14" s="270"/>
    </row>
    <row r="15" spans="2:8" x14ac:dyDescent="0.25">
      <c r="B15" s="270"/>
      <c r="C15" s="271" t="s">
        <v>1608</v>
      </c>
      <c r="D15" s="271" t="s">
        <v>1621</v>
      </c>
      <c r="E15" s="259">
        <v>0</v>
      </c>
      <c r="F15" s="271" t="s">
        <v>1615</v>
      </c>
    </row>
    <row r="16" spans="2:8" x14ac:dyDescent="0.25">
      <c r="B16" s="270"/>
      <c r="C16" s="270"/>
      <c r="D16" s="270"/>
      <c r="E16" s="270"/>
      <c r="F16" s="270"/>
    </row>
    <row r="17" spans="2:8" x14ac:dyDescent="0.25">
      <c r="B17" s="270"/>
      <c r="C17" s="271" t="s">
        <v>1607</v>
      </c>
      <c r="D17" s="271" t="s">
        <v>1622</v>
      </c>
      <c r="E17" s="259">
        <v>0</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0</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22" t="s">
        <v>1547</v>
      </c>
      <c r="B1" s="322"/>
      <c r="C1" s="322"/>
      <c r="D1" s="322"/>
      <c r="E1" s="322"/>
      <c r="F1" s="322"/>
      <c r="G1" s="322"/>
      <c r="H1" s="322"/>
    </row>
    <row r="2" spans="1:9" ht="15" x14ac:dyDescent="0.2">
      <c r="A2" s="322" t="s">
        <v>1787</v>
      </c>
      <c r="B2" s="322"/>
      <c r="C2" s="322"/>
      <c r="D2" s="322"/>
      <c r="E2" s="322"/>
      <c r="F2" s="322"/>
      <c r="G2" s="322"/>
      <c r="H2" s="322"/>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3" t="str">
        <f>'DOE25'!A2</f>
        <v>Dover</v>
      </c>
      <c r="C5" s="324"/>
      <c r="D5" s="324"/>
      <c r="E5" s="324"/>
      <c r="F5" s="324"/>
    </row>
    <row r="8" spans="1:9" ht="18" x14ac:dyDescent="0.25">
      <c r="A8" s="239" t="s">
        <v>1548</v>
      </c>
      <c r="F8" s="246" t="s">
        <v>1566</v>
      </c>
    </row>
    <row r="9" spans="1:9" ht="15" x14ac:dyDescent="0.2">
      <c r="A9" s="237" t="s">
        <v>1549</v>
      </c>
      <c r="B9" s="240">
        <f>'DOE25'!G97</f>
        <v>897822.09</v>
      </c>
      <c r="F9" s="237" t="s">
        <v>1562</v>
      </c>
    </row>
    <row r="10" spans="1:9" ht="15" x14ac:dyDescent="0.2">
      <c r="A10" s="237" t="s">
        <v>1550</v>
      </c>
      <c r="B10" s="240">
        <f>'DOE25'!G112-'DOE25'!G97</f>
        <v>233</v>
      </c>
      <c r="F10" s="237" t="s">
        <v>1563</v>
      </c>
    </row>
    <row r="11" spans="1:9" ht="15" x14ac:dyDescent="0.2">
      <c r="A11" s="237" t="s">
        <v>1551</v>
      </c>
      <c r="B11" s="240">
        <f>'DOE25'!G140</f>
        <v>22612.079999999998</v>
      </c>
      <c r="F11" s="237" t="s">
        <v>1564</v>
      </c>
    </row>
    <row r="12" spans="1:9" ht="15" x14ac:dyDescent="0.2">
      <c r="A12" s="237" t="s">
        <v>1552</v>
      </c>
      <c r="B12" s="240">
        <f>'DOE25'!G170</f>
        <v>748745.55</v>
      </c>
      <c r="F12" s="237" t="s">
        <v>1565</v>
      </c>
    </row>
    <row r="13" spans="1:9" ht="15" x14ac:dyDescent="0.2">
      <c r="A13" s="237" t="s">
        <v>1553</v>
      </c>
      <c r="B13" s="240">
        <f>'DOE25'!G193-'DOE25'!G180</f>
        <v>0</v>
      </c>
      <c r="F13" s="237" t="s">
        <v>1575</v>
      </c>
    </row>
    <row r="14" spans="1:9" ht="18" x14ac:dyDescent="0.25">
      <c r="A14" s="239" t="s">
        <v>732</v>
      </c>
      <c r="B14" s="241">
        <f>SUM(B9:B13)</f>
        <v>1669412.72</v>
      </c>
    </row>
    <row r="16" spans="1:9" ht="18" x14ac:dyDescent="0.25">
      <c r="A16" s="239" t="s">
        <v>783</v>
      </c>
      <c r="F16" s="246" t="s">
        <v>1567</v>
      </c>
    </row>
    <row r="17" spans="1:6" ht="15" x14ac:dyDescent="0.2">
      <c r="A17" s="237" t="s">
        <v>1554</v>
      </c>
      <c r="B17" s="240">
        <f>'DOE25'!L363-'DOE25'!L362</f>
        <v>1859492.65</v>
      </c>
      <c r="F17" s="237" t="s">
        <v>1568</v>
      </c>
    </row>
    <row r="18" spans="1:6" ht="15" x14ac:dyDescent="0.2">
      <c r="A18" s="237" t="s">
        <v>1555</v>
      </c>
      <c r="B18" s="250"/>
      <c r="F18" s="246" t="s">
        <v>1592</v>
      </c>
    </row>
    <row r="19" spans="1:6" ht="18" x14ac:dyDescent="0.25">
      <c r="A19" s="239" t="s">
        <v>725</v>
      </c>
      <c r="B19" s="241">
        <f>SUM(B17:B18)</f>
        <v>1859492.65</v>
      </c>
    </row>
    <row r="21" spans="1:6" ht="18.75" thickBot="1" x14ac:dyDescent="0.3">
      <c r="A21" s="239" t="s">
        <v>1556</v>
      </c>
    </row>
    <row r="22" spans="1:6" ht="18.75" thickTop="1" x14ac:dyDescent="0.25">
      <c r="A22" s="239" t="s">
        <v>1557</v>
      </c>
      <c r="B22" s="245">
        <f>B14-B19</f>
        <v>-190079.92999999993</v>
      </c>
      <c r="F22" s="237" t="s">
        <v>1569</v>
      </c>
    </row>
    <row r="26" spans="1:6" ht="18" x14ac:dyDescent="0.25">
      <c r="A26" s="239" t="s">
        <v>186</v>
      </c>
    </row>
    <row r="27" spans="1:6" ht="15" x14ac:dyDescent="0.2">
      <c r="A27" s="237" t="s">
        <v>1558</v>
      </c>
      <c r="B27" s="240">
        <f>'DOE25'!G180</f>
        <v>18766.95</v>
      </c>
      <c r="F27" s="237" t="s">
        <v>1570</v>
      </c>
    </row>
    <row r="28" spans="1:6" ht="15" x14ac:dyDescent="0.2">
      <c r="A28" s="237" t="s">
        <v>1560</v>
      </c>
      <c r="B28" s="240">
        <f>'DOE25'!L362</f>
        <v>0</v>
      </c>
      <c r="F28" s="237" t="s">
        <v>1571</v>
      </c>
    </row>
    <row r="31" spans="1:6" ht="15" x14ac:dyDescent="0.2">
      <c r="A31" s="237" t="s">
        <v>1789</v>
      </c>
      <c r="B31" s="240">
        <f>'DOE25'!G466</f>
        <v>1032257.52</v>
      </c>
      <c r="F31" s="237" t="s">
        <v>1572</v>
      </c>
    </row>
    <row r="33" spans="1:6" ht="15" x14ac:dyDescent="0.2">
      <c r="A33" s="237" t="s">
        <v>1790</v>
      </c>
      <c r="B33" s="240">
        <f>'DOE25'!G477</f>
        <v>860944.54</v>
      </c>
      <c r="F33" s="237" t="s">
        <v>1573</v>
      </c>
    </row>
    <row r="36" spans="1:6" ht="15" x14ac:dyDescent="0.2">
      <c r="A36" s="237" t="s">
        <v>1559</v>
      </c>
      <c r="B36" s="251">
        <v>144326</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27" activeCellId="2" sqref="B9:C9 B18:C18 B27:C27"/>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Dover</v>
      </c>
      <c r="C1" s="174" t="s">
        <v>820</v>
      </c>
    </row>
    <row r="2" spans="1:3" x14ac:dyDescent="0.2">
      <c r="A2" s="170"/>
      <c r="B2" s="169"/>
    </row>
    <row r="3" spans="1:3" x14ac:dyDescent="0.2">
      <c r="A3" s="321" t="s">
        <v>777</v>
      </c>
      <c r="B3" s="321"/>
      <c r="C3" s="321"/>
    </row>
    <row r="4" spans="1:3" x14ac:dyDescent="0.2">
      <c r="A4" s="173"/>
      <c r="B4" s="24" t="str">
        <f>'DOE25'!H1</f>
        <v>DOE 25  2023-2024</v>
      </c>
      <c r="C4" s="173"/>
    </row>
    <row r="5" spans="1:3" x14ac:dyDescent="0.2">
      <c r="A5" s="170"/>
      <c r="B5" s="169"/>
    </row>
    <row r="6" spans="1:3" x14ac:dyDescent="0.2">
      <c r="A6" s="164"/>
      <c r="B6" s="327" t="s">
        <v>776</v>
      </c>
      <c r="C6" s="327"/>
    </row>
    <row r="7" spans="1:3" x14ac:dyDescent="0.2">
      <c r="A7" s="175" t="s">
        <v>779</v>
      </c>
      <c r="B7" s="325" t="s">
        <v>775</v>
      </c>
      <c r="C7" s="326"/>
    </row>
    <row r="8" spans="1:3" x14ac:dyDescent="0.2">
      <c r="B8" s="165" t="s">
        <v>54</v>
      </c>
      <c r="C8" s="165" t="s">
        <v>769</v>
      </c>
    </row>
    <row r="9" spans="1:3" x14ac:dyDescent="0.2">
      <c r="A9" s="32" t="s">
        <v>770</v>
      </c>
      <c r="B9" s="166">
        <f>'DOE25'!F198+'DOE25'!F216+'DOE25'!F234+'DOE25'!F277+'DOE25'!F296+'DOE25'!F315</f>
        <v>15745212.770000001</v>
      </c>
      <c r="C9" s="166">
        <f>'DOE25'!G198+'DOE25'!G216+'DOE25'!G234+'DOE25'!G277+'DOE25'!G296+'DOE25'!G315</f>
        <v>9759088.4100000001</v>
      </c>
    </row>
    <row r="10" spans="1:3" x14ac:dyDescent="0.2">
      <c r="A10" t="s">
        <v>772</v>
      </c>
      <c r="B10" s="176">
        <v>14957432.66</v>
      </c>
      <c r="C10" s="176">
        <v>9428123.8599999994</v>
      </c>
    </row>
    <row r="11" spans="1:3" x14ac:dyDescent="0.2">
      <c r="A11" t="s">
        <v>773</v>
      </c>
      <c r="B11" s="176">
        <v>361025.10000000003</v>
      </c>
      <c r="C11" s="176">
        <v>152262.87000000002</v>
      </c>
    </row>
    <row r="12" spans="1:3" x14ac:dyDescent="0.2">
      <c r="A12" t="s">
        <v>774</v>
      </c>
      <c r="B12" s="176">
        <v>426755.01000000164</v>
      </c>
      <c r="C12" s="176">
        <v>178701.68000000156</v>
      </c>
    </row>
    <row r="13" spans="1:3" x14ac:dyDescent="0.2">
      <c r="A13" t="str">
        <f>IF(B9=B13,IF(C9=C13,"Check Total OK","Check Total Error"),"Check Total Error")</f>
        <v>Check Total OK</v>
      </c>
      <c r="B13" s="168">
        <f>SUM(B10:B12)</f>
        <v>15745212.770000001</v>
      </c>
      <c r="C13" s="168">
        <f>SUM(C10:C12)</f>
        <v>9759088.4100000001</v>
      </c>
    </row>
    <row r="14" spans="1:3" x14ac:dyDescent="0.2">
      <c r="B14" s="167"/>
      <c r="C14" s="167"/>
    </row>
    <row r="15" spans="1:3" x14ac:dyDescent="0.2">
      <c r="B15" s="327" t="s">
        <v>776</v>
      </c>
      <c r="C15" s="327"/>
    </row>
    <row r="16" spans="1:3" x14ac:dyDescent="0.2">
      <c r="A16" s="175" t="s">
        <v>780</v>
      </c>
      <c r="B16" s="325" t="s">
        <v>703</v>
      </c>
      <c r="C16" s="326"/>
    </row>
    <row r="17" spans="1:3" x14ac:dyDescent="0.2">
      <c r="B17" s="165" t="s">
        <v>54</v>
      </c>
      <c r="C17" s="165" t="s">
        <v>769</v>
      </c>
    </row>
    <row r="18" spans="1:3" x14ac:dyDescent="0.2">
      <c r="A18" s="32" t="s">
        <v>770</v>
      </c>
      <c r="B18" s="166">
        <f>'DOE25'!F199+'DOE25'!F217+'DOE25'!F235+'DOE25'!F278+'DOE25'!F297+'DOE25'!F316</f>
        <v>7565903.7300000004</v>
      </c>
      <c r="C18" s="166">
        <f>'DOE25'!G199+'DOE25'!G217+'DOE25'!G235+'DOE25'!G278+'DOE25'!G297+'DOE25'!G316</f>
        <v>3378370.4699999993</v>
      </c>
    </row>
    <row r="19" spans="1:3" x14ac:dyDescent="0.2">
      <c r="A19" t="s">
        <v>772</v>
      </c>
      <c r="B19" s="176">
        <v>4062233.29</v>
      </c>
      <c r="C19" s="176">
        <v>2447939.91</v>
      </c>
    </row>
    <row r="20" spans="1:3" x14ac:dyDescent="0.2">
      <c r="A20" t="s">
        <v>773</v>
      </c>
      <c r="B20" s="176">
        <v>2761402.5599999991</v>
      </c>
      <c r="C20" s="176">
        <v>494160.82999999984</v>
      </c>
    </row>
    <row r="21" spans="1:3" x14ac:dyDescent="0.2">
      <c r="A21" t="s">
        <v>774</v>
      </c>
      <c r="B21" s="176">
        <v>742267.88000000082</v>
      </c>
      <c r="C21" s="176">
        <v>436269.72999999905</v>
      </c>
    </row>
    <row r="22" spans="1:3" x14ac:dyDescent="0.2">
      <c r="A22" t="str">
        <f>IF(B18=B22,IF(C18=C22,"Check Total OK","Check Total Error"),"Check Total Error")</f>
        <v>Check Total OK</v>
      </c>
      <c r="B22" s="168">
        <f>SUM(B19:B21)</f>
        <v>7565903.7300000004</v>
      </c>
      <c r="C22" s="168">
        <f>SUM(C19:C21)</f>
        <v>3378370.4699999993</v>
      </c>
    </row>
    <row r="23" spans="1:3" x14ac:dyDescent="0.2">
      <c r="B23" s="167"/>
      <c r="C23" s="167"/>
    </row>
    <row r="24" spans="1:3" x14ac:dyDescent="0.2">
      <c r="B24" s="327" t="s">
        <v>776</v>
      </c>
      <c r="C24" s="327"/>
    </row>
    <row r="25" spans="1:3" x14ac:dyDescent="0.2">
      <c r="A25" s="175" t="s">
        <v>781</v>
      </c>
      <c r="B25" s="325" t="s">
        <v>704</v>
      </c>
      <c r="C25" s="326"/>
    </row>
    <row r="26" spans="1:3" x14ac:dyDescent="0.2">
      <c r="B26" s="165" t="s">
        <v>54</v>
      </c>
      <c r="C26" s="165" t="s">
        <v>769</v>
      </c>
    </row>
    <row r="27" spans="1:3" x14ac:dyDescent="0.2">
      <c r="A27" s="32" t="s">
        <v>770</v>
      </c>
      <c r="B27" s="171">
        <f>'DOE25'!F200+'DOE25'!F218+'DOE25'!F236+'DOE25'!F279+'DOE25'!F298+'DOE25'!F317</f>
        <v>1700981.1400000004</v>
      </c>
      <c r="C27" s="171">
        <f>'DOE25'!G200+'DOE25'!G218+'DOE25'!G236+'DOE25'!G279+'DOE25'!G298+'DOE25'!G317</f>
        <v>1046421.3500000003</v>
      </c>
    </row>
    <row r="28" spans="1:3" x14ac:dyDescent="0.2">
      <c r="A28" t="s">
        <v>772</v>
      </c>
      <c r="B28" s="176">
        <v>1497560.4700000002</v>
      </c>
      <c r="C28" s="176">
        <v>935575.65</v>
      </c>
    </row>
    <row r="29" spans="1:3" x14ac:dyDescent="0.2">
      <c r="A29" t="s">
        <v>773</v>
      </c>
      <c r="B29" s="176">
        <v>0</v>
      </c>
      <c r="C29" s="176">
        <v>0</v>
      </c>
    </row>
    <row r="30" spans="1:3" x14ac:dyDescent="0.2">
      <c r="A30" t="s">
        <v>774</v>
      </c>
      <c r="B30" s="176">
        <v>203420.67000000016</v>
      </c>
      <c r="C30" s="176">
        <v>110845.7000000003</v>
      </c>
    </row>
    <row r="31" spans="1:3" x14ac:dyDescent="0.2">
      <c r="A31" t="str">
        <f>IF(B27=B31,IF(C27=C31,"Check Total OK","Check Total Error"),"Check Total Error")</f>
        <v>Check Total OK</v>
      </c>
      <c r="B31" s="168">
        <f>SUM(B28:B30)</f>
        <v>1700981.1400000004</v>
      </c>
      <c r="C31" s="168">
        <f>SUM(C28:C30)</f>
        <v>1046421.3500000003</v>
      </c>
    </row>
    <row r="33" spans="1:3" x14ac:dyDescent="0.2">
      <c r="B33" s="327" t="s">
        <v>776</v>
      </c>
      <c r="C33" s="327"/>
    </row>
    <row r="34" spans="1:3" x14ac:dyDescent="0.2">
      <c r="A34" s="175" t="s">
        <v>782</v>
      </c>
      <c r="B34" s="325" t="s">
        <v>705</v>
      </c>
      <c r="C34" s="326"/>
    </row>
    <row r="35" spans="1:3" x14ac:dyDescent="0.2">
      <c r="B35" s="165" t="s">
        <v>54</v>
      </c>
      <c r="C35" s="165" t="s">
        <v>769</v>
      </c>
    </row>
    <row r="36" spans="1:3" x14ac:dyDescent="0.2">
      <c r="A36" s="32" t="s">
        <v>770</v>
      </c>
      <c r="B36" s="172">
        <f>'DOE25'!F201+'DOE25'!F219+'DOE25'!F237+'DOE25'!F280+'DOE25'!F299+'DOE25'!F318</f>
        <v>495770.57</v>
      </c>
      <c r="C36" s="172">
        <f>'DOE25'!G201+'DOE25'!G219+'DOE25'!G237+'DOE25'!G280+'DOE25'!G299+'DOE25'!G318</f>
        <v>163145.20000000001</v>
      </c>
    </row>
    <row r="37" spans="1:3" x14ac:dyDescent="0.2">
      <c r="A37" t="s">
        <v>772</v>
      </c>
      <c r="B37" s="176"/>
      <c r="C37" s="176"/>
    </row>
    <row r="38" spans="1:3" x14ac:dyDescent="0.2">
      <c r="A38" t="s">
        <v>773</v>
      </c>
      <c r="B38" s="176"/>
      <c r="C38" s="176"/>
    </row>
    <row r="39" spans="1:3" x14ac:dyDescent="0.2">
      <c r="A39" t="s">
        <v>774</v>
      </c>
      <c r="B39" s="176">
        <v>495770.57</v>
      </c>
      <c r="C39" s="176">
        <v>163145.20000000001</v>
      </c>
    </row>
    <row r="40" spans="1:3" x14ac:dyDescent="0.2">
      <c r="A40" t="str">
        <f>IF(B36=B40,IF(C36=C40,"Check Total OK","Check Total Error"),"Check Total Error")</f>
        <v>Check Total OK</v>
      </c>
      <c r="B40" s="168">
        <f>SUM(B37:B39)</f>
        <v>495770.57</v>
      </c>
      <c r="C40" s="168">
        <f>SUM(C37:C39)</f>
        <v>163145.20000000001</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F40" sqref="F4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7" t="s">
        <v>886</v>
      </c>
      <c r="B1" s="330"/>
      <c r="C1" s="330"/>
      <c r="D1" s="330"/>
      <c r="E1" s="330"/>
      <c r="F1" s="330"/>
      <c r="G1" s="330"/>
      <c r="H1" s="330"/>
      <c r="I1" s="130"/>
    </row>
    <row r="2" spans="1:9" x14ac:dyDescent="0.2">
      <c r="A2" s="32" t="s">
        <v>713</v>
      </c>
      <c r="B2" s="195" t="str">
        <f>'DOE25'!A2</f>
        <v>Dover</v>
      </c>
      <c r="C2" s="207"/>
      <c r="D2" s="130" t="s">
        <v>784</v>
      </c>
      <c r="E2" s="130" t="s">
        <v>786</v>
      </c>
      <c r="F2" s="328" t="s">
        <v>885</v>
      </c>
      <c r="G2" s="329"/>
      <c r="H2" s="329"/>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47173179.040000007</v>
      </c>
      <c r="D5" s="19">
        <f>SUM('DOE25'!L198:L201)+SUM('DOE25'!L216:L219)+SUM('DOE25'!L234:L237)-F5-G5-H5</f>
        <v>41604684.640000008</v>
      </c>
      <c r="E5" s="179"/>
      <c r="F5" s="180">
        <v>5364194.26</v>
      </c>
      <c r="G5" s="19">
        <f>SUM('DOE25'!J198:J201)+SUM('DOE25'!J216:J219)+SUM('DOE25'!J234:J237)</f>
        <v>121603.45</v>
      </c>
      <c r="H5" s="19">
        <f>SUM('DOE25'!K198:K201)+SUM('DOE25'!K216:K219)+SUM('DOE25'!K234:K237)</f>
        <v>82696.69</v>
      </c>
      <c r="I5" s="191"/>
    </row>
    <row r="6" spans="1:9" x14ac:dyDescent="0.2">
      <c r="A6" s="31">
        <v>2100</v>
      </c>
      <c r="B6" t="s">
        <v>793</v>
      </c>
      <c r="C6" s="205">
        <f t="shared" si="0"/>
        <v>5242049.1300000008</v>
      </c>
      <c r="D6" s="19">
        <f>'DOE25'!L203+'DOE25'!L221+'DOE25'!L239-F6-G6-H6</f>
        <v>4993367.37</v>
      </c>
      <c r="E6" s="179"/>
      <c r="F6" s="180">
        <v>247837.78</v>
      </c>
      <c r="G6" s="19">
        <f>'DOE25'!J203+'DOE25'!J221+'DOE25'!J239</f>
        <v>843.98</v>
      </c>
      <c r="H6" s="19">
        <f>'DOE25'!K203+'DOE25'!K221+'DOE25'!K239</f>
        <v>0</v>
      </c>
      <c r="I6" s="191"/>
    </row>
    <row r="7" spans="1:9" x14ac:dyDescent="0.2">
      <c r="A7" s="31">
        <v>2200</v>
      </c>
      <c r="B7" t="s">
        <v>817</v>
      </c>
      <c r="C7" s="205">
        <f t="shared" si="0"/>
        <v>1672958.56</v>
      </c>
      <c r="D7" s="19">
        <f>'DOE25'!L204+'DOE25'!L222+'DOE25'!L240-F7-G7-H7</f>
        <v>1671629.56</v>
      </c>
      <c r="E7" s="179"/>
      <c r="F7" s="180">
        <v>0</v>
      </c>
      <c r="G7" s="19">
        <f>'DOE25'!J204+'DOE25'!J222+'DOE25'!J240</f>
        <v>0</v>
      </c>
      <c r="H7" s="19">
        <f>'DOE25'!K204+'DOE25'!K222+'DOE25'!K240</f>
        <v>1329</v>
      </c>
      <c r="I7" s="191"/>
    </row>
    <row r="8" spans="1:9" x14ac:dyDescent="0.2">
      <c r="A8" s="31">
        <v>2300</v>
      </c>
      <c r="B8" t="s">
        <v>794</v>
      </c>
      <c r="C8" s="205">
        <f t="shared" si="0"/>
        <v>780858.17</v>
      </c>
      <c r="D8" s="179"/>
      <c r="E8" s="19">
        <f>'DOE25'!L205+'DOE25'!L223+'DOE25'!L241-F8-G8-H8-D9-D11</f>
        <v>378773.42000000004</v>
      </c>
      <c r="F8" s="180">
        <v>385740.82999999996</v>
      </c>
      <c r="G8" s="19">
        <f>'DOE25'!J205+'DOE25'!J223+'DOE25'!J241</f>
        <v>0</v>
      </c>
      <c r="H8" s="19">
        <f>'DOE25'!K205+'DOE25'!K223+'DOE25'!K241</f>
        <v>16343.919999999998</v>
      </c>
      <c r="I8" s="191"/>
    </row>
    <row r="9" spans="1:9" ht="14.25" x14ac:dyDescent="0.2">
      <c r="A9" s="31">
        <v>2310</v>
      </c>
      <c r="B9" s="71" t="s">
        <v>884</v>
      </c>
      <c r="C9" s="205">
        <f t="shared" si="0"/>
        <v>234969.7</v>
      </c>
      <c r="D9" s="180">
        <v>234969.7</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742059.63</v>
      </c>
      <c r="D11" s="180">
        <v>742059.63</v>
      </c>
      <c r="E11" s="179"/>
      <c r="F11" s="179"/>
      <c r="G11" s="179"/>
      <c r="H11" s="179"/>
      <c r="I11" s="191"/>
    </row>
    <row r="12" spans="1:9" x14ac:dyDescent="0.2">
      <c r="A12" s="31">
        <v>2400</v>
      </c>
      <c r="B12" t="s">
        <v>711</v>
      </c>
      <c r="C12" s="205">
        <f t="shared" si="0"/>
        <v>3337287.42</v>
      </c>
      <c r="D12" s="19">
        <f>'DOE25'!L206+'DOE25'!L224+'DOE25'!L242-F12-G12-H12</f>
        <v>3325601.44</v>
      </c>
      <c r="E12" s="179"/>
      <c r="F12" s="180">
        <v>0</v>
      </c>
      <c r="G12" s="19">
        <f>'DOE25'!J206+'DOE25'!J224+'DOE25'!J242</f>
        <v>88.95</v>
      </c>
      <c r="H12" s="19">
        <f>'DOE25'!K206+'DOE25'!K224+'DOE25'!K242</f>
        <v>11597.03</v>
      </c>
      <c r="I12" s="191"/>
    </row>
    <row r="13" spans="1:9" x14ac:dyDescent="0.2">
      <c r="A13" s="31">
        <v>2500</v>
      </c>
      <c r="B13" t="s">
        <v>795</v>
      </c>
      <c r="C13" s="205">
        <f t="shared" si="0"/>
        <v>0</v>
      </c>
      <c r="D13" s="179"/>
      <c r="E13" s="19">
        <f>'DOE25'!L207+'DOE25'!L225+'DOE25'!L243-F13-G13-H13</f>
        <v>0</v>
      </c>
      <c r="F13" s="180">
        <v>0</v>
      </c>
      <c r="G13" s="19">
        <f>'DOE25'!J207+'DOE25'!J225+'DOE25'!J243</f>
        <v>0</v>
      </c>
      <c r="H13" s="19">
        <f>'DOE25'!K207+'DOE25'!K225+'DOE25'!K243</f>
        <v>0</v>
      </c>
      <c r="I13" s="191"/>
    </row>
    <row r="14" spans="1:9" x14ac:dyDescent="0.2">
      <c r="A14" s="31">
        <v>2600</v>
      </c>
      <c r="B14" t="s">
        <v>815</v>
      </c>
      <c r="C14" s="205">
        <f t="shared" si="0"/>
        <v>6112538.46</v>
      </c>
      <c r="D14" s="19">
        <f>'DOE25'!L208+'DOE25'!L226+'DOE25'!L244-F14-G14-H14</f>
        <v>1764333.9699999988</v>
      </c>
      <c r="E14" s="179"/>
      <c r="F14" s="180">
        <v>3814887.3800000004</v>
      </c>
      <c r="G14" s="19">
        <f>'DOE25'!J208+'DOE25'!J226+'DOE25'!J244</f>
        <v>533317.11</v>
      </c>
      <c r="H14" s="19">
        <f>'DOE25'!K208+'DOE25'!K226+'DOE25'!K244</f>
        <v>0</v>
      </c>
      <c r="I14" s="191"/>
    </row>
    <row r="15" spans="1:9" x14ac:dyDescent="0.2">
      <c r="A15" s="31">
        <v>2700</v>
      </c>
      <c r="B15" t="s">
        <v>796</v>
      </c>
      <c r="C15" s="205">
        <f t="shared" si="0"/>
        <v>4624565.2700000005</v>
      </c>
      <c r="D15" s="19">
        <f>'DOE25'!L209+'DOE25'!L227+'DOE25'!L245-F15-G15-H15</f>
        <v>1376449.0100000002</v>
      </c>
      <c r="E15" s="179"/>
      <c r="F15" s="180">
        <v>3248116.2600000002</v>
      </c>
      <c r="G15" s="19">
        <f>'DOE25'!J209+'DOE25'!J227+'DOE25'!J245</f>
        <v>0</v>
      </c>
      <c r="H15" s="19">
        <f>'DOE25'!K209+'DOE25'!K227+'DOE25'!K245</f>
        <v>0</v>
      </c>
      <c r="I15" s="191"/>
    </row>
    <row r="16" spans="1:9" x14ac:dyDescent="0.2">
      <c r="A16" s="31">
        <v>2800</v>
      </c>
      <c r="B16" t="s">
        <v>797</v>
      </c>
      <c r="C16" s="205">
        <f t="shared" si="0"/>
        <v>1653451.39</v>
      </c>
      <c r="D16" s="179"/>
      <c r="E16" s="19">
        <f>'DOE25'!L210+'DOE25'!L228+'DOE25'!L246-F16-G16-H16</f>
        <v>1526666.8499999999</v>
      </c>
      <c r="F16" s="180">
        <v>0</v>
      </c>
      <c r="G16" s="19">
        <f>'DOE25'!J210+'DOE25'!J228+'DOE25'!J246</f>
        <v>120092.54</v>
      </c>
      <c r="H16" s="19">
        <f>'DOE25'!K210+'DOE25'!K228+'DOE25'!K246</f>
        <v>6692</v>
      </c>
      <c r="I16" s="191"/>
    </row>
    <row r="17" spans="1:9" x14ac:dyDescent="0.2">
      <c r="A17" s="31">
        <v>1600</v>
      </c>
      <c r="B17" t="s">
        <v>798</v>
      </c>
      <c r="C17" s="205">
        <f t="shared" si="0"/>
        <v>260218.97</v>
      </c>
      <c r="D17" s="19">
        <f>'DOE25'!L252-F17-G17-H17</f>
        <v>260218.97</v>
      </c>
      <c r="E17" s="179"/>
      <c r="F17" s="180">
        <v>0</v>
      </c>
      <c r="G17" s="19">
        <f>'DOE25'!J252</f>
        <v>0</v>
      </c>
      <c r="H17" s="19">
        <f>'DOE25'!K252</f>
        <v>0</v>
      </c>
      <c r="I17" s="191"/>
    </row>
    <row r="18" spans="1:9" x14ac:dyDescent="0.2">
      <c r="A18" s="31">
        <v>1700</v>
      </c>
      <c r="B18" t="s">
        <v>799</v>
      </c>
      <c r="C18" s="205">
        <f t="shared" si="0"/>
        <v>0</v>
      </c>
      <c r="D18" s="19">
        <f>'DOE25'!L253-F18-G18-H18</f>
        <v>0</v>
      </c>
      <c r="E18" s="179"/>
      <c r="F18" s="180">
        <v>0</v>
      </c>
      <c r="G18" s="19">
        <f>'DOE25'!J253</f>
        <v>0</v>
      </c>
      <c r="H18" s="19">
        <f>'DOE25'!K253</f>
        <v>0</v>
      </c>
      <c r="I18" s="191"/>
    </row>
    <row r="19" spans="1:9" x14ac:dyDescent="0.2">
      <c r="A19" s="31">
        <v>1800</v>
      </c>
      <c r="B19" t="s">
        <v>800</v>
      </c>
      <c r="C19" s="205">
        <f t="shared" si="0"/>
        <v>0</v>
      </c>
      <c r="D19" s="19">
        <f>'DOE25'!L254-F19-G19-H19</f>
        <v>0</v>
      </c>
      <c r="E19" s="179"/>
      <c r="F19" s="180">
        <v>0</v>
      </c>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627860</v>
      </c>
      <c r="D22" s="179"/>
      <c r="E22" s="179"/>
      <c r="F22" s="179"/>
      <c r="G22" s="19">
        <f>'DOE25'!L256+'DOE25'!L337</f>
        <v>627860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6307426.8799999999</v>
      </c>
      <c r="D25" s="179"/>
      <c r="E25" s="179"/>
      <c r="F25" s="190"/>
      <c r="G25" s="179"/>
      <c r="H25" s="179"/>
      <c r="I25" s="189">
        <f>'DOE25'!L261+'DOE25'!L262+'DOE25'!L342+'DOE25'!L343</f>
        <v>6307426.8799999999</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1527081.4660899998</v>
      </c>
      <c r="D29" s="211">
        <f>'DOE25'!L359+'DOE25'!L360+'DOE25'!L361-'DOE25'!I368-F29-G29-H29-F39</f>
        <v>1378738.4060899997</v>
      </c>
      <c r="E29" s="179"/>
      <c r="F29" s="179"/>
      <c r="G29" s="19">
        <f>'DOE25'!J359+'DOE25'!J360+'DOE25'!J361</f>
        <v>146699.00999999998</v>
      </c>
      <c r="H29" s="19">
        <f>'DOE25'!K359+'DOE25'!K360+'DOE25'!K361</f>
        <v>1644.05</v>
      </c>
      <c r="I29" s="191"/>
    </row>
    <row r="30" spans="1:9" x14ac:dyDescent="0.2">
      <c r="A30" s="31"/>
      <c r="C30" s="206"/>
      <c r="D30" s="19"/>
      <c r="F30" s="200"/>
      <c r="G30" s="19"/>
      <c r="H30" s="19"/>
      <c r="I30" s="191"/>
    </row>
    <row r="31" spans="1:9" x14ac:dyDescent="0.2">
      <c r="A31" s="31" t="s">
        <v>814</v>
      </c>
      <c r="B31" t="s">
        <v>813</v>
      </c>
      <c r="C31" s="205">
        <f>SUM(D31:I31)</f>
        <v>5973447.2800000003</v>
      </c>
      <c r="D31" s="19">
        <f>'DOE25'!L291+'DOE25'!L310+'DOE25'!L329+'DOE25'!L334+'DOE25'!L335+'DOE25'!L336-F31-G31-H31</f>
        <v>4780711.41</v>
      </c>
      <c r="E31" s="179"/>
      <c r="F31" s="180">
        <v>507076.72</v>
      </c>
      <c r="G31" s="19">
        <f>'DOE25'!J291+'DOE25'!J310+'DOE25'!J329+'DOE25'!J334+'DOE25'!J335+'DOE25'!J336</f>
        <v>656203.28999999992</v>
      </c>
      <c r="H31" s="19">
        <f>'DOE25'!K291+'DOE25'!K310+'DOE25'!K329+'DOE25'!K334+'DOE25'!K335+'DOE25'!K336</f>
        <v>29455.86</v>
      </c>
      <c r="I31" s="191"/>
    </row>
    <row r="32" spans="1:9" ht="12" thickBot="1" x14ac:dyDescent="0.25">
      <c r="C32" s="206"/>
      <c r="G32" s="187"/>
      <c r="H32" s="187"/>
      <c r="I32" s="193"/>
    </row>
    <row r="33" spans="1:9" ht="12" thickTop="1" x14ac:dyDescent="0.2">
      <c r="B33" t="s">
        <v>806</v>
      </c>
      <c r="D33" s="181">
        <f t="shared" ref="D33:I33" si="1">SUM(D5:D31)</f>
        <v>62132764.106090009</v>
      </c>
      <c r="E33" s="181">
        <f t="shared" si="1"/>
        <v>1905440.27</v>
      </c>
      <c r="F33" s="181">
        <f t="shared" si="1"/>
        <v>13567853.23</v>
      </c>
      <c r="G33" s="181">
        <f t="shared" si="1"/>
        <v>2206708.33</v>
      </c>
      <c r="H33" s="181">
        <f t="shared" si="1"/>
        <v>149758.54999999999</v>
      </c>
      <c r="I33" s="181">
        <f t="shared" si="1"/>
        <v>6307426.8799999999</v>
      </c>
    </row>
    <row r="34" spans="1:9" ht="12" thickBot="1" x14ac:dyDescent="0.25"/>
    <row r="35" spans="1:9" ht="12" thickBot="1" x14ac:dyDescent="0.25">
      <c r="B35" s="187" t="s">
        <v>827</v>
      </c>
      <c r="D35" s="188">
        <f>E33</f>
        <v>1905440.27</v>
      </c>
      <c r="E35" s="184"/>
      <c r="F35" s="294" t="s">
        <v>1596</v>
      </c>
      <c r="G35" s="295"/>
      <c r="H35" s="295"/>
      <c r="I35" s="296"/>
    </row>
    <row r="36" spans="1:9" ht="12" thickTop="1" x14ac:dyDescent="0.2">
      <c r="B36" t="s">
        <v>807</v>
      </c>
      <c r="D36" s="19">
        <f>D33</f>
        <v>62132764.106090009</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166205.59</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31" t="s">
        <v>1774</v>
      </c>
      <c r="C54" s="331"/>
      <c r="D54" s="331"/>
      <c r="E54" s="331"/>
      <c r="F54" s="331"/>
      <c r="G54" s="331"/>
      <c r="H54" s="331"/>
      <c r="I54" s="209"/>
    </row>
  </sheetData>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A25" zoomScale="85" zoomScaleNormal="85" workbookViewId="0">
      <selection activeCell="I31" sqref="I31"/>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32" t="s">
        <v>1802</v>
      </c>
      <c r="P1" s="333"/>
      <c r="Q1" s="333"/>
      <c r="R1" s="333"/>
      <c r="S1" s="333"/>
      <c r="T1" s="333"/>
      <c r="U1" s="333"/>
      <c r="V1" s="333"/>
    </row>
    <row r="2" spans="1:22" ht="15.75" customHeight="1" thickBot="1" x14ac:dyDescent="0.25">
      <c r="A2" s="220" t="str">
        <f>'DOE25'!A2</f>
        <v>Dover</v>
      </c>
      <c r="B2">
        <f>'DOE25'!B2</f>
        <v>141</v>
      </c>
      <c r="J2" s="223" t="s">
        <v>1799</v>
      </c>
      <c r="K2" s="308">
        <f>SUM('DOE25'!L198:L201)+SUM('DOE25'!L277:L280)</f>
        <v>17752867.440759435</v>
      </c>
      <c r="L2" s="308">
        <f>'DOE25'!L203+'DOE25'!L282</f>
        <v>2630307.9069700502</v>
      </c>
      <c r="M2" s="308">
        <f>'DOE25'!L204+'DOE25'!L283</f>
        <v>1157357.5586858012</v>
      </c>
      <c r="N2" s="308">
        <f>'DOE25'!L206+'DOE25'!L285</f>
        <v>1337188.5991249543</v>
      </c>
      <c r="O2" s="315">
        <f>'Salaries-Benefits'!B10+'Salaries-Benefits'!B12+'Salaries-Benefits'!B19+'Salaries-Benefits'!B21+'Salaries-Benefits'!B28+'Salaries-Benefits'!B30+'Salaries-Benefits'!B37+'Salaries-Benefits'!B39</f>
        <v>22385440.550000004</v>
      </c>
      <c r="P2" s="315">
        <f>'Salaries-Benefits'!B11+'Salaries-Benefits'!B20+'Salaries-Benefits'!B29+'Salaries-Benefits'!B38</f>
        <v>3122427.6599999992</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27429224.266230196</v>
      </c>
      <c r="G4" s="228">
        <f>'DOE25'!L212+'DOE25'!L291</f>
        <v>27429224.266230196</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1946840.871914498</v>
      </c>
      <c r="E5" s="219">
        <v>0</v>
      </c>
      <c r="F5" s="231">
        <f>D5+E5</f>
        <v>1946840.871914498</v>
      </c>
      <c r="G5" s="222"/>
      <c r="H5" s="222"/>
      <c r="J5" s="71" t="s">
        <v>1840</v>
      </c>
      <c r="K5" s="319">
        <v>1218910.6400000001</v>
      </c>
      <c r="L5" s="319">
        <v>0</v>
      </c>
      <c r="M5" s="319">
        <v>0</v>
      </c>
      <c r="N5" s="319">
        <v>0</v>
      </c>
      <c r="O5" s="219">
        <v>0</v>
      </c>
      <c r="P5" s="219">
        <v>0</v>
      </c>
      <c r="Q5" s="219"/>
    </row>
    <row r="6" spans="1:22" x14ac:dyDescent="0.2">
      <c r="A6" t="str" cm="1">
        <f t="array" ref="A6">IFERROR(INDEX('School Tables'!$A$4:$G$365,'School Tables'!$J4,3),"")</f>
        <v>Frances G. Hopkins Elementary School at Horne Street</v>
      </c>
      <c r="B6" s="229">
        <f>IFERROR(VLOOKUP(A6,'School Tables'!$C$3:$D$365,2,FALSE),"")</f>
        <v>20445</v>
      </c>
      <c r="C6" s="222" t="str">
        <f>IFERROR(INDEX('School Tables'!$B$3:$B$365,MATCH('School Level Expenditures'!B6,'School Tables'!$D$3:$D$365,0)),"")</f>
        <v>Dover</v>
      </c>
      <c r="D6" s="219">
        <v>6993995.2184864003</v>
      </c>
      <c r="E6" s="219">
        <v>410874.64945383987</v>
      </c>
      <c r="F6" s="231">
        <f t="shared" ref="F6:F20" si="2">D6+E6</f>
        <v>7404869.8679402405</v>
      </c>
      <c r="G6" s="222"/>
      <c r="H6" s="222"/>
      <c r="J6" t="str">
        <f t="shared" ref="J6:J20" si="3">A6</f>
        <v>Frances G. Hopkins Elementary School at Horne Street</v>
      </c>
      <c r="K6" s="319">
        <v>5479158.88733151</v>
      </c>
      <c r="L6" s="319">
        <v>761136.43375069357</v>
      </c>
      <c r="M6" s="320">
        <v>328885.93485006678</v>
      </c>
      <c r="N6" s="319">
        <v>421058.34893007629</v>
      </c>
      <c r="O6" s="219">
        <v>2445243.1866482613</v>
      </c>
      <c r="P6" s="219">
        <v>730037.13939241669</v>
      </c>
      <c r="Q6" s="219">
        <v>8915.4500000000007</v>
      </c>
    </row>
    <row r="7" spans="1:22" x14ac:dyDescent="0.2">
      <c r="A7" t="str" cm="1">
        <f t="array" ref="A7">IFERROR(INDEX('School Tables'!$A$4:$G$365,'School Tables'!$J5,3),"")</f>
        <v>Garrison School</v>
      </c>
      <c r="B7" s="229">
        <f>IFERROR(VLOOKUP(A7,'School Tables'!$C$3:$D$365,2,FALSE),"")</f>
        <v>20430</v>
      </c>
      <c r="C7" s="222" t="str">
        <f>IFERROR(INDEX('School Tables'!$B$3:$B$365,MATCH('School Level Expenditures'!B7,'School Tables'!$D$3:$D$365,0)),"")</f>
        <v>Dover</v>
      </c>
      <c r="D7" s="219">
        <v>7954708.847399367</v>
      </c>
      <c r="E7" s="219">
        <v>467313.47492826841</v>
      </c>
      <c r="F7" s="231">
        <f t="shared" si="2"/>
        <v>8422022.3223276362</v>
      </c>
      <c r="G7" s="222"/>
      <c r="H7" s="222"/>
      <c r="J7" t="str">
        <f t="shared" si="3"/>
        <v>Garrison School</v>
      </c>
      <c r="K7" s="319">
        <v>5089501.2503715521</v>
      </c>
      <c r="L7" s="319">
        <v>611576.02410106361</v>
      </c>
      <c r="M7" s="320">
        <v>371313.59787892207</v>
      </c>
      <c r="N7" s="319">
        <v>459153.04905783408</v>
      </c>
      <c r="O7" s="219">
        <v>2358127.6528362087</v>
      </c>
      <c r="P7" s="219">
        <v>488124.04156170459</v>
      </c>
      <c r="Q7" s="219">
        <v>8480.1500000000015</v>
      </c>
    </row>
    <row r="8" spans="1:22" x14ac:dyDescent="0.2">
      <c r="A8" t="s">
        <v>1001</v>
      </c>
      <c r="B8" s="229">
        <v>20460</v>
      </c>
      <c r="C8" s="222" t="s">
        <v>997</v>
      </c>
      <c r="D8" s="219">
        <v>8550351.2973254062</v>
      </c>
      <c r="E8" s="219">
        <v>1105139.9067224141</v>
      </c>
      <c r="F8" s="231">
        <f t="shared" si="2"/>
        <v>9655491.2040478196</v>
      </c>
      <c r="G8" s="222"/>
      <c r="H8" s="222"/>
      <c r="J8" t="str">
        <f t="shared" si="3"/>
        <v>Woodman Park School</v>
      </c>
      <c r="K8" s="319">
        <v>5965296.6630563792</v>
      </c>
      <c r="L8" s="319">
        <v>1257595.4491182929</v>
      </c>
      <c r="M8" s="320">
        <v>457158.02595681243</v>
      </c>
      <c r="N8" s="319">
        <v>456977.20113704383</v>
      </c>
      <c r="O8" s="219">
        <v>2656893.0030727368</v>
      </c>
      <c r="P8" s="219">
        <v>746669.80730666313</v>
      </c>
      <c r="Q8" s="219">
        <v>16731.59</v>
      </c>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25445896.235125672</v>
      </c>
      <c r="E21" s="261">
        <f>SUM(E5:E20)</f>
        <v>1983328.0311045223</v>
      </c>
      <c r="F21" s="216"/>
      <c r="G21" s="216"/>
      <c r="H21" s="216"/>
      <c r="K21" s="262">
        <f t="shared" ref="K21:P21" si="4">SUM(K5:K20)</f>
        <v>17752867.440759443</v>
      </c>
      <c r="L21" s="262">
        <f t="shared" si="4"/>
        <v>2630307.9069700502</v>
      </c>
      <c r="M21" s="262">
        <f t="shared" si="4"/>
        <v>1157357.5586858015</v>
      </c>
      <c r="N21" s="262">
        <f t="shared" si="4"/>
        <v>1337188.5991249541</v>
      </c>
      <c r="O21" s="262">
        <f t="shared" si="4"/>
        <v>7460263.8425572067</v>
      </c>
      <c r="P21" s="262">
        <f t="shared" si="4"/>
        <v>1964830.9882607844</v>
      </c>
      <c r="Q21" s="262">
        <f>SUM(Q5:Q20)</f>
        <v>34127.19</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12603102.402706858</v>
      </c>
      <c r="L23" s="19">
        <f>'DOE25'!L221+'DOE25'!L301</f>
        <v>1285416.9255583235</v>
      </c>
      <c r="M23" s="19">
        <f>'DOE25'!L222+'DOE25'!L302</f>
        <v>891061.94912563404</v>
      </c>
      <c r="N23" s="19">
        <f>'DOE25'!L224+'DOE25'!L304</f>
        <v>841491.02426105493</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19488885.772675127</v>
      </c>
      <c r="G25" s="228">
        <f>'DOE25'!L230+'DOE25'!L310</f>
        <v>19488885.772675131</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2264763.5357323005</v>
      </c>
      <c r="E26" s="219">
        <v>0</v>
      </c>
      <c r="F26" s="231">
        <f>D26+E26</f>
        <v>2264763.5357323005</v>
      </c>
      <c r="G26" s="222"/>
      <c r="H26" s="222"/>
      <c r="J26" s="71" t="s">
        <v>1840</v>
      </c>
      <c r="K26" s="317">
        <v>1717024.0499999998</v>
      </c>
      <c r="L26" s="317">
        <v>0</v>
      </c>
      <c r="M26" s="317">
        <v>0</v>
      </c>
      <c r="N26" s="317">
        <v>0</v>
      </c>
      <c r="O26" s="317">
        <v>0</v>
      </c>
      <c r="P26" s="317">
        <v>0</v>
      </c>
      <c r="Q26" s="317"/>
    </row>
    <row r="27" spans="1:17" x14ac:dyDescent="0.2">
      <c r="A27" t="str" cm="1">
        <f t="array" ref="A27">IFERROR(INDEX('School Tables'!$L$4:$R$100,'School Tables'!$U4,3),"")</f>
        <v>Dover Middle School</v>
      </c>
      <c r="B27" s="229">
        <f>IFERROR(VLOOKUP(A27,'School Tables'!$N$4:$O$100,2,FALSE),"")</f>
        <v>20435</v>
      </c>
      <c r="C27" s="222" t="str">
        <f>IFERROR(INDEX('School Tables'!$M$4:$M$100,MATCH('School Level Expenditures'!A27,'School Tables'!$N$4:$N$100,0)),"")</f>
        <v>Dover</v>
      </c>
      <c r="D27" s="219">
        <v>15824132.648284355</v>
      </c>
      <c r="E27" s="219">
        <v>1399989.5886584742</v>
      </c>
      <c r="F27" s="231">
        <f t="shared" ref="F27:F33" si="6">D27+E27</f>
        <v>17224122.236942828</v>
      </c>
      <c r="G27" s="222"/>
      <c r="H27" s="222"/>
      <c r="J27" t="str">
        <f t="shared" ref="J27:J33" si="7">A27</f>
        <v>Dover Middle School</v>
      </c>
      <c r="K27" s="219">
        <v>10886078.352706861</v>
      </c>
      <c r="L27" s="219">
        <v>1285416.9255583235</v>
      </c>
      <c r="M27" s="318">
        <v>891061.94912563392</v>
      </c>
      <c r="N27" s="219">
        <v>841491.02426105482</v>
      </c>
      <c r="O27" s="219">
        <v>5682695.0297574773</v>
      </c>
      <c r="P27" s="219">
        <v>590771.26841616246</v>
      </c>
      <c r="Q27" s="219">
        <v>27847</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18088896.184016656</v>
      </c>
      <c r="E34" s="261">
        <f>SUM(E26:E33)</f>
        <v>1399989.5886584742</v>
      </c>
      <c r="F34" s="216"/>
      <c r="G34" s="216"/>
      <c r="H34" s="216"/>
      <c r="K34" s="262">
        <f t="shared" ref="K34:Q34" si="8">SUM(K26:K33)</f>
        <v>12603102.402706861</v>
      </c>
      <c r="L34" s="262">
        <f t="shared" si="8"/>
        <v>1285416.9255583235</v>
      </c>
      <c r="M34" s="262">
        <f t="shared" si="8"/>
        <v>891061.94912563392</v>
      </c>
      <c r="N34" s="262">
        <f t="shared" si="8"/>
        <v>841491.02426105482</v>
      </c>
      <c r="O34" s="262">
        <f t="shared" si="8"/>
        <v>5682695.0297574773</v>
      </c>
      <c r="P34" s="262">
        <f t="shared" si="8"/>
        <v>590771.26841616246</v>
      </c>
      <c r="Q34" s="262">
        <f t="shared" si="8"/>
        <v>27847</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20420309.756533716</v>
      </c>
      <c r="L36" s="19">
        <f>'DOE25'!L239+'DOE25'!L320</f>
        <v>1773209.8574716263</v>
      </c>
      <c r="M36" s="19">
        <f>'DOE25'!L240+'DOE25'!L321</f>
        <v>899192.61218856485</v>
      </c>
      <c r="N36" s="19">
        <f>'DOE25'!L242+'DOE25'!L323</f>
        <v>1183083.9666139907</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30184724.821094692</v>
      </c>
      <c r="G38" s="228">
        <f>'DOE25'!L248+'DOE25'!L329</f>
        <v>30184724.821094692</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3128667.7723532012</v>
      </c>
      <c r="E39" s="219">
        <v>0</v>
      </c>
      <c r="F39" s="231">
        <f t="shared" ref="F39:F44" si="10">D39+E39</f>
        <v>3128667.7723532012</v>
      </c>
      <c r="G39" s="222"/>
      <c r="H39" s="222"/>
      <c r="J39" s="71" t="s">
        <v>1840</v>
      </c>
      <c r="K39" s="317">
        <v>2118680.73</v>
      </c>
      <c r="L39" s="317">
        <v>2550</v>
      </c>
      <c r="M39" s="317">
        <v>0</v>
      </c>
      <c r="N39" s="317">
        <v>0</v>
      </c>
      <c r="O39" s="317">
        <v>0</v>
      </c>
      <c r="P39" s="317">
        <v>0</v>
      </c>
      <c r="Q39" s="317"/>
    </row>
    <row r="40" spans="1:17" x14ac:dyDescent="0.2">
      <c r="A40" t="str" cm="1">
        <f t="array" ref="A40">IFERROR(INDEX('School Tables'!$W$4:$AC$120,'School Tables'!$AF4,3),"")</f>
        <v>Dover Senior High School</v>
      </c>
      <c r="B40" s="229">
        <f>IFERROR(VLOOKUP(A40,'School Tables'!$Y$4:$Z$120,2,FALSE),"")</f>
        <v>20455</v>
      </c>
      <c r="C40" s="222" t="str">
        <f>IFERROR(INDEX('School Tables'!$X$4:$X$120,MATCH('School Level Expenditures'!A40,'School Tables'!$Y$4:$Y$120,0)),"")</f>
        <v>Dover</v>
      </c>
      <c r="D40" s="219">
        <v>24910456.578504488</v>
      </c>
      <c r="E40" s="219">
        <v>2145600.4702370036</v>
      </c>
      <c r="F40" s="231">
        <f t="shared" si="10"/>
        <v>27056057.04874149</v>
      </c>
      <c r="G40" s="222"/>
      <c r="H40" s="222"/>
      <c r="J40" t="str">
        <f>A40</f>
        <v>Dover Senior High School</v>
      </c>
      <c r="K40" s="219">
        <v>18301629.026533715</v>
      </c>
      <c r="L40" s="219">
        <v>1770659.857471626</v>
      </c>
      <c r="M40" s="318">
        <v>899192.61218856473</v>
      </c>
      <c r="N40" s="219">
        <v>1183083.9666139905</v>
      </c>
      <c r="O40" s="219">
        <v>9242481.6776853222</v>
      </c>
      <c r="P40" s="219">
        <v>566825.40332305245</v>
      </c>
      <c r="Q40" s="219">
        <v>24651.629999999997</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28039124.35085769</v>
      </c>
      <c r="E45" s="262">
        <f>SUM(E39:E44)</f>
        <v>2145600.4702370036</v>
      </c>
      <c r="K45" s="262">
        <f t="shared" ref="K45:Q45" si="11">SUM(K39:K44)</f>
        <v>20420309.756533716</v>
      </c>
      <c r="L45" s="262">
        <f t="shared" si="11"/>
        <v>1773209.857471626</v>
      </c>
      <c r="M45" s="262">
        <f t="shared" si="11"/>
        <v>899192.61218856473</v>
      </c>
      <c r="N45" s="262">
        <f t="shared" si="11"/>
        <v>1183083.9666139905</v>
      </c>
      <c r="O45" s="262">
        <f t="shared" si="11"/>
        <v>9242481.6776853222</v>
      </c>
      <c r="P45" s="262">
        <f t="shared" si="11"/>
        <v>566825.40332305245</v>
      </c>
      <c r="Q45" s="262">
        <f t="shared" si="11"/>
        <v>24651.629999999997</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31"/>
      <c r="B60" s="331"/>
      <c r="C60" s="331"/>
      <c r="D60" s="331"/>
      <c r="E60" s="331"/>
      <c r="F60" s="331"/>
      <c r="G60" s="331"/>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D6" sqref="D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Dover</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0</v>
      </c>
      <c r="D8" s="73">
        <f>'DOE25'!G9</f>
        <v>0</v>
      </c>
      <c r="E8" s="73">
        <f>'DOE25'!H9</f>
        <v>0</v>
      </c>
      <c r="F8" s="73">
        <f>'DOE25'!I9</f>
        <v>0</v>
      </c>
      <c r="G8" s="73">
        <f>'DOE25'!J9</f>
        <v>0</v>
      </c>
      <c r="H8" s="13">
        <f>SUM(C8:G8)</f>
        <v>0</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860944.54</v>
      </c>
      <c r="E17" s="73">
        <f>'DOE25'!H18</f>
        <v>1575933</v>
      </c>
      <c r="F17" s="73">
        <f>'DOE25'!I18</f>
        <v>0</v>
      </c>
      <c r="G17" s="73">
        <f>'DOE25'!J18</f>
        <v>0</v>
      </c>
      <c r="H17" s="13">
        <f t="shared" si="0"/>
        <v>2436877.54</v>
      </c>
      <c r="I17" s="90"/>
    </row>
    <row r="18" spans="1:9" ht="12" thickTop="1" x14ac:dyDescent="0.2">
      <c r="A18" s="35" t="s">
        <v>149</v>
      </c>
      <c r="B18" s="36"/>
      <c r="C18" s="38">
        <f>SUM(C8:C17)</f>
        <v>0</v>
      </c>
      <c r="D18" s="38">
        <f>SUM(D8:D17)</f>
        <v>860944.54</v>
      </c>
      <c r="E18" s="38">
        <f>SUM(E8:E17)</f>
        <v>1575933</v>
      </c>
      <c r="F18" s="38">
        <f>SUM(F8:F17)</f>
        <v>0</v>
      </c>
      <c r="G18" s="38">
        <f>SUM(G8:G17)</f>
        <v>0</v>
      </c>
      <c r="H18" s="38">
        <f t="shared" si="0"/>
        <v>2436877.54</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0</v>
      </c>
      <c r="D23" s="73">
        <f>'DOE25'!G24</f>
        <v>0</v>
      </c>
      <c r="E23" s="73">
        <f>'DOE25'!H24</f>
        <v>0</v>
      </c>
      <c r="F23" s="73">
        <f>'DOE25'!I24</f>
        <v>0</v>
      </c>
      <c r="G23" s="73">
        <f>'DOE25'!J24</f>
        <v>0</v>
      </c>
      <c r="H23" s="13">
        <f t="shared" si="1"/>
        <v>0</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0</v>
      </c>
      <c r="D31" s="38">
        <f>SUM(D21:D30)</f>
        <v>0</v>
      </c>
      <c r="E31" s="38">
        <f>SUM(E21:E30)</f>
        <v>0</v>
      </c>
      <c r="F31" s="38">
        <f>SUM(F21:F30)</f>
        <v>0</v>
      </c>
      <c r="G31" s="38">
        <f>SUM(G21:G30)</f>
        <v>0</v>
      </c>
      <c r="H31" s="38">
        <f t="shared" si="1"/>
        <v>0</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860944.54</v>
      </c>
      <c r="E39" s="23" t="s">
        <v>288</v>
      </c>
      <c r="F39" s="23" t="s">
        <v>288</v>
      </c>
      <c r="G39" s="23" t="s">
        <v>288</v>
      </c>
      <c r="H39" s="13">
        <f t="shared" si="2"/>
        <v>860944.54</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1575933</v>
      </c>
      <c r="F47" s="73">
        <f>'DOE25'!I48</f>
        <v>0</v>
      </c>
      <c r="G47" s="73">
        <f>'DOE25'!J48</f>
        <v>0</v>
      </c>
      <c r="H47" s="13">
        <f t="shared" si="2"/>
        <v>1575933</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0</v>
      </c>
      <c r="D49" s="23" t="s">
        <v>288</v>
      </c>
      <c r="E49" s="23" t="s">
        <v>288</v>
      </c>
      <c r="F49" s="23" t="s">
        <v>288</v>
      </c>
      <c r="G49" s="23" t="s">
        <v>288</v>
      </c>
      <c r="H49" s="13">
        <f t="shared" si="2"/>
        <v>0</v>
      </c>
      <c r="I49" s="90"/>
    </row>
    <row r="50" spans="1:9" ht="12.75" thickTop="1" thickBot="1" x14ac:dyDescent="0.25">
      <c r="A50" s="35" t="s">
        <v>880</v>
      </c>
      <c r="B50" s="44"/>
      <c r="C50" s="38">
        <f>SUM(C34:C49)</f>
        <v>0</v>
      </c>
      <c r="D50" s="38">
        <f>SUM(D34:D49)</f>
        <v>860944.54</v>
      </c>
      <c r="E50" s="38">
        <f>SUM(E34:E49)</f>
        <v>1575933</v>
      </c>
      <c r="F50" s="38">
        <f>SUM(F34:F49)</f>
        <v>0</v>
      </c>
      <c r="G50" s="38">
        <f>SUM(G34:G49)</f>
        <v>0</v>
      </c>
      <c r="H50" s="38">
        <f t="shared" si="2"/>
        <v>2436877.54</v>
      </c>
      <c r="I50" s="90"/>
    </row>
    <row r="51" spans="1:9" ht="12" thickTop="1" x14ac:dyDescent="0.2">
      <c r="A51" s="35" t="s">
        <v>881</v>
      </c>
      <c r="B51" s="2"/>
      <c r="C51" s="38">
        <f>C50+C31</f>
        <v>0</v>
      </c>
      <c r="D51" s="38">
        <f>D50+D31</f>
        <v>860944.54</v>
      </c>
      <c r="E51" s="38">
        <f>E50+E31</f>
        <v>1575933</v>
      </c>
      <c r="F51" s="38">
        <f>F50+F31</f>
        <v>0</v>
      </c>
      <c r="G51" s="38">
        <f>G50+G31</f>
        <v>0</v>
      </c>
      <c r="H51" s="38">
        <f t="shared" si="2"/>
        <v>2436877.54</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51743398</v>
      </c>
      <c r="D56" s="73">
        <f>'DOE25'!G60</f>
        <v>0</v>
      </c>
      <c r="E56" s="73">
        <f>'DOE25'!H60</f>
        <v>0</v>
      </c>
      <c r="F56" s="73">
        <f>'DOE25'!I60</f>
        <v>0</v>
      </c>
      <c r="G56" s="73">
        <f>'DOE25'!J60</f>
        <v>0</v>
      </c>
      <c r="H56" s="13">
        <f t="shared" ref="H56:H63" si="3">SUM(C56:G56)</f>
        <v>51743398</v>
      </c>
      <c r="I56"/>
    </row>
    <row r="57" spans="1:9" x14ac:dyDescent="0.2">
      <c r="A57" s="1" t="s">
        <v>164</v>
      </c>
      <c r="B57" s="6" t="s">
        <v>165</v>
      </c>
      <c r="C57" s="73">
        <f>'DOE25'!F79</f>
        <v>5437341.4500000011</v>
      </c>
      <c r="D57" s="23" t="s">
        <v>288</v>
      </c>
      <c r="E57" s="73">
        <f>'DOE25'!H79</f>
        <v>163570.9</v>
      </c>
      <c r="F57" s="23" t="s">
        <v>288</v>
      </c>
      <c r="G57" s="23" t="s">
        <v>288</v>
      </c>
      <c r="H57" s="13">
        <f t="shared" si="3"/>
        <v>5600912.3500000015</v>
      </c>
      <c r="I57"/>
    </row>
    <row r="58" spans="1:9" x14ac:dyDescent="0.2">
      <c r="A58" s="1" t="s">
        <v>166</v>
      </c>
      <c r="B58" s="6" t="s">
        <v>167</v>
      </c>
      <c r="C58" s="73">
        <f>'DOE25'!F94</f>
        <v>130191</v>
      </c>
      <c r="D58" s="23" t="s">
        <v>288</v>
      </c>
      <c r="E58" s="73">
        <f>'DOE25'!H94</f>
        <v>0</v>
      </c>
      <c r="F58" s="23" t="s">
        <v>288</v>
      </c>
      <c r="G58" s="23" t="s">
        <v>288</v>
      </c>
      <c r="H58" s="13">
        <f t="shared" si="3"/>
        <v>130191</v>
      </c>
      <c r="I58"/>
    </row>
    <row r="59" spans="1:9" x14ac:dyDescent="0.2">
      <c r="A59" s="1" t="s">
        <v>168</v>
      </c>
      <c r="B59" s="6" t="s">
        <v>169</v>
      </c>
      <c r="C59" s="73">
        <f>'DOE25'!F96</f>
        <v>0</v>
      </c>
      <c r="D59" s="73">
        <f>'DOE25'!G96</f>
        <v>0</v>
      </c>
      <c r="E59" s="73">
        <f>'DOE25'!H96</f>
        <v>0</v>
      </c>
      <c r="F59" s="73">
        <f>'DOE25'!I96</f>
        <v>0</v>
      </c>
      <c r="G59" s="73">
        <f>'DOE25'!J96</f>
        <v>0</v>
      </c>
      <c r="H59" s="13">
        <f t="shared" si="3"/>
        <v>0</v>
      </c>
      <c r="I59"/>
    </row>
    <row r="60" spans="1:9" x14ac:dyDescent="0.2">
      <c r="A60" s="1" t="s">
        <v>170</v>
      </c>
      <c r="B60" s="22" t="s">
        <v>171</v>
      </c>
      <c r="C60" s="23" t="s">
        <v>288</v>
      </c>
      <c r="D60" s="73">
        <f>'DOE25'!G97</f>
        <v>897822.09</v>
      </c>
      <c r="E60" s="23" t="s">
        <v>288</v>
      </c>
      <c r="F60" s="23" t="s">
        <v>288</v>
      </c>
      <c r="G60" s="23" t="s">
        <v>288</v>
      </c>
      <c r="H60" s="13">
        <f t="shared" si="3"/>
        <v>897822.09</v>
      </c>
      <c r="I60"/>
    </row>
    <row r="61" spans="1:9" ht="12" thickBot="1" x14ac:dyDescent="0.25">
      <c r="A61" s="1" t="s">
        <v>172</v>
      </c>
      <c r="B61" s="22" t="s">
        <v>173</v>
      </c>
      <c r="C61" s="73">
        <f>SUM('DOE25'!F98:F110)</f>
        <v>2363.27</v>
      </c>
      <c r="D61" s="73">
        <f>SUM('DOE25'!G98:G110)</f>
        <v>233</v>
      </c>
      <c r="E61" s="73">
        <f>SUM('DOE25'!H98:H110)</f>
        <v>301730.87</v>
      </c>
      <c r="F61" s="73">
        <f>SUM('DOE25'!I98:I110)</f>
        <v>0</v>
      </c>
      <c r="G61" s="73">
        <f>SUM('DOE25'!J98:J110)</f>
        <v>0</v>
      </c>
      <c r="H61" s="13">
        <f t="shared" si="3"/>
        <v>304327.14</v>
      </c>
      <c r="I61"/>
    </row>
    <row r="62" spans="1:9" ht="12.75" thickTop="1" thickBot="1" x14ac:dyDescent="0.25">
      <c r="A62" s="28" t="s">
        <v>174</v>
      </c>
      <c r="B62" s="6"/>
      <c r="C62" s="93">
        <f>SUM(C57:C61)</f>
        <v>5569895.7200000007</v>
      </c>
      <c r="D62" s="93">
        <f>SUM(D57:D61)</f>
        <v>898055.09</v>
      </c>
      <c r="E62" s="93">
        <f>SUM(E57:E61)</f>
        <v>465301.77</v>
      </c>
      <c r="F62" s="93">
        <f>SUM(F57:F61)</f>
        <v>0</v>
      </c>
      <c r="G62" s="93">
        <f>SUM(G57:G61)</f>
        <v>0</v>
      </c>
      <c r="H62" s="13">
        <f t="shared" si="3"/>
        <v>6933252.5800000001</v>
      </c>
      <c r="I62"/>
    </row>
    <row r="63" spans="1:9" ht="12" thickTop="1" x14ac:dyDescent="0.2">
      <c r="A63" s="28" t="s">
        <v>175</v>
      </c>
      <c r="B63" s="6"/>
      <c r="C63" s="21">
        <f>C56+C62</f>
        <v>57313293.719999999</v>
      </c>
      <c r="D63" s="21">
        <f>D56+D62</f>
        <v>898055.09</v>
      </c>
      <c r="E63" s="21">
        <f>E56+E62</f>
        <v>465301.77</v>
      </c>
      <c r="F63" s="21">
        <f>F56+F62</f>
        <v>0</v>
      </c>
      <c r="G63" s="21">
        <f>G56+G62</f>
        <v>0</v>
      </c>
      <c r="H63" s="13">
        <f t="shared" si="3"/>
        <v>58676650.580000006</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13819354.51</v>
      </c>
      <c r="D66" s="23" t="s">
        <v>288</v>
      </c>
      <c r="E66" s="23" t="s">
        <v>288</v>
      </c>
      <c r="F66" s="23" t="s">
        <v>288</v>
      </c>
      <c r="G66" s="23" t="s">
        <v>288</v>
      </c>
      <c r="H66" s="13">
        <f t="shared" ref="H66:H81" si="4">SUM(C66:G66)</f>
        <v>13819354.51</v>
      </c>
      <c r="I66"/>
    </row>
    <row r="67" spans="1:9" x14ac:dyDescent="0.2">
      <c r="A67" s="1" t="s">
        <v>767</v>
      </c>
      <c r="B67" s="6">
        <v>3112</v>
      </c>
      <c r="C67" s="73">
        <f>'DOE25'!F118</f>
        <v>7120667</v>
      </c>
      <c r="D67" s="23"/>
      <c r="E67" s="23"/>
      <c r="F67" s="23"/>
      <c r="G67" s="23"/>
      <c r="H67" s="13">
        <f t="shared" si="4"/>
        <v>7120667</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56617.42</v>
      </c>
      <c r="D69" s="73">
        <f>'DOE25'!G120</f>
        <v>0</v>
      </c>
      <c r="E69" s="73">
        <f>'DOE25'!H120</f>
        <v>0</v>
      </c>
      <c r="F69" s="73">
        <f>'DOE25'!I120</f>
        <v>0</v>
      </c>
      <c r="G69" s="73">
        <f>'DOE25'!J120</f>
        <v>0</v>
      </c>
      <c r="H69" s="13">
        <f t="shared" si="4"/>
        <v>56617.42</v>
      </c>
      <c r="I69"/>
    </row>
    <row r="70" spans="1:9" ht="12" thickTop="1" x14ac:dyDescent="0.2">
      <c r="A70" s="28" t="s">
        <v>252</v>
      </c>
      <c r="B70" s="2"/>
      <c r="C70" s="97">
        <f>SUM(C66:C69)</f>
        <v>20996638.93</v>
      </c>
      <c r="D70" s="97">
        <f>D69</f>
        <v>0</v>
      </c>
      <c r="E70" s="97">
        <f>E69</f>
        <v>0</v>
      </c>
      <c r="F70" s="97">
        <f>F69</f>
        <v>0</v>
      </c>
      <c r="G70" s="97">
        <f>G69</f>
        <v>0</v>
      </c>
      <c r="H70" s="13">
        <f t="shared" si="4"/>
        <v>20996638.93</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383462.16</v>
      </c>
      <c r="D72" s="23" t="s">
        <v>288</v>
      </c>
      <c r="E72" s="23" t="s">
        <v>288</v>
      </c>
      <c r="F72" s="73">
        <f>'DOE25'!I123</f>
        <v>0</v>
      </c>
      <c r="G72" s="23" t="s">
        <v>288</v>
      </c>
      <c r="H72" s="13">
        <f t="shared" si="4"/>
        <v>383462.16</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1432571.92</v>
      </c>
      <c r="D75" s="23" t="s">
        <v>288</v>
      </c>
      <c r="E75" s="23" t="s">
        <v>288</v>
      </c>
      <c r="F75" s="23" t="s">
        <v>288</v>
      </c>
      <c r="G75" s="23" t="s">
        <v>288</v>
      </c>
      <c r="H75" s="13">
        <f t="shared" si="4"/>
        <v>1432571.92</v>
      </c>
      <c r="I75"/>
    </row>
    <row r="76" spans="1:9" x14ac:dyDescent="0.2">
      <c r="A76" s="1" t="s">
        <v>257</v>
      </c>
      <c r="B76" s="6" t="s">
        <v>179</v>
      </c>
      <c r="C76" s="73">
        <f>SUM('DOE25'!F127:F130)</f>
        <v>455567.95</v>
      </c>
      <c r="D76" s="23" t="s">
        <v>288</v>
      </c>
      <c r="E76" s="73">
        <f>SUM('DOE25'!H127:H130)</f>
        <v>0</v>
      </c>
      <c r="F76" s="73">
        <f>SUM('DOE25'!I127:I130)</f>
        <v>0</v>
      </c>
      <c r="G76" s="23" t="s">
        <v>288</v>
      </c>
      <c r="H76" s="13">
        <f t="shared" si="4"/>
        <v>455567.95</v>
      </c>
      <c r="I76"/>
    </row>
    <row r="77" spans="1:9" ht="12" thickBot="1" x14ac:dyDescent="0.25">
      <c r="A77" s="1" t="s">
        <v>258</v>
      </c>
      <c r="B77" s="6" t="s">
        <v>180</v>
      </c>
      <c r="C77" s="73">
        <f>SUM('DOE25'!F131:F135)</f>
        <v>0</v>
      </c>
      <c r="D77" s="73">
        <f>SUM('DOE25'!G131:G135)</f>
        <v>22612.079999999998</v>
      </c>
      <c r="E77" s="73">
        <f>SUM('DOE25'!H131:H135)</f>
        <v>57473.760000000002</v>
      </c>
      <c r="F77" s="73">
        <f>SUM('DOE25'!I131:I135)</f>
        <v>0</v>
      </c>
      <c r="G77" s="73">
        <f>SUM('DOE25'!J131:J135)</f>
        <v>0</v>
      </c>
      <c r="H77" s="13">
        <f t="shared" si="4"/>
        <v>80085.84</v>
      </c>
      <c r="I77"/>
    </row>
    <row r="78" spans="1:9" ht="12.75" thickTop="1" thickBot="1" x14ac:dyDescent="0.25">
      <c r="A78" s="28" t="s">
        <v>259</v>
      </c>
      <c r="B78" s="6"/>
      <c r="C78" s="93">
        <f>SUM(C72:C77)</f>
        <v>2271602.0299999998</v>
      </c>
      <c r="D78" s="93">
        <f>SUM(D72:D77)</f>
        <v>22612.079999999998</v>
      </c>
      <c r="E78" s="93">
        <f>SUM(E72:E77)</f>
        <v>57473.760000000002</v>
      </c>
      <c r="F78" s="93">
        <f>SUM(F72:F77)</f>
        <v>0</v>
      </c>
      <c r="G78" s="93">
        <f>SUM(G72:G77)</f>
        <v>0</v>
      </c>
      <c r="H78" s="13">
        <f t="shared" si="4"/>
        <v>2351687.8699999996</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23268240.960000001</v>
      </c>
      <c r="D81" s="93">
        <f>SUM(D79:D80)+D78+D70</f>
        <v>22612.079999999998</v>
      </c>
      <c r="E81" s="93">
        <f>SUM(E79:E80)+E78+E70</f>
        <v>57473.760000000002</v>
      </c>
      <c r="F81" s="93">
        <f>SUM(F79:F80)+F78+F70</f>
        <v>0</v>
      </c>
      <c r="G81" s="93">
        <f>SUM(G79:G80)+G78+G70</f>
        <v>0</v>
      </c>
      <c r="H81" s="93">
        <f t="shared" si="4"/>
        <v>23348326.800000001</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250822.02000000002</v>
      </c>
      <c r="D85" s="73">
        <f>'DOE25'!G147</f>
        <v>141959.45000000001</v>
      </c>
      <c r="E85" s="73">
        <f>'DOE25'!H147</f>
        <v>0</v>
      </c>
      <c r="F85" s="73">
        <f>'DOE25'!I147</f>
        <v>0</v>
      </c>
      <c r="G85" s="23" t="s">
        <v>288</v>
      </c>
      <c r="H85" s="13">
        <f t="shared" ref="H85:H104" si="5">SUM(C85:G85)</f>
        <v>392781.47000000003</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43661.48</v>
      </c>
      <c r="D88" s="252">
        <f>SUM('DOE25'!G153:G162)</f>
        <v>606786.1</v>
      </c>
      <c r="E88" s="252">
        <f>SUM('DOE25'!H153:H162)</f>
        <v>6438288.5300000003</v>
      </c>
      <c r="F88" s="252">
        <f>SUM('DOE25'!I153:I162)</f>
        <v>0</v>
      </c>
      <c r="G88" s="23" t="s">
        <v>288</v>
      </c>
      <c r="H88" s="13">
        <f t="shared" si="5"/>
        <v>7088736.1100000003</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294483.5</v>
      </c>
      <c r="D91" s="94">
        <f>SUM(D85:D90)</f>
        <v>748745.55</v>
      </c>
      <c r="E91" s="94">
        <f>SUM(E85:E90)</f>
        <v>6438288.5300000003</v>
      </c>
      <c r="F91" s="94">
        <f>SUM(F85:F90)</f>
        <v>0</v>
      </c>
      <c r="G91" s="23" t="s">
        <v>288</v>
      </c>
      <c r="H91" s="13">
        <f t="shared" si="5"/>
        <v>7481517.5800000001</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18766.95</v>
      </c>
      <c r="E96" s="73">
        <f>'DOE25'!H180</f>
        <v>0</v>
      </c>
      <c r="F96" s="73">
        <f>'DOE25'!I180</f>
        <v>1355000</v>
      </c>
      <c r="G96" s="73">
        <f>'DOE25'!J180</f>
        <v>0</v>
      </c>
      <c r="H96" s="13">
        <f t="shared" si="5"/>
        <v>1373766.95</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436</v>
      </c>
      <c r="F101" s="73">
        <f>'DOE25'!I190</f>
        <v>0</v>
      </c>
      <c r="G101" s="23" t="s">
        <v>288</v>
      </c>
      <c r="H101" s="13">
        <f t="shared" si="5"/>
        <v>436</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18766.95</v>
      </c>
      <c r="E103" s="68">
        <f>SUM(E93:E102)</f>
        <v>436</v>
      </c>
      <c r="F103" s="68">
        <f>SUM(F93:F102)</f>
        <v>1355000</v>
      </c>
      <c r="G103" s="68">
        <f>SUM(G93:G102)</f>
        <v>0</v>
      </c>
      <c r="H103" s="68">
        <f t="shared" si="5"/>
        <v>1374202.95</v>
      </c>
    </row>
    <row r="104" spans="1:8" ht="12.75" thickTop="1" thickBot="1" x14ac:dyDescent="0.25">
      <c r="A104" s="32" t="s">
        <v>758</v>
      </c>
      <c r="C104" s="68">
        <f>C63+C81+C91+C103</f>
        <v>80876018.180000007</v>
      </c>
      <c r="D104" s="68">
        <f>D63+D81+D91+D103</f>
        <v>1688179.67</v>
      </c>
      <c r="E104" s="68">
        <f>E63+E81+E91+E103</f>
        <v>6961500.0600000005</v>
      </c>
      <c r="F104" s="68">
        <f>F63+F81+F91+F103</f>
        <v>1355000</v>
      </c>
      <c r="G104" s="68">
        <f>G63+G81+G103</f>
        <v>0</v>
      </c>
      <c r="H104" s="68">
        <f t="shared" si="5"/>
        <v>90880697.910000011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25675344.620000001</v>
      </c>
      <c r="D109" s="23" t="s">
        <v>288</v>
      </c>
      <c r="E109" s="73">
        <f>('DOE25'!L277)+('DOE25'!L296)+('DOE25'!L315)</f>
        <v>1986134.4100000001</v>
      </c>
      <c r="F109" s="23" t="s">
        <v>288</v>
      </c>
      <c r="G109" s="23" t="s">
        <v>288</v>
      </c>
      <c r="H109" s="13">
        <f t="shared" ref="H109:H115" si="6">SUM(C109:G109)</f>
        <v>27661479.030000001</v>
      </c>
    </row>
    <row r="110" spans="1:8" x14ac:dyDescent="0.2">
      <c r="A110" t="s">
        <v>198</v>
      </c>
      <c r="B110" s="31" t="s">
        <v>199</v>
      </c>
      <c r="C110" s="73">
        <f>('DOE25'!L199)+('DOE25'!L217)+('DOE25'!L235)</f>
        <v>17940162.120000005</v>
      </c>
      <c r="D110" s="23" t="s">
        <v>288</v>
      </c>
      <c r="E110" s="73">
        <f>('DOE25'!L278)+('DOE25'!L297)+('DOE25'!L316)</f>
        <v>1051352.1000000001</v>
      </c>
      <c r="F110" s="23" t="s">
        <v>288</v>
      </c>
      <c r="G110" s="23" t="s">
        <v>288</v>
      </c>
      <c r="H110" s="13">
        <f t="shared" si="6"/>
        <v>18991514.220000006</v>
      </c>
    </row>
    <row r="111" spans="1:8" x14ac:dyDescent="0.2">
      <c r="A111" t="s">
        <v>200</v>
      </c>
      <c r="B111" s="31" t="s">
        <v>165</v>
      </c>
      <c r="C111" s="73">
        <f>('DOE25'!L200)+('DOE25'!L218)+('DOE25'!L236)</f>
        <v>2832062.1100000003</v>
      </c>
      <c r="D111" s="23" t="s">
        <v>288</v>
      </c>
      <c r="E111" s="73">
        <f>('DOE25'!L279)+('DOE25'!L298)+('DOE25'!L317)</f>
        <v>399345.72</v>
      </c>
      <c r="F111" s="23" t="s">
        <v>288</v>
      </c>
      <c r="G111" s="23" t="s">
        <v>288</v>
      </c>
      <c r="H111" s="13">
        <f t="shared" si="6"/>
        <v>3231407.83</v>
      </c>
    </row>
    <row r="112" spans="1:8" x14ac:dyDescent="0.2">
      <c r="A112" t="s">
        <v>201</v>
      </c>
      <c r="B112" s="31" t="s">
        <v>167</v>
      </c>
      <c r="C112" s="73">
        <f>('DOE25'!L201)+('DOE25'!L219)+('DOE25'!L237)</f>
        <v>725610.19000000006</v>
      </c>
      <c r="D112" s="23" t="s">
        <v>288</v>
      </c>
      <c r="E112" s="73">
        <f>+('DOE25'!L280)+('DOE25'!L299)+('DOE25'!L318)</f>
        <v>166268.32999999999</v>
      </c>
      <c r="F112" s="23" t="s">
        <v>288</v>
      </c>
      <c r="G112" s="23" t="s">
        <v>288</v>
      </c>
      <c r="H112" s="13">
        <f t="shared" si="6"/>
        <v>891878.52</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260218.97</v>
      </c>
      <c r="D114" s="23" t="s">
        <v>288</v>
      </c>
      <c r="E114" s="73">
        <f>+ SUM('DOE25'!L334:L336)</f>
        <v>444529.19000000006</v>
      </c>
      <c r="F114" s="23" t="s">
        <v>288</v>
      </c>
      <c r="G114" s="23" t="s">
        <v>288</v>
      </c>
      <c r="H114" s="13">
        <f t="shared" si="6"/>
        <v>704748.16</v>
      </c>
    </row>
    <row r="115" spans="1:8" ht="12.75" thickTop="1" thickBot="1" x14ac:dyDescent="0.25">
      <c r="A115" s="32" t="s">
        <v>205</v>
      </c>
      <c r="C115" s="68">
        <f>SUM(C109:C114)</f>
        <v>47433398.010000005</v>
      </c>
      <c r="D115" s="68">
        <f>SUM(D109:D114)</f>
        <v>0</v>
      </c>
      <c r="E115" s="68">
        <f>SUM(E109:E114)</f>
        <v>4047629.7500000005</v>
      </c>
      <c r="F115" s="68">
        <f>SUM(F109:F114)</f>
        <v>0</v>
      </c>
      <c r="G115" s="68">
        <f>SUM(G109:G114)</f>
        <v>0</v>
      </c>
      <c r="H115" s="68">
        <f t="shared" si="6"/>
        <v>51481027.760000005</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5242049.1300000008</v>
      </c>
      <c r="D118" s="23" t="s">
        <v>288</v>
      </c>
      <c r="E118" s="73">
        <f>+('DOE25'!L282)+('DOE25'!L301)+('DOE25'!L320)</f>
        <v>446885.55999999994</v>
      </c>
      <c r="F118" s="23" t="s">
        <v>288</v>
      </c>
      <c r="G118" s="23" t="s">
        <v>288</v>
      </c>
      <c r="H118" s="13">
        <f t="shared" ref="H118:H145" si="7">SUM(C118:G118)</f>
        <v>5688934.6900000004</v>
      </c>
    </row>
    <row r="119" spans="1:8" x14ac:dyDescent="0.2">
      <c r="A119" t="s">
        <v>208</v>
      </c>
      <c r="B119" s="31" t="s">
        <v>209</v>
      </c>
      <c r="C119" s="73">
        <f>('DOE25'!L204)+('DOE25'!L222)+('DOE25'!L240)</f>
        <v>1672958.56</v>
      </c>
      <c r="D119" s="23" t="s">
        <v>288</v>
      </c>
      <c r="E119" s="73">
        <f>+('DOE25'!L283)+('DOE25'!L302)+('DOE25'!L321)</f>
        <v>1274653.56</v>
      </c>
      <c r="F119" s="23" t="s">
        <v>288</v>
      </c>
      <c r="G119" s="23" t="s">
        <v>288</v>
      </c>
      <c r="H119" s="13">
        <f t="shared" si="7"/>
        <v>2947612.12</v>
      </c>
    </row>
    <row r="120" spans="1:8" x14ac:dyDescent="0.2">
      <c r="A120" t="s">
        <v>210</v>
      </c>
      <c r="B120" s="31" t="s">
        <v>211</v>
      </c>
      <c r="C120" s="73">
        <f>('DOE25'!L205)+('DOE25'!L223)+('DOE25'!L241)</f>
        <v>1757887.5</v>
      </c>
      <c r="D120" s="23" t="s">
        <v>288</v>
      </c>
      <c r="E120" s="73">
        <f>+('DOE25'!L284)+('DOE25'!L303)+('DOE25'!L322)</f>
        <v>35239.429999999993</v>
      </c>
      <c r="F120" s="23" t="s">
        <v>288</v>
      </c>
      <c r="G120" s="23" t="s">
        <v>288</v>
      </c>
      <c r="H120" s="13">
        <f t="shared" si="7"/>
        <v>1793126.93</v>
      </c>
    </row>
    <row r="121" spans="1:8" x14ac:dyDescent="0.2">
      <c r="A121" t="s">
        <v>212</v>
      </c>
      <c r="B121" s="31" t="s">
        <v>213</v>
      </c>
      <c r="C121" s="73">
        <f>('DOE25'!L206)+('DOE25'!L224)+('DOE25'!L242)</f>
        <v>3337287.42</v>
      </c>
      <c r="D121" s="23" t="s">
        <v>288</v>
      </c>
      <c r="E121" s="73">
        <f>+('DOE25'!L285)+('DOE25'!L304)+('DOE25'!L323)</f>
        <v>24476.17</v>
      </c>
      <c r="F121" s="23" t="s">
        <v>288</v>
      </c>
      <c r="G121" s="23" t="s">
        <v>288</v>
      </c>
      <c r="H121" s="13">
        <f t="shared" si="7"/>
        <v>3361763.59</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6112538.459999999</v>
      </c>
      <c r="D123" s="23" t="s">
        <v>288</v>
      </c>
      <c r="E123" s="73">
        <f>+('DOE25'!L287)+('DOE25'!L306)+('DOE25'!L325)</f>
        <v>102524.1</v>
      </c>
      <c r="F123" s="23" t="s">
        <v>288</v>
      </c>
      <c r="G123" s="23" t="s">
        <v>288</v>
      </c>
      <c r="H123" s="13">
        <f t="shared" si="7"/>
        <v>6215062.5599999987</v>
      </c>
    </row>
    <row r="124" spans="1:8" x14ac:dyDescent="0.2">
      <c r="A124" t="s">
        <v>218</v>
      </c>
      <c r="B124" s="31" t="s">
        <v>219</v>
      </c>
      <c r="C124" s="73">
        <f>('DOE25'!L209)+('DOE25'!L227)+('DOE25'!L245+'DOE25'!L255)</f>
        <v>4624565.2700000005</v>
      </c>
      <c r="D124" s="23" t="s">
        <v>288</v>
      </c>
      <c r="E124" s="73">
        <f>+('DOE25'!L288)+('DOE25'!L307)+('DOE25'!L326)</f>
        <v>42038.710000000006</v>
      </c>
      <c r="F124" s="23" t="s">
        <v>288</v>
      </c>
      <c r="G124" s="23" t="s">
        <v>288</v>
      </c>
      <c r="H124" s="13">
        <f t="shared" si="7"/>
        <v>4666603.9800000004</v>
      </c>
    </row>
    <row r="125" spans="1:8" x14ac:dyDescent="0.2">
      <c r="A125" t="s">
        <v>220</v>
      </c>
      <c r="B125" s="31" t="s">
        <v>221</v>
      </c>
      <c r="C125" s="73">
        <f>('DOE25'!L210)+('DOE25'!L228)+('DOE25'!L246)</f>
        <v>1653451.39</v>
      </c>
      <c r="D125" s="23" t="s">
        <v>288</v>
      </c>
      <c r="E125" s="73">
        <f>+('DOE25'!L289)+('DOE25'!L308)+('DOE25'!L327)</f>
        <v>0</v>
      </c>
      <c r="F125" s="23" t="s">
        <v>288</v>
      </c>
      <c r="G125" s="23" t="s">
        <v>288</v>
      </c>
      <c r="H125" s="13">
        <f t="shared" si="7"/>
        <v>1653451.39</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1859492.65</v>
      </c>
      <c r="E127" s="23" t="s">
        <v>288</v>
      </c>
      <c r="F127" s="23" t="s">
        <v>288</v>
      </c>
      <c r="G127" s="23" t="s">
        <v>288</v>
      </c>
      <c r="H127" s="13">
        <f t="shared" si="7"/>
        <v>1859492.65</v>
      </c>
    </row>
    <row r="128" spans="1:8" ht="12.75" thickTop="1" thickBot="1" x14ac:dyDescent="0.25">
      <c r="A128" s="32" t="s">
        <v>226</v>
      </c>
      <c r="C128" s="68">
        <f>SUM(C118:C127)</f>
        <v>24400737.73</v>
      </c>
      <c r="D128" s="68">
        <f>SUM(D118:D127)</f>
        <v>1859492.65</v>
      </c>
      <c r="E128" s="68">
        <f>SUM(E118:E127)</f>
        <v>1925817.53</v>
      </c>
      <c r="F128" s="68">
        <f>SUM(F118:F127)</f>
        <v>0</v>
      </c>
      <c r="G128" s="68">
        <f>SUM(G118:G127)</f>
        <v>0</v>
      </c>
      <c r="H128" s="68">
        <f t="shared" si="7"/>
        <v>28186047.91</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627860</v>
      </c>
      <c r="F130" s="92">
        <f>SUM('DOE25'!L375:'DOE25'!L381)</f>
        <v>1205929.1400000001</v>
      </c>
      <c r="G130" s="23" t="s">
        <v>288</v>
      </c>
      <c r="H130" s="13">
        <f t="shared" si="7"/>
        <v>1833789.1400000001</v>
      </c>
    </row>
    <row r="131" spans="1:8" x14ac:dyDescent="0.2">
      <c r="A131" t="s">
        <v>229</v>
      </c>
      <c r="B131" s="31">
        <v>5110</v>
      </c>
      <c r="C131" s="73">
        <f>'DOE25'!L261</f>
        <v>3457160.82</v>
      </c>
      <c r="D131" s="23" t="s">
        <v>288</v>
      </c>
      <c r="E131" s="92">
        <f>'DOE25'!L342</f>
        <v>0</v>
      </c>
      <c r="F131" s="23" t="s">
        <v>288</v>
      </c>
      <c r="G131" s="23" t="s">
        <v>288</v>
      </c>
      <c r="H131" s="13">
        <f t="shared" si="7"/>
        <v>3457160.82</v>
      </c>
    </row>
    <row r="132" spans="1:8" x14ac:dyDescent="0.2">
      <c r="A132" t="s">
        <v>230</v>
      </c>
      <c r="B132" s="31">
        <v>5120</v>
      </c>
      <c r="C132" s="73">
        <f>'DOE25'!L262</f>
        <v>2850266.06</v>
      </c>
      <c r="D132" s="23" t="s">
        <v>288</v>
      </c>
      <c r="E132" s="92">
        <f>'DOE25'!L343</f>
        <v>0</v>
      </c>
      <c r="F132" s="23" t="s">
        <v>288</v>
      </c>
      <c r="G132" s="23" t="s">
        <v>288</v>
      </c>
      <c r="H132" s="13">
        <f t="shared" si="7"/>
        <v>2850266.06</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226345.85000000009</v>
      </c>
      <c r="F134" s="73">
        <f>'DOE25'!K382</f>
        <v>0</v>
      </c>
      <c r="G134" s="73">
        <f>'DOE25'!K435</f>
        <v>0</v>
      </c>
      <c r="H134" s="13">
        <f t="shared" si="7"/>
        <v>226345.85000000009</v>
      </c>
    </row>
    <row r="135" spans="1:8" x14ac:dyDescent="0.2">
      <c r="A135" t="s">
        <v>233</v>
      </c>
      <c r="B135" s="31" t="s">
        <v>234</v>
      </c>
      <c r="C135" s="73">
        <f>'DOE25'!L264</f>
        <v>18766.95</v>
      </c>
      <c r="D135" s="23" t="s">
        <v>288</v>
      </c>
      <c r="E135" s="92">
        <f>'DOE25'!L346</f>
        <v>0</v>
      </c>
      <c r="F135" s="23" t="s">
        <v>288</v>
      </c>
      <c r="G135" s="23" t="s">
        <v>288</v>
      </c>
      <c r="H135" s="13">
        <f t="shared" si="7"/>
        <v>18766.95</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1355000</v>
      </c>
      <c r="D137" s="23" t="s">
        <v>288</v>
      </c>
      <c r="E137" s="92">
        <f>'DOE25'!L347</f>
        <v>0</v>
      </c>
      <c r="F137" s="23" t="s">
        <v>288</v>
      </c>
      <c r="G137" s="23" t="s">
        <v>288</v>
      </c>
      <c r="H137" s="13">
        <f t="shared" si="7"/>
        <v>1355000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0</v>
      </c>
      <c r="D141" s="23" t="s">
        <v>288</v>
      </c>
      <c r="E141" s="23" t="s">
        <v>288</v>
      </c>
      <c r="F141" s="23" t="s">
        <v>288</v>
      </c>
      <c r="G141" s="23" t="s">
        <v>288</v>
      </c>
      <c r="H141" s="13">
        <f t="shared" si="7"/>
        <v>0</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7681193.8300000001</v>
      </c>
      <c r="D144" s="98">
        <f>SUM(D130:D143)</f>
        <v>0</v>
      </c>
      <c r="E144" s="98">
        <f>SUM(E130:E143)</f>
        <v>854205.85000000009</v>
      </c>
      <c r="F144" s="98">
        <f>SUM(F130:F143)</f>
        <v>1205929.1400000001</v>
      </c>
      <c r="G144" s="98">
        <f>SUM(G130:G143)</f>
        <v>0</v>
      </c>
      <c r="H144" s="98">
        <f t="shared" si="7"/>
        <v>9741328.8200000003</v>
      </c>
    </row>
    <row r="145" spans="1:9" ht="12.75" thickTop="1" thickBot="1" x14ac:dyDescent="0.25">
      <c r="A145" s="32" t="s">
        <v>244</v>
      </c>
      <c r="C145" s="68">
        <f>(C115+C128+C144)</f>
        <v>79515329.570000008</v>
      </c>
      <c r="D145" s="68">
        <f>(D115+D128+D144)</f>
        <v>1859492.65</v>
      </c>
      <c r="E145" s="68">
        <f>(E115+E128+E144)</f>
        <v>6827653.1300000008</v>
      </c>
      <c r="F145" s="68">
        <f>(F115+F128+F144)</f>
        <v>1205929.1400000001</v>
      </c>
      <c r="G145" s="68">
        <f>(G115+G128+G144)</f>
        <v>0</v>
      </c>
      <c r="H145" s="68">
        <f t="shared" si="7"/>
        <v>89408404.49000001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79439386.230000004</v>
      </c>
      <c r="C156" s="19">
        <f>'DOE25'!G496</f>
        <v>0</v>
      </c>
      <c r="D156" s="19">
        <f>'DOE25'!H496</f>
        <v>0</v>
      </c>
      <c r="E156" s="19">
        <f>'DOE25'!I496</f>
        <v>0</v>
      </c>
      <c r="F156" s="19">
        <f>'DOE25'!J496</f>
        <v>0</v>
      </c>
      <c r="G156" s="96">
        <f>SUM(B156:F156)</f>
        <v>79439386.230000004</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3457160.82</v>
      </c>
      <c r="C158" s="19">
        <f>'DOE25'!G498</f>
        <v>0</v>
      </c>
      <c r="D158" s="19">
        <f>'DOE25'!H498</f>
        <v>0</v>
      </c>
      <c r="E158" s="19">
        <f>'DOE25'!I498</f>
        <v>0</v>
      </c>
      <c r="F158" s="19">
        <f>'DOE25'!J498</f>
        <v>0</v>
      </c>
      <c r="G158" s="96">
        <f t="shared" si="8"/>
        <v>3457160.82</v>
      </c>
    </row>
    <row r="159" spans="1:9" x14ac:dyDescent="0.2">
      <c r="A159" s="21" t="s">
        <v>35</v>
      </c>
      <c r="B159" s="19">
        <f>'DOE25'!F499</f>
        <v>75982225.410000011</v>
      </c>
      <c r="C159" s="19">
        <f>'DOE25'!G499</f>
        <v>0</v>
      </c>
      <c r="D159" s="19">
        <f>'DOE25'!H499</f>
        <v>0</v>
      </c>
      <c r="E159" s="19">
        <f>'DOE25'!I499</f>
        <v>0</v>
      </c>
      <c r="F159" s="19">
        <f>'DOE25'!J499</f>
        <v>0</v>
      </c>
      <c r="G159" s="96">
        <f t="shared" si="8"/>
        <v>75982225.410000011</v>
      </c>
    </row>
    <row r="160" spans="1:9" x14ac:dyDescent="0.2">
      <c r="A160" s="21" t="s">
        <v>36</v>
      </c>
      <c r="B160" s="19">
        <f>'DOE25'!F500</f>
        <v>24125247.41</v>
      </c>
      <c r="C160" s="19">
        <f>'DOE25'!G500</f>
        <v>0</v>
      </c>
      <c r="D160" s="19">
        <f>'DOE25'!H500</f>
        <v>0</v>
      </c>
      <c r="E160" s="19">
        <f>'DOE25'!I500</f>
        <v>0</v>
      </c>
      <c r="F160" s="19">
        <f>'DOE25'!J500</f>
        <v>0</v>
      </c>
      <c r="G160" s="96">
        <f t="shared" si="8"/>
        <v>24125247.41</v>
      </c>
    </row>
    <row r="161" spans="1:7" x14ac:dyDescent="0.2">
      <c r="A161" s="21" t="s">
        <v>37</v>
      </c>
      <c r="B161" s="19">
        <f>'DOE25'!F501</f>
        <v>100107472.82000001</v>
      </c>
      <c r="C161" s="19">
        <f>'DOE25'!G501</f>
        <v>0</v>
      </c>
      <c r="D161" s="19">
        <f>'DOE25'!H501</f>
        <v>0</v>
      </c>
      <c r="E161" s="19">
        <f>'DOE25'!I501</f>
        <v>0</v>
      </c>
      <c r="F161" s="19">
        <f>'DOE25'!J501</f>
        <v>0</v>
      </c>
      <c r="G161" s="96">
        <f t="shared" si="8"/>
        <v>100107472.82000001</v>
      </c>
    </row>
    <row r="162" spans="1:7" x14ac:dyDescent="0.2">
      <c r="A162" s="21" t="s">
        <v>38</v>
      </c>
      <c r="B162" s="19">
        <f>'DOE25'!F502</f>
        <v>3544466.17</v>
      </c>
      <c r="C162" s="19">
        <f>'DOE25'!G502</f>
        <v>0</v>
      </c>
      <c r="D162" s="19">
        <f>'DOE25'!H502</f>
        <v>0</v>
      </c>
      <c r="E162" s="19">
        <f>'DOE25'!I502</f>
        <v>0</v>
      </c>
      <c r="F162" s="19">
        <f>'DOE25'!J502</f>
        <v>0</v>
      </c>
      <c r="G162" s="96">
        <f t="shared" si="8"/>
        <v>3544466.17</v>
      </c>
    </row>
    <row r="163" spans="1:7" x14ac:dyDescent="0.2">
      <c r="A163" s="21" t="s">
        <v>39</v>
      </c>
      <c r="B163" s="19">
        <f>'DOE25'!F503</f>
        <v>2677658.2999999998</v>
      </c>
      <c r="C163" s="19">
        <f>'DOE25'!G503</f>
        <v>0</v>
      </c>
      <c r="D163" s="19">
        <f>'DOE25'!H503</f>
        <v>0</v>
      </c>
      <c r="E163" s="19">
        <f>'DOE25'!I503</f>
        <v>0</v>
      </c>
      <c r="F163" s="19">
        <f>'DOE25'!J503</f>
        <v>0</v>
      </c>
      <c r="G163" s="96">
        <f t="shared" si="8"/>
        <v>2677658.2999999998</v>
      </c>
    </row>
    <row r="164" spans="1:7" x14ac:dyDescent="0.2">
      <c r="A164" s="21" t="s">
        <v>246</v>
      </c>
      <c r="B164" s="19">
        <f>'DOE25'!F504</f>
        <v>6222124.4699999997</v>
      </c>
      <c r="C164" s="19">
        <f>'DOE25'!G504</f>
        <v>0</v>
      </c>
      <c r="D164" s="19">
        <f>'DOE25'!H504</f>
        <v>0</v>
      </c>
      <c r="E164" s="19">
        <f>'DOE25'!I504</f>
        <v>0</v>
      </c>
      <c r="F164" s="19">
        <f>'DOE25'!J504</f>
        <v>0</v>
      </c>
      <c r="G164" s="96">
        <f t="shared" si="8"/>
        <v>6222124.4699999997</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K11" sqref="K11"/>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4" t="s">
        <v>736</v>
      </c>
      <c r="B1" s="334"/>
      <c r="C1" s="334"/>
      <c r="D1" s="334"/>
    </row>
    <row r="2" spans="1:4" x14ac:dyDescent="0.2">
      <c r="A2" s="135" t="s">
        <v>713</v>
      </c>
      <c r="B2" s="134" t="str">
        <f>'DOE25'!A2</f>
        <v>Dover</v>
      </c>
    </row>
    <row r="3" spans="1:4" x14ac:dyDescent="0.2">
      <c r="B3" s="136" t="s">
        <v>1792</v>
      </c>
    </row>
    <row r="4" spans="1:4" x14ac:dyDescent="0.2">
      <c r="B4" t="s">
        <v>61</v>
      </c>
      <c r="C4" s="128">
        <f>IF('DOE25'!F666+'DOE25'!F671=0,0,ROUND('DOE25'!F673,0))</f>
        <v>20516</v>
      </c>
    </row>
    <row r="5" spans="1:4" x14ac:dyDescent="0.2">
      <c r="B5" t="s">
        <v>700</v>
      </c>
      <c r="C5" s="128">
        <f>IF('DOE25'!G666+'DOE25'!G671=0,0,ROUND('DOE25'!G673,0))</f>
        <v>16955</v>
      </c>
    </row>
    <row r="6" spans="1:4" x14ac:dyDescent="0.2">
      <c r="B6" t="s">
        <v>62</v>
      </c>
      <c r="C6" s="128">
        <f>IF('DOE25'!H666+'DOE25'!H671=0,0,ROUND('DOE25'!H673,0))</f>
        <v>18160</v>
      </c>
    </row>
    <row r="7" spans="1:4" x14ac:dyDescent="0.2">
      <c r="B7" t="s">
        <v>701</v>
      </c>
      <c r="C7" s="128">
        <f>IF('DOE25'!I666+'DOE25'!I671=0,0,ROUND('DOE25'!I673,0))</f>
        <v>18618</v>
      </c>
    </row>
    <row r="9" spans="1:4" x14ac:dyDescent="0.2">
      <c r="A9" s="135" t="s">
        <v>94</v>
      </c>
      <c r="B9" s="136" t="s">
        <v>1793</v>
      </c>
      <c r="C9" s="130" t="s">
        <v>720</v>
      </c>
      <c r="D9" s="130" t="s">
        <v>721</v>
      </c>
    </row>
    <row r="10" spans="1:4" x14ac:dyDescent="0.2">
      <c r="A10">
        <v>1100</v>
      </c>
      <c r="B10" t="s">
        <v>702</v>
      </c>
      <c r="C10" s="128">
        <f>ROUND('DOE25'!L198+'DOE25'!L216+'DOE25'!L234+'DOE25'!L277+'DOE25'!L296+'DOE25'!L315,0)</f>
        <v>27661479</v>
      </c>
      <c r="D10" s="131">
        <f>ROUND((C10/$C$28)*100,1)</f>
        <v>33.9</v>
      </c>
    </row>
    <row r="11" spans="1:4" x14ac:dyDescent="0.2">
      <c r="A11">
        <v>1200</v>
      </c>
      <c r="B11" t="s">
        <v>703</v>
      </c>
      <c r="C11" s="128">
        <f>ROUND('DOE25'!L199+'DOE25'!L217+'DOE25'!L235+'DOE25'!L278+'DOE25'!L297+'DOE25'!L316,0)</f>
        <v>18991514</v>
      </c>
      <c r="D11" s="131">
        <f>ROUND((C11/$C$28)*100,1)</f>
        <v>23.3</v>
      </c>
    </row>
    <row r="12" spans="1:4" x14ac:dyDescent="0.2">
      <c r="A12">
        <v>1300</v>
      </c>
      <c r="B12" t="s">
        <v>704</v>
      </c>
      <c r="C12" s="128">
        <f>ROUND('DOE25'!L200+'DOE25'!L218+'DOE25'!L236+'DOE25'!L279+'DOE25'!L298+'DOE25'!L317,0)</f>
        <v>3231408</v>
      </c>
      <c r="D12" s="131">
        <f>ROUND((C12/$C$28)*100,1)</f>
        <v>4</v>
      </c>
    </row>
    <row r="13" spans="1:4" x14ac:dyDescent="0.2">
      <c r="A13">
        <v>1400</v>
      </c>
      <c r="B13" t="s">
        <v>705</v>
      </c>
      <c r="C13" s="128">
        <f>ROUND('DOE25'!L201+'DOE25'!L219+'DOE25'!L237+'DOE25'!L280+'DOE25'!L299+'DOE25'!L318,0)</f>
        <v>891879</v>
      </c>
      <c r="D13" s="131">
        <f>ROUND((C13/$C$28)*100,1)</f>
        <v>1.1000000000000001</v>
      </c>
    </row>
    <row r="14" spans="1:4" x14ac:dyDescent="0.2">
      <c r="D14" s="131"/>
    </row>
    <row r="15" spans="1:4" x14ac:dyDescent="0.2">
      <c r="A15">
        <v>2100</v>
      </c>
      <c r="B15" t="s">
        <v>706</v>
      </c>
      <c r="C15" s="128">
        <f>ROUND('DOE25'!L203+'DOE25'!L221+'DOE25'!L239+'DOE25'!L282+'DOE25'!L301+'DOE25'!L320,0)</f>
        <v>5688935</v>
      </c>
      <c r="D15" s="131">
        <f t="shared" ref="D15:D27" si="0">ROUND((C15/$C$28)*100,1)</f>
        <v>7</v>
      </c>
    </row>
    <row r="16" spans="1:4" x14ac:dyDescent="0.2">
      <c r="A16">
        <v>2200</v>
      </c>
      <c r="B16" t="s">
        <v>707</v>
      </c>
      <c r="C16" s="128">
        <f>ROUND('DOE25'!L204+'DOE25'!L222+'DOE25'!L240+'DOE25'!L283+'DOE25'!L302+'DOE25'!L321,0)</f>
        <v>2947612</v>
      </c>
      <c r="D16" s="131">
        <f t="shared" si="0"/>
        <v>3.6</v>
      </c>
    </row>
    <row r="17" spans="1:4" x14ac:dyDescent="0.2">
      <c r="A17" s="132" t="s">
        <v>723</v>
      </c>
      <c r="B17" t="s">
        <v>738</v>
      </c>
      <c r="C17" s="128">
        <f>ROUND('DOE25'!L205+'DOE25'!L210+'DOE25'!L223+'DOE25'!L228+'DOE25'!L241+'DOE25'!L246+'DOE25'!L284+'DOE25'!L289+'DOE25'!L303+'DOE25'!L308+'DOE25'!L322+'DOE25'!L327,0)</f>
        <v>3446578</v>
      </c>
      <c r="D17" s="131">
        <f t="shared" si="0"/>
        <v>4.2</v>
      </c>
    </row>
    <row r="18" spans="1:4" x14ac:dyDescent="0.2">
      <c r="A18">
        <v>2400</v>
      </c>
      <c r="B18" t="s">
        <v>711</v>
      </c>
      <c r="C18" s="128">
        <f>ROUND('DOE25'!L206+'DOE25'!L224+'DOE25'!L242+'DOE25'!L285+'DOE25'!L304+'DOE25'!L323,0)</f>
        <v>3361764</v>
      </c>
      <c r="D18" s="131">
        <f t="shared" si="0"/>
        <v>4.0999999999999996</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6215063</v>
      </c>
      <c r="D20" s="131">
        <f t="shared" si="0"/>
        <v>7.6</v>
      </c>
    </row>
    <row r="21" spans="1:4" x14ac:dyDescent="0.2">
      <c r="A21">
        <v>2700</v>
      </c>
      <c r="B21" t="s">
        <v>710</v>
      </c>
      <c r="C21" s="128">
        <f>ROUND('DOE25'!L209+'DOE25'!L227+'DOE25'!L245+'DOE25'!L288+'DOE25'!L307+'DOE25'!L326,0)</f>
        <v>4666604</v>
      </c>
      <c r="D21" s="131">
        <f t="shared" si="0"/>
        <v>5.7</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704748</v>
      </c>
      <c r="D24" s="131">
        <f t="shared" si="0"/>
        <v>0.9</v>
      </c>
    </row>
    <row r="25" spans="1:4" x14ac:dyDescent="0.2">
      <c r="A25">
        <v>5120</v>
      </c>
      <c r="B25" t="s">
        <v>716</v>
      </c>
      <c r="C25" s="128">
        <f>ROUND('DOE25'!L262+'DOE25'!L343,0)</f>
        <v>2850266</v>
      </c>
      <c r="D25" s="131">
        <f t="shared" si="0"/>
        <v>3.5</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961437.91</v>
      </c>
      <c r="D27" s="131">
        <f t="shared" si="0"/>
        <v>1.2</v>
      </c>
    </row>
    <row r="28" spans="1:4" x14ac:dyDescent="0.2">
      <c r="B28" s="135" t="s">
        <v>719</v>
      </c>
      <c r="C28" s="129">
        <f>SUM(C10:C27)</f>
        <v>81619287.909999996</v>
      </c>
      <c r="D28" s="133">
        <f>ROUND(SUM(D10:D27),0)</f>
        <v>100</v>
      </c>
    </row>
    <row r="29" spans="1:4" x14ac:dyDescent="0.2">
      <c r="A29">
        <v>4000</v>
      </c>
      <c r="B29" t="s">
        <v>724</v>
      </c>
      <c r="C29" s="128">
        <f>ROUND('DOE25'!L256+'DOE25'!L337+'DOE25'!L375+'DOE25'!L376+'DOE25'!L377+'DOE25'!L378+'DOE25'!L379+'DOE25'!L380+'DOE25'!L381,0)</f>
        <v>1833789</v>
      </c>
    </row>
    <row r="30" spans="1:4" x14ac:dyDescent="0.2">
      <c r="B30" s="135" t="s">
        <v>725</v>
      </c>
      <c r="C30" s="129">
        <f>SUM(C28:C29)</f>
        <v>83453076.909999996</v>
      </c>
    </row>
    <row r="31" spans="1:4" x14ac:dyDescent="0.2">
      <c r="B31" s="32"/>
      <c r="C31" s="129"/>
    </row>
    <row r="32" spans="1:4" x14ac:dyDescent="0.2">
      <c r="A32">
        <v>5100</v>
      </c>
      <c r="B32" s="32" t="s">
        <v>726</v>
      </c>
      <c r="C32" s="129">
        <f>ROUND('DOE25'!L261+'DOE25'!L342,0)</f>
        <v>3457161</v>
      </c>
    </row>
    <row r="34" spans="1:4" x14ac:dyDescent="0.2">
      <c r="A34" s="135" t="s">
        <v>94</v>
      </c>
      <c r="B34" s="136" t="s">
        <v>1794</v>
      </c>
      <c r="C34" s="130" t="s">
        <v>720</v>
      </c>
      <c r="D34" s="130" t="s">
        <v>721</v>
      </c>
    </row>
    <row r="35" spans="1:4" x14ac:dyDescent="0.2">
      <c r="A35">
        <v>1100</v>
      </c>
      <c r="B35" s="71" t="s">
        <v>727</v>
      </c>
      <c r="C35" s="128">
        <f>ROUND('DOE25'!F60+'DOE25'!G60+'DOE25'!H60+'DOE25'!I60+'DOE25'!J60,0)</f>
        <v>51743398</v>
      </c>
      <c r="D35" s="131">
        <f t="shared" ref="D35:D40" si="1">ROUND((C35/$C$41)*100,1)</f>
        <v>58.4</v>
      </c>
    </row>
    <row r="36" spans="1:4" x14ac:dyDescent="0.2">
      <c r="B36" s="71" t="s">
        <v>739</v>
      </c>
      <c r="C36" s="128">
        <f>SUM('DOE25'!F112:J112)-SUM('DOE25'!G97:G110)+('DOE25'!F175+'DOE25'!F176+'DOE25'!I175+'DOE25'!I176)-C35</f>
        <v>6035197.4900000095</v>
      </c>
      <c r="D36" s="131">
        <f t="shared" si="1"/>
        <v>6.8</v>
      </c>
    </row>
    <row r="37" spans="1:4" x14ac:dyDescent="0.2">
      <c r="A37" s="132" t="s">
        <v>831</v>
      </c>
      <c r="B37" s="71" t="s">
        <v>728</v>
      </c>
      <c r="C37" s="128">
        <f>ROUND('DOE25'!F117+'DOE25'!F118,0)</f>
        <v>20940022</v>
      </c>
      <c r="D37" s="131">
        <f t="shared" si="1"/>
        <v>23.6</v>
      </c>
    </row>
    <row r="38" spans="1:4" x14ac:dyDescent="0.2">
      <c r="A38" s="132" t="s">
        <v>734</v>
      </c>
      <c r="B38" s="71" t="s">
        <v>729</v>
      </c>
      <c r="C38" s="128">
        <f>ROUND(SUM('DOE25'!F140:J140)-SUM('DOE25'!F117:F119),0)</f>
        <v>2408305</v>
      </c>
      <c r="D38" s="131">
        <f t="shared" si="1"/>
        <v>2.7</v>
      </c>
    </row>
    <row r="39" spans="1:4" x14ac:dyDescent="0.2">
      <c r="A39">
        <v>4000</v>
      </c>
      <c r="B39" s="71" t="s">
        <v>730</v>
      </c>
      <c r="C39" s="128">
        <f>ROUND('DOE25'!F170+'DOE25'!G170+'DOE25'!H170+'DOE25'!I170,0)</f>
        <v>7481518</v>
      </c>
      <c r="D39" s="131">
        <f t="shared" si="1"/>
        <v>8.4</v>
      </c>
    </row>
    <row r="40" spans="1:4" x14ac:dyDescent="0.2">
      <c r="A40" s="132" t="s">
        <v>735</v>
      </c>
      <c r="B40" s="71" t="s">
        <v>731</v>
      </c>
      <c r="C40" s="128">
        <f>ROUND(SUM('DOE25'!F190:F192)+SUM('DOE25'!G190:G192)+SUM('DOE25'!H190:H192)+SUM('DOE25'!I190:I192),0)</f>
        <v>436</v>
      </c>
      <c r="D40" s="131">
        <f t="shared" si="1"/>
        <v>0</v>
      </c>
    </row>
    <row r="41" spans="1:4" x14ac:dyDescent="0.2">
      <c r="B41" s="135" t="s">
        <v>732</v>
      </c>
      <c r="C41" s="129">
        <f>SUM(C35:C40)</f>
        <v>88608876.49000001</v>
      </c>
      <c r="D41" s="133">
        <f>SUM(D35:D40)</f>
        <v>99.90000000000002</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21" sqref="C21:M21"/>
    </sheetView>
  </sheetViews>
  <sheetFormatPr defaultRowHeight="11.25" x14ac:dyDescent="0.2"/>
  <cols>
    <col min="1" max="1" width="10.33203125" customWidth="1"/>
    <col min="14" max="14" width="6.1640625" customWidth="1"/>
  </cols>
  <sheetData>
    <row r="1" spans="1:13" ht="16.5" thickTop="1" x14ac:dyDescent="0.25">
      <c r="A1" s="342" t="s">
        <v>763</v>
      </c>
      <c r="B1" s="343"/>
      <c r="C1" s="343"/>
      <c r="D1" s="343"/>
      <c r="E1" s="343"/>
      <c r="F1" s="343"/>
      <c r="G1" s="343"/>
      <c r="H1" s="343"/>
      <c r="I1" s="343"/>
      <c r="J1" s="154"/>
      <c r="K1" s="154"/>
      <c r="L1" s="154"/>
      <c r="M1" s="155"/>
    </row>
    <row r="2" spans="1:13" ht="12.75" x14ac:dyDescent="0.2">
      <c r="A2" s="347" t="s">
        <v>760</v>
      </c>
      <c r="B2" s="348"/>
      <c r="C2" s="348"/>
      <c r="D2" s="348"/>
      <c r="E2" s="348"/>
      <c r="F2" s="345" t="str">
        <f>'DOE25'!A2</f>
        <v>Dover</v>
      </c>
      <c r="G2" s="346"/>
      <c r="H2" s="346"/>
      <c r="I2" s="346"/>
      <c r="M2" s="156"/>
    </row>
    <row r="3" spans="1:13" x14ac:dyDescent="0.2">
      <c r="A3" s="157" t="s">
        <v>761</v>
      </c>
      <c r="B3" s="130" t="s">
        <v>762</v>
      </c>
      <c r="C3" s="327" t="s">
        <v>764</v>
      </c>
      <c r="D3" s="327"/>
      <c r="E3" s="327"/>
      <c r="F3" s="327"/>
      <c r="G3" s="327"/>
      <c r="H3" s="327"/>
      <c r="I3" s="327"/>
      <c r="J3" s="327"/>
      <c r="K3" s="327"/>
      <c r="L3" s="327"/>
      <c r="M3" s="344"/>
    </row>
    <row r="4" spans="1:13" x14ac:dyDescent="0.2">
      <c r="A4" s="158"/>
      <c r="B4" s="149"/>
      <c r="C4" s="335"/>
      <c r="D4" s="335"/>
      <c r="E4" s="335"/>
      <c r="F4" s="335"/>
      <c r="G4" s="335"/>
      <c r="H4" s="335"/>
      <c r="I4" s="335"/>
      <c r="J4" s="335"/>
      <c r="K4" s="335"/>
      <c r="L4" s="335"/>
      <c r="M4" s="336"/>
    </row>
    <row r="5" spans="1:13" x14ac:dyDescent="0.2">
      <c r="A5" s="158"/>
      <c r="B5" s="149"/>
      <c r="C5" s="335"/>
      <c r="D5" s="335"/>
      <c r="E5" s="335"/>
      <c r="F5" s="335"/>
      <c r="G5" s="335"/>
      <c r="H5" s="335"/>
      <c r="I5" s="335"/>
      <c r="J5" s="335"/>
      <c r="K5" s="335"/>
      <c r="L5" s="335"/>
      <c r="M5" s="336"/>
    </row>
    <row r="6" spans="1:13" x14ac:dyDescent="0.2">
      <c r="A6" s="158"/>
      <c r="B6" s="149"/>
      <c r="C6" s="335"/>
      <c r="D6" s="335"/>
      <c r="E6" s="335"/>
      <c r="F6" s="335"/>
      <c r="G6" s="335"/>
      <c r="H6" s="335"/>
      <c r="I6" s="335"/>
      <c r="J6" s="335"/>
      <c r="K6" s="335"/>
      <c r="L6" s="335"/>
      <c r="M6" s="336"/>
    </row>
    <row r="7" spans="1:13" x14ac:dyDescent="0.2">
      <c r="A7" s="158"/>
      <c r="B7" s="149"/>
      <c r="C7" s="335"/>
      <c r="D7" s="335"/>
      <c r="E7" s="335"/>
      <c r="F7" s="335"/>
      <c r="G7" s="335"/>
      <c r="H7" s="335"/>
      <c r="I7" s="335"/>
      <c r="J7" s="335"/>
      <c r="K7" s="335"/>
      <c r="L7" s="335"/>
      <c r="M7" s="336"/>
    </row>
    <row r="8" spans="1:13" x14ac:dyDescent="0.2">
      <c r="A8" s="158"/>
      <c r="B8" s="149"/>
      <c r="C8" s="335"/>
      <c r="D8" s="335"/>
      <c r="E8" s="335"/>
      <c r="F8" s="335"/>
      <c r="G8" s="335"/>
      <c r="H8" s="335"/>
      <c r="I8" s="335"/>
      <c r="J8" s="335"/>
      <c r="K8" s="335"/>
      <c r="L8" s="335"/>
      <c r="M8" s="336"/>
    </row>
    <row r="9" spans="1:13" x14ac:dyDescent="0.2">
      <c r="A9" s="158"/>
      <c r="B9" s="149"/>
      <c r="C9" s="335"/>
      <c r="D9" s="335"/>
      <c r="E9" s="335"/>
      <c r="F9" s="335"/>
      <c r="G9" s="335"/>
      <c r="H9" s="335"/>
      <c r="I9" s="335"/>
      <c r="J9" s="335"/>
      <c r="K9" s="335"/>
      <c r="L9" s="335"/>
      <c r="M9" s="336"/>
    </row>
    <row r="10" spans="1:13" x14ac:dyDescent="0.2">
      <c r="A10" s="158"/>
      <c r="B10" s="149"/>
      <c r="C10" s="335"/>
      <c r="D10" s="335"/>
      <c r="E10" s="335"/>
      <c r="F10" s="335"/>
      <c r="G10" s="335"/>
      <c r="H10" s="335"/>
      <c r="I10" s="335"/>
      <c r="J10" s="335"/>
      <c r="K10" s="335"/>
      <c r="L10" s="335"/>
      <c r="M10" s="336"/>
    </row>
    <row r="11" spans="1:13" x14ac:dyDescent="0.2">
      <c r="A11" s="158"/>
      <c r="B11" s="149"/>
      <c r="C11" s="335"/>
      <c r="D11" s="335"/>
      <c r="E11" s="335"/>
      <c r="F11" s="335"/>
      <c r="G11" s="335"/>
      <c r="H11" s="335"/>
      <c r="I11" s="335"/>
      <c r="J11" s="335"/>
      <c r="K11" s="335"/>
      <c r="L11" s="335"/>
      <c r="M11" s="336"/>
    </row>
    <row r="12" spans="1:13" x14ac:dyDescent="0.2">
      <c r="A12" s="158"/>
      <c r="B12" s="149"/>
      <c r="C12" s="335"/>
      <c r="D12" s="335"/>
      <c r="E12" s="335"/>
      <c r="F12" s="335"/>
      <c r="G12" s="335"/>
      <c r="H12" s="335"/>
      <c r="I12" s="335"/>
      <c r="J12" s="335"/>
      <c r="K12" s="335"/>
      <c r="L12" s="335"/>
      <c r="M12" s="336"/>
    </row>
    <row r="13" spans="1:13" x14ac:dyDescent="0.2">
      <c r="A13" s="158"/>
      <c r="B13" s="149"/>
      <c r="C13" s="335"/>
      <c r="D13" s="335"/>
      <c r="E13" s="335"/>
      <c r="F13" s="335"/>
      <c r="G13" s="335"/>
      <c r="H13" s="335"/>
      <c r="I13" s="335"/>
      <c r="J13" s="335"/>
      <c r="K13" s="335"/>
      <c r="L13" s="335"/>
      <c r="M13" s="336"/>
    </row>
    <row r="14" spans="1:13" x14ac:dyDescent="0.2">
      <c r="A14" s="158"/>
      <c r="B14" s="149"/>
      <c r="C14" s="335"/>
      <c r="D14" s="335"/>
      <c r="E14" s="335"/>
      <c r="F14" s="335"/>
      <c r="G14" s="335"/>
      <c r="H14" s="335"/>
      <c r="I14" s="335"/>
      <c r="J14" s="335"/>
      <c r="K14" s="335"/>
      <c r="L14" s="335"/>
      <c r="M14" s="336"/>
    </row>
    <row r="15" spans="1:13" x14ac:dyDescent="0.2">
      <c r="A15" s="158"/>
      <c r="B15" s="149"/>
      <c r="C15" s="335"/>
      <c r="D15" s="335"/>
      <c r="E15" s="335"/>
      <c r="F15" s="335"/>
      <c r="G15" s="335"/>
      <c r="H15" s="335"/>
      <c r="I15" s="335"/>
      <c r="J15" s="335"/>
      <c r="K15" s="335"/>
      <c r="L15" s="335"/>
      <c r="M15" s="336"/>
    </row>
    <row r="16" spans="1:13" x14ac:dyDescent="0.2">
      <c r="A16" s="158"/>
      <c r="B16" s="149"/>
      <c r="C16" s="335"/>
      <c r="D16" s="335"/>
      <c r="E16" s="335"/>
      <c r="F16" s="335"/>
      <c r="G16" s="335"/>
      <c r="H16" s="335"/>
      <c r="I16" s="335"/>
      <c r="J16" s="335"/>
      <c r="K16" s="335"/>
      <c r="L16" s="335"/>
      <c r="M16" s="336"/>
    </row>
    <row r="17" spans="1:256" x14ac:dyDescent="0.2">
      <c r="A17" s="158"/>
      <c r="B17" s="149"/>
      <c r="C17" s="335"/>
      <c r="D17" s="335"/>
      <c r="E17" s="335"/>
      <c r="F17" s="335"/>
      <c r="G17" s="335"/>
      <c r="H17" s="335"/>
      <c r="I17" s="335"/>
      <c r="J17" s="335"/>
      <c r="K17" s="335"/>
      <c r="L17" s="335"/>
      <c r="M17" s="336"/>
    </row>
    <row r="18" spans="1:256" x14ac:dyDescent="0.2">
      <c r="A18" s="158"/>
      <c r="B18" s="149"/>
      <c r="C18" s="335"/>
      <c r="D18" s="335"/>
      <c r="E18" s="335"/>
      <c r="F18" s="335"/>
      <c r="G18" s="335"/>
      <c r="H18" s="335"/>
      <c r="I18" s="335"/>
      <c r="J18" s="335"/>
      <c r="K18" s="335"/>
      <c r="L18" s="335"/>
      <c r="M18" s="336"/>
    </row>
    <row r="19" spans="1:256" x14ac:dyDescent="0.2">
      <c r="A19" s="158"/>
      <c r="B19" s="149"/>
      <c r="C19" s="335"/>
      <c r="D19" s="335"/>
      <c r="E19" s="335"/>
      <c r="F19" s="335"/>
      <c r="G19" s="335"/>
      <c r="H19" s="335"/>
      <c r="I19" s="335"/>
      <c r="J19" s="335"/>
      <c r="K19" s="335"/>
      <c r="L19" s="335"/>
      <c r="M19" s="336"/>
    </row>
    <row r="20" spans="1:256" x14ac:dyDescent="0.2">
      <c r="A20" s="158"/>
      <c r="B20" s="149"/>
      <c r="C20" s="335"/>
      <c r="D20" s="335"/>
      <c r="E20" s="335"/>
      <c r="F20" s="335"/>
      <c r="G20" s="335"/>
      <c r="H20" s="335"/>
      <c r="I20" s="335"/>
      <c r="J20" s="335"/>
      <c r="K20" s="335"/>
      <c r="L20" s="335"/>
      <c r="M20" s="336"/>
    </row>
    <row r="21" spans="1:256" x14ac:dyDescent="0.2">
      <c r="A21" s="158"/>
      <c r="B21" s="149"/>
      <c r="C21" s="335"/>
      <c r="D21" s="335"/>
      <c r="E21" s="335"/>
      <c r="F21" s="335"/>
      <c r="G21" s="335"/>
      <c r="H21" s="335"/>
      <c r="I21" s="335"/>
      <c r="J21" s="335"/>
      <c r="K21" s="335"/>
      <c r="L21" s="335"/>
      <c r="M21" s="336"/>
    </row>
    <row r="22" spans="1:256" x14ac:dyDescent="0.2">
      <c r="A22" s="158"/>
      <c r="B22" s="149"/>
      <c r="C22" s="335"/>
      <c r="D22" s="335"/>
      <c r="E22" s="335"/>
      <c r="F22" s="335"/>
      <c r="G22" s="335"/>
      <c r="H22" s="335"/>
      <c r="I22" s="335"/>
      <c r="J22" s="335"/>
      <c r="K22" s="335"/>
      <c r="L22" s="335"/>
      <c r="M22" s="336"/>
    </row>
    <row r="23" spans="1:256" x14ac:dyDescent="0.2">
      <c r="A23" s="158"/>
      <c r="B23" s="149"/>
      <c r="C23" s="335"/>
      <c r="D23" s="335"/>
      <c r="E23" s="335"/>
      <c r="F23" s="335"/>
      <c r="G23" s="335"/>
      <c r="H23" s="335"/>
      <c r="I23" s="335"/>
      <c r="J23" s="335"/>
      <c r="K23" s="335"/>
      <c r="L23" s="335"/>
      <c r="M23" s="336"/>
    </row>
    <row r="24" spans="1:256" x14ac:dyDescent="0.2">
      <c r="A24" s="158"/>
      <c r="B24" s="149"/>
      <c r="C24" s="335"/>
      <c r="D24" s="335"/>
      <c r="E24" s="335"/>
      <c r="F24" s="335"/>
      <c r="G24" s="335"/>
      <c r="H24" s="335"/>
      <c r="I24" s="335"/>
      <c r="J24" s="335"/>
      <c r="K24" s="335"/>
      <c r="L24" s="335"/>
      <c r="M24" s="336"/>
    </row>
    <row r="25" spans="1:256" x14ac:dyDescent="0.2">
      <c r="A25" s="158"/>
      <c r="B25" s="149"/>
      <c r="C25" s="335"/>
      <c r="D25" s="335"/>
      <c r="E25" s="335"/>
      <c r="F25" s="335"/>
      <c r="G25" s="335"/>
      <c r="H25" s="335"/>
      <c r="I25" s="335"/>
      <c r="J25" s="335"/>
      <c r="K25" s="335"/>
      <c r="L25" s="335"/>
      <c r="M25" s="336"/>
    </row>
    <row r="26" spans="1:256" x14ac:dyDescent="0.2">
      <c r="A26" s="158"/>
      <c r="B26" s="149"/>
      <c r="C26" s="335"/>
      <c r="D26" s="335"/>
      <c r="E26" s="335"/>
      <c r="F26" s="335"/>
      <c r="G26" s="335"/>
      <c r="H26" s="335"/>
      <c r="I26" s="335"/>
      <c r="J26" s="335"/>
      <c r="K26" s="335"/>
      <c r="L26" s="335"/>
      <c r="M26" s="336"/>
    </row>
    <row r="27" spans="1:256" x14ac:dyDescent="0.2">
      <c r="A27" s="158"/>
      <c r="B27" s="149"/>
      <c r="C27" s="335"/>
      <c r="D27" s="335"/>
      <c r="E27" s="335"/>
      <c r="F27" s="335"/>
      <c r="G27" s="335"/>
      <c r="H27" s="335"/>
      <c r="I27" s="335"/>
      <c r="J27" s="335"/>
      <c r="K27" s="335"/>
      <c r="L27" s="335"/>
      <c r="M27" s="336"/>
    </row>
    <row r="28" spans="1:256" x14ac:dyDescent="0.2">
      <c r="A28" s="158"/>
      <c r="B28" s="149"/>
      <c r="C28" s="335"/>
      <c r="D28" s="335"/>
      <c r="E28" s="335"/>
      <c r="F28" s="335"/>
      <c r="G28" s="335"/>
      <c r="H28" s="335"/>
      <c r="I28" s="335"/>
      <c r="J28" s="335"/>
      <c r="K28" s="335"/>
      <c r="L28" s="335"/>
      <c r="M28" s="336"/>
    </row>
    <row r="29" spans="1:256" x14ac:dyDescent="0.2">
      <c r="A29" s="158"/>
      <c r="B29" s="149"/>
      <c r="C29" s="335"/>
      <c r="D29" s="335"/>
      <c r="E29" s="335"/>
      <c r="F29" s="335"/>
      <c r="G29" s="335"/>
      <c r="H29" s="335"/>
      <c r="I29" s="335"/>
      <c r="J29" s="335"/>
      <c r="K29" s="335"/>
      <c r="L29" s="335"/>
      <c r="M29" s="336"/>
      <c r="N29" s="152"/>
      <c r="O29" s="152"/>
      <c r="P29" s="340"/>
      <c r="Q29" s="340"/>
      <c r="R29" s="340"/>
      <c r="S29" s="340"/>
      <c r="T29" s="340"/>
      <c r="U29" s="340"/>
      <c r="V29" s="340"/>
      <c r="W29" s="340"/>
      <c r="X29" s="340"/>
      <c r="Y29" s="340"/>
      <c r="Z29" s="340"/>
      <c r="AA29" s="149"/>
      <c r="AB29" s="149"/>
      <c r="AC29" s="335"/>
      <c r="AD29" s="335"/>
      <c r="AE29" s="335"/>
      <c r="AF29" s="335"/>
      <c r="AG29" s="335"/>
      <c r="AH29" s="335"/>
      <c r="AI29" s="335"/>
      <c r="AJ29" s="335"/>
      <c r="AK29" s="335"/>
      <c r="AL29" s="335"/>
      <c r="AM29" s="335"/>
      <c r="AN29" s="149"/>
      <c r="AO29" s="149"/>
      <c r="AP29" s="335"/>
      <c r="AQ29" s="335"/>
      <c r="AR29" s="335"/>
      <c r="AS29" s="335"/>
      <c r="AT29" s="335"/>
      <c r="AU29" s="335"/>
      <c r="AV29" s="335"/>
      <c r="AW29" s="335"/>
      <c r="AX29" s="335"/>
      <c r="AY29" s="335"/>
      <c r="AZ29" s="335"/>
      <c r="BA29" s="149"/>
      <c r="BB29" s="149"/>
      <c r="BC29" s="335"/>
      <c r="BD29" s="335"/>
      <c r="BE29" s="335"/>
      <c r="BF29" s="335"/>
      <c r="BG29" s="335"/>
      <c r="BH29" s="335"/>
      <c r="BI29" s="335"/>
      <c r="BJ29" s="335"/>
      <c r="BK29" s="335"/>
      <c r="BL29" s="335"/>
      <c r="BM29" s="335"/>
      <c r="BN29" s="149"/>
      <c r="BO29" s="149"/>
      <c r="BP29" s="335"/>
      <c r="BQ29" s="335"/>
      <c r="BR29" s="335"/>
      <c r="BS29" s="335"/>
      <c r="BT29" s="335"/>
      <c r="BU29" s="335"/>
      <c r="BV29" s="335"/>
      <c r="BW29" s="335"/>
      <c r="BX29" s="335"/>
      <c r="BY29" s="335"/>
      <c r="BZ29" s="335"/>
      <c r="CA29" s="149"/>
      <c r="CB29" s="149"/>
      <c r="CC29" s="335"/>
      <c r="CD29" s="335"/>
      <c r="CE29" s="335"/>
      <c r="CF29" s="335"/>
      <c r="CG29" s="335"/>
      <c r="CH29" s="335"/>
      <c r="CI29" s="335"/>
      <c r="CJ29" s="335"/>
      <c r="CK29" s="335"/>
      <c r="CL29" s="335"/>
      <c r="CM29" s="335"/>
      <c r="CN29" s="149"/>
      <c r="CO29" s="149"/>
      <c r="CP29" s="335"/>
      <c r="CQ29" s="335"/>
      <c r="CR29" s="335"/>
      <c r="CS29" s="335"/>
      <c r="CT29" s="335"/>
      <c r="CU29" s="335"/>
      <c r="CV29" s="335"/>
      <c r="CW29" s="335"/>
      <c r="CX29" s="335"/>
      <c r="CY29" s="335"/>
      <c r="CZ29" s="335"/>
      <c r="DA29" s="149"/>
      <c r="DB29" s="149"/>
      <c r="DC29" s="335"/>
      <c r="DD29" s="335"/>
      <c r="DE29" s="335"/>
      <c r="DF29" s="335"/>
      <c r="DG29" s="335"/>
      <c r="DH29" s="335"/>
      <c r="DI29" s="335"/>
      <c r="DJ29" s="335"/>
      <c r="DK29" s="335"/>
      <c r="DL29" s="335"/>
      <c r="DM29" s="335"/>
      <c r="DN29" s="149"/>
      <c r="DO29" s="149"/>
      <c r="DP29" s="335"/>
      <c r="DQ29" s="335"/>
      <c r="DR29" s="335"/>
      <c r="DS29" s="335"/>
      <c r="DT29" s="335"/>
      <c r="DU29" s="335"/>
      <c r="DV29" s="335"/>
      <c r="DW29" s="335"/>
      <c r="DX29" s="335"/>
      <c r="DY29" s="335"/>
      <c r="DZ29" s="335"/>
      <c r="EA29" s="149"/>
      <c r="EB29" s="149"/>
      <c r="EC29" s="335"/>
      <c r="ED29" s="335"/>
      <c r="EE29" s="335"/>
      <c r="EF29" s="335"/>
      <c r="EG29" s="335"/>
      <c r="EH29" s="335"/>
      <c r="EI29" s="335"/>
      <c r="EJ29" s="335"/>
      <c r="EK29" s="335"/>
      <c r="EL29" s="335"/>
      <c r="EM29" s="335"/>
      <c r="EN29" s="149"/>
      <c r="EO29" s="149"/>
      <c r="EP29" s="335"/>
      <c r="EQ29" s="335"/>
      <c r="ER29" s="335"/>
      <c r="ES29" s="335"/>
      <c r="ET29" s="335"/>
      <c r="EU29" s="335"/>
      <c r="EV29" s="335"/>
      <c r="EW29" s="335"/>
      <c r="EX29" s="335"/>
      <c r="EY29" s="335"/>
      <c r="EZ29" s="335"/>
      <c r="FA29" s="149"/>
      <c r="FB29" s="149"/>
      <c r="FC29" s="335"/>
      <c r="FD29" s="335"/>
      <c r="FE29" s="335"/>
      <c r="FF29" s="335"/>
      <c r="FG29" s="335"/>
      <c r="FH29" s="335"/>
      <c r="FI29" s="335"/>
      <c r="FJ29" s="335"/>
      <c r="FK29" s="335"/>
      <c r="FL29" s="335"/>
      <c r="FM29" s="335"/>
      <c r="FN29" s="149"/>
      <c r="FO29" s="149"/>
      <c r="FP29" s="335"/>
      <c r="FQ29" s="335"/>
      <c r="FR29" s="335"/>
      <c r="FS29" s="335"/>
      <c r="FT29" s="335"/>
      <c r="FU29" s="335"/>
      <c r="FV29" s="335"/>
      <c r="FW29" s="335"/>
      <c r="FX29" s="335"/>
      <c r="FY29" s="335"/>
      <c r="FZ29" s="335"/>
      <c r="GA29" s="149"/>
      <c r="GB29" s="149"/>
      <c r="GC29" s="335"/>
      <c r="GD29" s="335"/>
      <c r="GE29" s="335"/>
      <c r="GF29" s="335"/>
      <c r="GG29" s="335"/>
      <c r="GH29" s="335"/>
      <c r="GI29" s="335"/>
      <c r="GJ29" s="335"/>
      <c r="GK29" s="335"/>
      <c r="GL29" s="335"/>
      <c r="GM29" s="335"/>
      <c r="GN29" s="149"/>
      <c r="GO29" s="149"/>
      <c r="GP29" s="335"/>
      <c r="GQ29" s="335"/>
      <c r="GR29" s="335"/>
      <c r="GS29" s="335"/>
      <c r="GT29" s="335"/>
      <c r="GU29" s="335"/>
      <c r="GV29" s="335"/>
      <c r="GW29" s="335"/>
      <c r="GX29" s="335"/>
      <c r="GY29" s="335"/>
      <c r="GZ29" s="335"/>
      <c r="HA29" s="149"/>
      <c r="HB29" s="149"/>
      <c r="HC29" s="335"/>
      <c r="HD29" s="335"/>
      <c r="HE29" s="335"/>
      <c r="HF29" s="335"/>
      <c r="HG29" s="335"/>
      <c r="HH29" s="335"/>
      <c r="HI29" s="335"/>
      <c r="HJ29" s="335"/>
      <c r="HK29" s="335"/>
      <c r="HL29" s="335"/>
      <c r="HM29" s="335"/>
      <c r="HN29" s="149"/>
      <c r="HO29" s="149"/>
      <c r="HP29" s="335"/>
      <c r="HQ29" s="335"/>
      <c r="HR29" s="335"/>
      <c r="HS29" s="335"/>
      <c r="HT29" s="335"/>
      <c r="HU29" s="335"/>
      <c r="HV29" s="335"/>
      <c r="HW29" s="335"/>
      <c r="HX29" s="335"/>
      <c r="HY29" s="335"/>
      <c r="HZ29" s="335"/>
      <c r="IA29" s="149"/>
      <c r="IB29" s="149"/>
      <c r="IC29" s="335"/>
      <c r="ID29" s="335"/>
      <c r="IE29" s="335"/>
      <c r="IF29" s="335"/>
      <c r="IG29" s="335"/>
      <c r="IH29" s="335"/>
      <c r="II29" s="335"/>
      <c r="IJ29" s="335"/>
      <c r="IK29" s="335"/>
      <c r="IL29" s="335"/>
      <c r="IM29" s="335"/>
      <c r="IN29" s="149"/>
      <c r="IO29" s="149"/>
      <c r="IP29" s="335"/>
      <c r="IQ29" s="335"/>
      <c r="IR29" s="335"/>
      <c r="IS29" s="335"/>
      <c r="IT29" s="335"/>
      <c r="IU29" s="335"/>
      <c r="IV29" s="335"/>
    </row>
    <row r="30" spans="1:256" x14ac:dyDescent="0.2">
      <c r="A30" s="158"/>
      <c r="B30" s="149"/>
      <c r="C30" s="335"/>
      <c r="D30" s="335"/>
      <c r="E30" s="335"/>
      <c r="F30" s="335"/>
      <c r="G30" s="335"/>
      <c r="H30" s="335"/>
      <c r="I30" s="335"/>
      <c r="J30" s="335"/>
      <c r="K30" s="335"/>
      <c r="L30" s="335"/>
      <c r="M30" s="336"/>
      <c r="N30" s="152"/>
      <c r="O30" s="152"/>
      <c r="P30" s="340"/>
      <c r="Q30" s="340"/>
      <c r="R30" s="340"/>
      <c r="S30" s="340"/>
      <c r="T30" s="340"/>
      <c r="U30" s="340"/>
      <c r="V30" s="340"/>
      <c r="W30" s="340"/>
      <c r="X30" s="340"/>
      <c r="Y30" s="340"/>
      <c r="Z30" s="340"/>
      <c r="AA30" s="149"/>
      <c r="AB30" s="149"/>
      <c r="AC30" s="335"/>
      <c r="AD30" s="335"/>
      <c r="AE30" s="335"/>
      <c r="AF30" s="335"/>
      <c r="AG30" s="335"/>
      <c r="AH30" s="335"/>
      <c r="AI30" s="335"/>
      <c r="AJ30" s="335"/>
      <c r="AK30" s="335"/>
      <c r="AL30" s="335"/>
      <c r="AM30" s="335"/>
      <c r="AN30" s="149"/>
      <c r="AO30" s="149"/>
      <c r="AP30" s="335"/>
      <c r="AQ30" s="335"/>
      <c r="AR30" s="335"/>
      <c r="AS30" s="335"/>
      <c r="AT30" s="335"/>
      <c r="AU30" s="335"/>
      <c r="AV30" s="335"/>
      <c r="AW30" s="335"/>
      <c r="AX30" s="335"/>
      <c r="AY30" s="335"/>
      <c r="AZ30" s="335"/>
      <c r="BA30" s="149"/>
      <c r="BB30" s="149"/>
      <c r="BC30" s="335"/>
      <c r="BD30" s="335"/>
      <c r="BE30" s="335"/>
      <c r="BF30" s="335"/>
      <c r="BG30" s="335"/>
      <c r="BH30" s="335"/>
      <c r="BI30" s="335"/>
      <c r="BJ30" s="335"/>
      <c r="BK30" s="335"/>
      <c r="BL30" s="335"/>
      <c r="BM30" s="335"/>
      <c r="BN30" s="149"/>
      <c r="BO30" s="149"/>
      <c r="BP30" s="335"/>
      <c r="BQ30" s="335"/>
      <c r="BR30" s="335"/>
      <c r="BS30" s="335"/>
      <c r="BT30" s="335"/>
      <c r="BU30" s="335"/>
      <c r="BV30" s="335"/>
      <c r="BW30" s="335"/>
      <c r="BX30" s="335"/>
      <c r="BY30" s="335"/>
      <c r="BZ30" s="335"/>
      <c r="CA30" s="149"/>
      <c r="CB30" s="149"/>
      <c r="CC30" s="335"/>
      <c r="CD30" s="335"/>
      <c r="CE30" s="335"/>
      <c r="CF30" s="335"/>
      <c r="CG30" s="335"/>
      <c r="CH30" s="335"/>
      <c r="CI30" s="335"/>
      <c r="CJ30" s="335"/>
      <c r="CK30" s="335"/>
      <c r="CL30" s="335"/>
      <c r="CM30" s="335"/>
      <c r="CN30" s="149"/>
      <c r="CO30" s="149"/>
      <c r="CP30" s="335"/>
      <c r="CQ30" s="335"/>
      <c r="CR30" s="335"/>
      <c r="CS30" s="335"/>
      <c r="CT30" s="335"/>
      <c r="CU30" s="335"/>
      <c r="CV30" s="335"/>
      <c r="CW30" s="335"/>
      <c r="CX30" s="335"/>
      <c r="CY30" s="335"/>
      <c r="CZ30" s="335"/>
      <c r="DA30" s="149"/>
      <c r="DB30" s="149"/>
      <c r="DC30" s="335"/>
      <c r="DD30" s="335"/>
      <c r="DE30" s="335"/>
      <c r="DF30" s="335"/>
      <c r="DG30" s="335"/>
      <c r="DH30" s="335"/>
      <c r="DI30" s="335"/>
      <c r="DJ30" s="335"/>
      <c r="DK30" s="335"/>
      <c r="DL30" s="335"/>
      <c r="DM30" s="335"/>
      <c r="DN30" s="149"/>
      <c r="DO30" s="149"/>
      <c r="DP30" s="335"/>
      <c r="DQ30" s="335"/>
      <c r="DR30" s="335"/>
      <c r="DS30" s="335"/>
      <c r="DT30" s="335"/>
      <c r="DU30" s="335"/>
      <c r="DV30" s="335"/>
      <c r="DW30" s="335"/>
      <c r="DX30" s="335"/>
      <c r="DY30" s="335"/>
      <c r="DZ30" s="335"/>
      <c r="EA30" s="149"/>
      <c r="EB30" s="149"/>
      <c r="EC30" s="335"/>
      <c r="ED30" s="335"/>
      <c r="EE30" s="335"/>
      <c r="EF30" s="335"/>
      <c r="EG30" s="335"/>
      <c r="EH30" s="335"/>
      <c r="EI30" s="335"/>
      <c r="EJ30" s="335"/>
      <c r="EK30" s="335"/>
      <c r="EL30" s="335"/>
      <c r="EM30" s="335"/>
      <c r="EN30" s="149"/>
      <c r="EO30" s="149"/>
      <c r="EP30" s="335"/>
      <c r="EQ30" s="335"/>
      <c r="ER30" s="335"/>
      <c r="ES30" s="335"/>
      <c r="ET30" s="335"/>
      <c r="EU30" s="335"/>
      <c r="EV30" s="335"/>
      <c r="EW30" s="335"/>
      <c r="EX30" s="335"/>
      <c r="EY30" s="335"/>
      <c r="EZ30" s="335"/>
      <c r="FA30" s="149"/>
      <c r="FB30" s="149"/>
      <c r="FC30" s="335"/>
      <c r="FD30" s="335"/>
      <c r="FE30" s="335"/>
      <c r="FF30" s="335"/>
      <c r="FG30" s="335"/>
      <c r="FH30" s="335"/>
      <c r="FI30" s="335"/>
      <c r="FJ30" s="335"/>
      <c r="FK30" s="335"/>
      <c r="FL30" s="335"/>
      <c r="FM30" s="335"/>
      <c r="FN30" s="149"/>
      <c r="FO30" s="149"/>
      <c r="FP30" s="335"/>
      <c r="FQ30" s="335"/>
      <c r="FR30" s="335"/>
      <c r="FS30" s="335"/>
      <c r="FT30" s="335"/>
      <c r="FU30" s="335"/>
      <c r="FV30" s="335"/>
      <c r="FW30" s="335"/>
      <c r="FX30" s="335"/>
      <c r="FY30" s="335"/>
      <c r="FZ30" s="335"/>
      <c r="GA30" s="149"/>
      <c r="GB30" s="149"/>
      <c r="GC30" s="335"/>
      <c r="GD30" s="335"/>
      <c r="GE30" s="335"/>
      <c r="GF30" s="335"/>
      <c r="GG30" s="335"/>
      <c r="GH30" s="335"/>
      <c r="GI30" s="335"/>
      <c r="GJ30" s="335"/>
      <c r="GK30" s="335"/>
      <c r="GL30" s="335"/>
      <c r="GM30" s="335"/>
      <c r="GN30" s="149"/>
      <c r="GO30" s="149"/>
      <c r="GP30" s="335"/>
      <c r="GQ30" s="335"/>
      <c r="GR30" s="335"/>
      <c r="GS30" s="335"/>
      <c r="GT30" s="335"/>
      <c r="GU30" s="335"/>
      <c r="GV30" s="335"/>
      <c r="GW30" s="335"/>
      <c r="GX30" s="335"/>
      <c r="GY30" s="335"/>
      <c r="GZ30" s="335"/>
      <c r="HA30" s="149"/>
      <c r="HB30" s="149"/>
      <c r="HC30" s="335"/>
      <c r="HD30" s="335"/>
      <c r="HE30" s="335"/>
      <c r="HF30" s="335"/>
      <c r="HG30" s="335"/>
      <c r="HH30" s="335"/>
      <c r="HI30" s="335"/>
      <c r="HJ30" s="335"/>
      <c r="HK30" s="335"/>
      <c r="HL30" s="335"/>
      <c r="HM30" s="335"/>
      <c r="HN30" s="149"/>
      <c r="HO30" s="149"/>
      <c r="HP30" s="335"/>
      <c r="HQ30" s="335"/>
      <c r="HR30" s="335"/>
      <c r="HS30" s="335"/>
      <c r="HT30" s="335"/>
      <c r="HU30" s="335"/>
      <c r="HV30" s="335"/>
      <c r="HW30" s="335"/>
      <c r="HX30" s="335"/>
      <c r="HY30" s="335"/>
      <c r="HZ30" s="335"/>
      <c r="IA30" s="149"/>
      <c r="IB30" s="149"/>
      <c r="IC30" s="335"/>
      <c r="ID30" s="335"/>
      <c r="IE30" s="335"/>
      <c r="IF30" s="335"/>
      <c r="IG30" s="335"/>
      <c r="IH30" s="335"/>
      <c r="II30" s="335"/>
      <c r="IJ30" s="335"/>
      <c r="IK30" s="335"/>
      <c r="IL30" s="335"/>
      <c r="IM30" s="335"/>
      <c r="IN30" s="149"/>
      <c r="IO30" s="149"/>
      <c r="IP30" s="335"/>
      <c r="IQ30" s="335"/>
      <c r="IR30" s="335"/>
      <c r="IS30" s="335"/>
      <c r="IT30" s="335"/>
      <c r="IU30" s="335"/>
      <c r="IV30" s="335"/>
    </row>
    <row r="31" spans="1:256" x14ac:dyDescent="0.2">
      <c r="A31" s="158"/>
      <c r="B31" s="149"/>
      <c r="C31" s="335"/>
      <c r="D31" s="335"/>
      <c r="E31" s="335"/>
      <c r="F31" s="335"/>
      <c r="G31" s="335"/>
      <c r="H31" s="335"/>
      <c r="I31" s="335"/>
      <c r="J31" s="335"/>
      <c r="K31" s="335"/>
      <c r="L31" s="335"/>
      <c r="M31" s="336"/>
      <c r="N31" s="152"/>
      <c r="O31" s="152"/>
      <c r="P31" s="340"/>
      <c r="Q31" s="340"/>
      <c r="R31" s="340"/>
      <c r="S31" s="340"/>
      <c r="T31" s="340"/>
      <c r="U31" s="340"/>
      <c r="V31" s="340"/>
      <c r="W31" s="340"/>
      <c r="X31" s="340"/>
      <c r="Y31" s="340"/>
      <c r="Z31" s="340"/>
      <c r="AA31" s="149"/>
      <c r="AB31" s="149"/>
      <c r="AC31" s="335"/>
      <c r="AD31" s="335"/>
      <c r="AE31" s="335"/>
      <c r="AF31" s="335"/>
      <c r="AG31" s="335"/>
      <c r="AH31" s="335"/>
      <c r="AI31" s="335"/>
      <c r="AJ31" s="335"/>
      <c r="AK31" s="335"/>
      <c r="AL31" s="335"/>
      <c r="AM31" s="335"/>
      <c r="AN31" s="149"/>
      <c r="AO31" s="149"/>
      <c r="AP31" s="335"/>
      <c r="AQ31" s="335"/>
      <c r="AR31" s="335"/>
      <c r="AS31" s="335"/>
      <c r="AT31" s="335"/>
      <c r="AU31" s="335"/>
      <c r="AV31" s="335"/>
      <c r="AW31" s="335"/>
      <c r="AX31" s="335"/>
      <c r="AY31" s="335"/>
      <c r="AZ31" s="335"/>
      <c r="BA31" s="149"/>
      <c r="BB31" s="149"/>
      <c r="BC31" s="335"/>
      <c r="BD31" s="335"/>
      <c r="BE31" s="335"/>
      <c r="BF31" s="335"/>
      <c r="BG31" s="335"/>
      <c r="BH31" s="335"/>
      <c r="BI31" s="335"/>
      <c r="BJ31" s="335"/>
      <c r="BK31" s="335"/>
      <c r="BL31" s="335"/>
      <c r="BM31" s="335"/>
      <c r="BN31" s="149"/>
      <c r="BO31" s="149"/>
      <c r="BP31" s="335"/>
      <c r="BQ31" s="335"/>
      <c r="BR31" s="335"/>
      <c r="BS31" s="335"/>
      <c r="BT31" s="335"/>
      <c r="BU31" s="335"/>
      <c r="BV31" s="335"/>
      <c r="BW31" s="335"/>
      <c r="BX31" s="335"/>
      <c r="BY31" s="335"/>
      <c r="BZ31" s="335"/>
      <c r="CA31" s="149"/>
      <c r="CB31" s="149"/>
      <c r="CC31" s="335"/>
      <c r="CD31" s="335"/>
      <c r="CE31" s="335"/>
      <c r="CF31" s="335"/>
      <c r="CG31" s="335"/>
      <c r="CH31" s="335"/>
      <c r="CI31" s="335"/>
      <c r="CJ31" s="335"/>
      <c r="CK31" s="335"/>
      <c r="CL31" s="335"/>
      <c r="CM31" s="335"/>
      <c r="CN31" s="149"/>
      <c r="CO31" s="149"/>
      <c r="CP31" s="335"/>
      <c r="CQ31" s="335"/>
      <c r="CR31" s="335"/>
      <c r="CS31" s="335"/>
      <c r="CT31" s="335"/>
      <c r="CU31" s="335"/>
      <c r="CV31" s="335"/>
      <c r="CW31" s="335"/>
      <c r="CX31" s="335"/>
      <c r="CY31" s="335"/>
      <c r="CZ31" s="335"/>
      <c r="DA31" s="149"/>
      <c r="DB31" s="149"/>
      <c r="DC31" s="335"/>
      <c r="DD31" s="335"/>
      <c r="DE31" s="335"/>
      <c r="DF31" s="335"/>
      <c r="DG31" s="335"/>
      <c r="DH31" s="335"/>
      <c r="DI31" s="335"/>
      <c r="DJ31" s="335"/>
      <c r="DK31" s="335"/>
      <c r="DL31" s="335"/>
      <c r="DM31" s="335"/>
      <c r="DN31" s="149"/>
      <c r="DO31" s="149"/>
      <c r="DP31" s="335"/>
      <c r="DQ31" s="335"/>
      <c r="DR31" s="335"/>
      <c r="DS31" s="335"/>
      <c r="DT31" s="335"/>
      <c r="DU31" s="335"/>
      <c r="DV31" s="335"/>
      <c r="DW31" s="335"/>
      <c r="DX31" s="335"/>
      <c r="DY31" s="335"/>
      <c r="DZ31" s="335"/>
      <c r="EA31" s="149"/>
      <c r="EB31" s="149"/>
      <c r="EC31" s="335"/>
      <c r="ED31" s="335"/>
      <c r="EE31" s="335"/>
      <c r="EF31" s="335"/>
      <c r="EG31" s="335"/>
      <c r="EH31" s="335"/>
      <c r="EI31" s="335"/>
      <c r="EJ31" s="335"/>
      <c r="EK31" s="335"/>
      <c r="EL31" s="335"/>
      <c r="EM31" s="335"/>
      <c r="EN31" s="149"/>
      <c r="EO31" s="149"/>
      <c r="EP31" s="335"/>
      <c r="EQ31" s="335"/>
      <c r="ER31" s="335"/>
      <c r="ES31" s="335"/>
      <c r="ET31" s="335"/>
      <c r="EU31" s="335"/>
      <c r="EV31" s="335"/>
      <c r="EW31" s="335"/>
      <c r="EX31" s="335"/>
      <c r="EY31" s="335"/>
      <c r="EZ31" s="335"/>
      <c r="FA31" s="149"/>
      <c r="FB31" s="149"/>
      <c r="FC31" s="335"/>
      <c r="FD31" s="335"/>
      <c r="FE31" s="335"/>
      <c r="FF31" s="335"/>
      <c r="FG31" s="335"/>
      <c r="FH31" s="335"/>
      <c r="FI31" s="335"/>
      <c r="FJ31" s="335"/>
      <c r="FK31" s="335"/>
      <c r="FL31" s="335"/>
      <c r="FM31" s="335"/>
      <c r="FN31" s="149"/>
      <c r="FO31" s="149"/>
      <c r="FP31" s="335"/>
      <c r="FQ31" s="335"/>
      <c r="FR31" s="335"/>
      <c r="FS31" s="335"/>
      <c r="FT31" s="335"/>
      <c r="FU31" s="335"/>
      <c r="FV31" s="335"/>
      <c r="FW31" s="335"/>
      <c r="FX31" s="335"/>
      <c r="FY31" s="335"/>
      <c r="FZ31" s="335"/>
      <c r="GA31" s="149"/>
      <c r="GB31" s="149"/>
      <c r="GC31" s="335"/>
      <c r="GD31" s="335"/>
      <c r="GE31" s="335"/>
      <c r="GF31" s="335"/>
      <c r="GG31" s="335"/>
      <c r="GH31" s="335"/>
      <c r="GI31" s="335"/>
      <c r="GJ31" s="335"/>
      <c r="GK31" s="335"/>
      <c r="GL31" s="335"/>
      <c r="GM31" s="335"/>
      <c r="GN31" s="149"/>
      <c r="GO31" s="149"/>
      <c r="GP31" s="335"/>
      <c r="GQ31" s="335"/>
      <c r="GR31" s="335"/>
      <c r="GS31" s="335"/>
      <c r="GT31" s="335"/>
      <c r="GU31" s="335"/>
      <c r="GV31" s="335"/>
      <c r="GW31" s="335"/>
      <c r="GX31" s="335"/>
      <c r="GY31" s="335"/>
      <c r="GZ31" s="335"/>
      <c r="HA31" s="149"/>
      <c r="HB31" s="149"/>
      <c r="HC31" s="335"/>
      <c r="HD31" s="335"/>
      <c r="HE31" s="335"/>
      <c r="HF31" s="335"/>
      <c r="HG31" s="335"/>
      <c r="HH31" s="335"/>
      <c r="HI31" s="335"/>
      <c r="HJ31" s="335"/>
      <c r="HK31" s="335"/>
      <c r="HL31" s="335"/>
      <c r="HM31" s="335"/>
      <c r="HN31" s="149"/>
      <c r="HO31" s="149"/>
      <c r="HP31" s="335"/>
      <c r="HQ31" s="335"/>
      <c r="HR31" s="335"/>
      <c r="HS31" s="335"/>
      <c r="HT31" s="335"/>
      <c r="HU31" s="335"/>
      <c r="HV31" s="335"/>
      <c r="HW31" s="335"/>
      <c r="HX31" s="335"/>
      <c r="HY31" s="335"/>
      <c r="HZ31" s="335"/>
      <c r="IA31" s="149"/>
      <c r="IB31" s="149"/>
      <c r="IC31" s="335"/>
      <c r="ID31" s="335"/>
      <c r="IE31" s="335"/>
      <c r="IF31" s="335"/>
      <c r="IG31" s="335"/>
      <c r="IH31" s="335"/>
      <c r="II31" s="335"/>
      <c r="IJ31" s="335"/>
      <c r="IK31" s="335"/>
      <c r="IL31" s="335"/>
      <c r="IM31" s="335"/>
      <c r="IN31" s="149"/>
      <c r="IO31" s="149"/>
      <c r="IP31" s="335"/>
      <c r="IQ31" s="335"/>
      <c r="IR31" s="335"/>
      <c r="IS31" s="335"/>
      <c r="IT31" s="335"/>
      <c r="IU31" s="335"/>
      <c r="IV31" s="335"/>
    </row>
    <row r="32" spans="1:256" x14ac:dyDescent="0.2">
      <c r="A32" s="158"/>
      <c r="B32" s="149"/>
      <c r="C32" s="335"/>
      <c r="D32" s="335"/>
      <c r="E32" s="335"/>
      <c r="F32" s="335"/>
      <c r="G32" s="335"/>
      <c r="H32" s="335"/>
      <c r="I32" s="335"/>
      <c r="J32" s="335"/>
      <c r="K32" s="335"/>
      <c r="L32" s="335"/>
      <c r="M32" s="336"/>
      <c r="N32" s="152"/>
      <c r="O32" s="152"/>
      <c r="P32" s="340"/>
      <c r="Q32" s="340"/>
      <c r="R32" s="340"/>
      <c r="S32" s="340"/>
      <c r="T32" s="340"/>
      <c r="U32" s="340"/>
      <c r="V32" s="340"/>
      <c r="W32" s="340"/>
      <c r="X32" s="340"/>
      <c r="Y32" s="340"/>
      <c r="Z32" s="341"/>
      <c r="AA32" s="158"/>
      <c r="AB32" s="149"/>
      <c r="AC32" s="335"/>
      <c r="AD32" s="335"/>
      <c r="AE32" s="335"/>
      <c r="AF32" s="335"/>
      <c r="AG32" s="335"/>
      <c r="AH32" s="335"/>
      <c r="AI32" s="335"/>
      <c r="AJ32" s="335"/>
      <c r="AK32" s="335"/>
      <c r="AL32" s="335"/>
      <c r="AM32" s="336"/>
      <c r="AN32" s="158"/>
      <c r="AO32" s="149"/>
      <c r="AP32" s="335"/>
      <c r="AQ32" s="335"/>
      <c r="AR32" s="335"/>
      <c r="AS32" s="335"/>
      <c r="AT32" s="335"/>
      <c r="AU32" s="335"/>
      <c r="AV32" s="335"/>
      <c r="AW32" s="335"/>
      <c r="AX32" s="335"/>
      <c r="AY32" s="335"/>
      <c r="AZ32" s="336"/>
      <c r="BA32" s="158"/>
      <c r="BB32" s="149"/>
      <c r="BC32" s="335"/>
      <c r="BD32" s="335"/>
      <c r="BE32" s="335"/>
      <c r="BF32" s="335"/>
      <c r="BG32" s="335"/>
      <c r="BH32" s="335"/>
      <c r="BI32" s="335"/>
      <c r="BJ32" s="335"/>
      <c r="BK32" s="335"/>
      <c r="BL32" s="335"/>
      <c r="BM32" s="336"/>
      <c r="BN32" s="158"/>
      <c r="BO32" s="149"/>
      <c r="BP32" s="335"/>
      <c r="BQ32" s="335"/>
      <c r="BR32" s="335"/>
      <c r="BS32" s="335"/>
      <c r="BT32" s="335"/>
      <c r="BU32" s="335"/>
      <c r="BV32" s="335"/>
      <c r="BW32" s="335"/>
      <c r="BX32" s="335"/>
      <c r="BY32" s="335"/>
      <c r="BZ32" s="336"/>
      <c r="CA32" s="158"/>
      <c r="CB32" s="149"/>
      <c r="CC32" s="335"/>
      <c r="CD32" s="335"/>
      <c r="CE32" s="335"/>
      <c r="CF32" s="335"/>
      <c r="CG32" s="335"/>
      <c r="CH32" s="335"/>
      <c r="CI32" s="335"/>
      <c r="CJ32" s="335"/>
      <c r="CK32" s="335"/>
      <c r="CL32" s="335"/>
      <c r="CM32" s="336"/>
      <c r="CN32" s="158"/>
      <c r="CO32" s="149"/>
      <c r="CP32" s="335"/>
      <c r="CQ32" s="335"/>
      <c r="CR32" s="335"/>
      <c r="CS32" s="335"/>
      <c r="CT32" s="335"/>
      <c r="CU32" s="335"/>
      <c r="CV32" s="335"/>
      <c r="CW32" s="335"/>
      <c r="CX32" s="335"/>
      <c r="CY32" s="335"/>
      <c r="CZ32" s="336"/>
      <c r="DA32" s="158"/>
      <c r="DB32" s="149"/>
      <c r="DC32" s="335"/>
      <c r="DD32" s="335"/>
      <c r="DE32" s="335"/>
      <c r="DF32" s="335"/>
      <c r="DG32" s="335"/>
      <c r="DH32" s="335"/>
      <c r="DI32" s="335"/>
      <c r="DJ32" s="335"/>
      <c r="DK32" s="335"/>
      <c r="DL32" s="335"/>
      <c r="DM32" s="336"/>
      <c r="DN32" s="158"/>
      <c r="DO32" s="149"/>
      <c r="DP32" s="335"/>
      <c r="DQ32" s="335"/>
      <c r="DR32" s="335"/>
      <c r="DS32" s="335"/>
      <c r="DT32" s="335"/>
      <c r="DU32" s="335"/>
      <c r="DV32" s="335"/>
      <c r="DW32" s="335"/>
      <c r="DX32" s="335"/>
      <c r="DY32" s="335"/>
      <c r="DZ32" s="336"/>
      <c r="EA32" s="158"/>
      <c r="EB32" s="149"/>
      <c r="EC32" s="335"/>
      <c r="ED32" s="335"/>
      <c r="EE32" s="335"/>
      <c r="EF32" s="335"/>
      <c r="EG32" s="335"/>
      <c r="EH32" s="335"/>
      <c r="EI32" s="335"/>
      <c r="EJ32" s="335"/>
      <c r="EK32" s="335"/>
      <c r="EL32" s="335"/>
      <c r="EM32" s="336"/>
      <c r="EN32" s="158"/>
      <c r="EO32" s="149"/>
      <c r="EP32" s="335"/>
      <c r="EQ32" s="335"/>
      <c r="ER32" s="335"/>
      <c r="ES32" s="335"/>
      <c r="ET32" s="335"/>
      <c r="EU32" s="335"/>
      <c r="EV32" s="335"/>
      <c r="EW32" s="335"/>
      <c r="EX32" s="335"/>
      <c r="EY32" s="335"/>
      <c r="EZ32" s="336"/>
      <c r="FA32" s="158"/>
      <c r="FB32" s="149"/>
      <c r="FC32" s="335"/>
      <c r="FD32" s="335"/>
      <c r="FE32" s="335"/>
      <c r="FF32" s="335"/>
      <c r="FG32" s="335"/>
      <c r="FH32" s="335"/>
      <c r="FI32" s="335"/>
      <c r="FJ32" s="335"/>
      <c r="FK32" s="335"/>
      <c r="FL32" s="335"/>
      <c r="FM32" s="336"/>
      <c r="FN32" s="158"/>
      <c r="FO32" s="149"/>
      <c r="FP32" s="335"/>
      <c r="FQ32" s="335"/>
      <c r="FR32" s="335"/>
      <c r="FS32" s="335"/>
      <c r="FT32" s="335"/>
      <c r="FU32" s="335"/>
      <c r="FV32" s="335"/>
      <c r="FW32" s="335"/>
      <c r="FX32" s="335"/>
      <c r="FY32" s="335"/>
      <c r="FZ32" s="336"/>
      <c r="GA32" s="158"/>
      <c r="GB32" s="149"/>
      <c r="GC32" s="335"/>
      <c r="GD32" s="335"/>
      <c r="GE32" s="335"/>
      <c r="GF32" s="335"/>
      <c r="GG32" s="335"/>
      <c r="GH32" s="335"/>
      <c r="GI32" s="335"/>
      <c r="GJ32" s="335"/>
      <c r="GK32" s="335"/>
      <c r="GL32" s="335"/>
      <c r="GM32" s="336"/>
      <c r="GN32" s="158"/>
      <c r="GO32" s="149"/>
      <c r="GP32" s="335"/>
      <c r="GQ32" s="335"/>
      <c r="GR32" s="335"/>
      <c r="GS32" s="335"/>
      <c r="GT32" s="335"/>
      <c r="GU32" s="335"/>
      <c r="GV32" s="335"/>
      <c r="GW32" s="335"/>
      <c r="GX32" s="335"/>
      <c r="GY32" s="335"/>
      <c r="GZ32" s="336"/>
      <c r="HA32" s="158"/>
      <c r="HB32" s="149"/>
      <c r="HC32" s="335"/>
      <c r="HD32" s="335"/>
      <c r="HE32" s="335"/>
      <c r="HF32" s="335"/>
      <c r="HG32" s="335"/>
      <c r="HH32" s="335"/>
      <c r="HI32" s="335"/>
      <c r="HJ32" s="335"/>
      <c r="HK32" s="335"/>
      <c r="HL32" s="335"/>
      <c r="HM32" s="336"/>
      <c r="HN32" s="158"/>
      <c r="HO32" s="149"/>
      <c r="HP32" s="335"/>
      <c r="HQ32" s="335"/>
      <c r="HR32" s="335"/>
      <c r="HS32" s="335"/>
      <c r="HT32" s="335"/>
      <c r="HU32" s="335"/>
      <c r="HV32" s="335"/>
      <c r="HW32" s="335"/>
      <c r="HX32" s="335"/>
      <c r="HY32" s="335"/>
      <c r="HZ32" s="336"/>
      <c r="IA32" s="158"/>
      <c r="IB32" s="149"/>
      <c r="IC32" s="335"/>
      <c r="ID32" s="335"/>
      <c r="IE32" s="335"/>
      <c r="IF32" s="335"/>
      <c r="IG32" s="335"/>
      <c r="IH32" s="335"/>
      <c r="II32" s="335"/>
      <c r="IJ32" s="335"/>
      <c r="IK32" s="335"/>
      <c r="IL32" s="335"/>
      <c r="IM32" s="336"/>
      <c r="IN32" s="158"/>
      <c r="IO32" s="149"/>
      <c r="IP32" s="335"/>
      <c r="IQ32" s="335"/>
      <c r="IR32" s="335"/>
      <c r="IS32" s="335"/>
      <c r="IT32" s="335"/>
      <c r="IU32" s="335"/>
      <c r="IV32" s="335"/>
    </row>
    <row r="33" spans="1:256" x14ac:dyDescent="0.2">
      <c r="A33" s="158"/>
      <c r="B33" s="149"/>
      <c r="C33" s="335"/>
      <c r="D33" s="335"/>
      <c r="E33" s="335"/>
      <c r="F33" s="335"/>
      <c r="G33" s="335"/>
      <c r="H33" s="335"/>
      <c r="I33" s="335"/>
      <c r="J33" s="335"/>
      <c r="K33" s="335"/>
      <c r="L33" s="335"/>
      <c r="M33" s="336"/>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5"/>
      <c r="D34" s="335"/>
      <c r="E34" s="335"/>
      <c r="F34" s="335"/>
      <c r="G34" s="335"/>
      <c r="H34" s="335"/>
      <c r="I34" s="335"/>
      <c r="J34" s="335"/>
      <c r="K34" s="335"/>
      <c r="L34" s="335"/>
      <c r="M34" s="336"/>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5"/>
      <c r="D35" s="335"/>
      <c r="E35" s="335"/>
      <c r="F35" s="335"/>
      <c r="G35" s="335"/>
      <c r="H35" s="335"/>
      <c r="I35" s="335"/>
      <c r="J35" s="335"/>
      <c r="K35" s="335"/>
      <c r="L35" s="335"/>
      <c r="M35" s="336"/>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5"/>
      <c r="D36" s="335"/>
      <c r="E36" s="335"/>
      <c r="F36" s="335"/>
      <c r="G36" s="335"/>
      <c r="H36" s="335"/>
      <c r="I36" s="335"/>
      <c r="J36" s="335"/>
      <c r="K36" s="335"/>
      <c r="L36" s="335"/>
      <c r="M36" s="336"/>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5"/>
      <c r="D37" s="335"/>
      <c r="E37" s="335"/>
      <c r="F37" s="335"/>
      <c r="G37" s="335"/>
      <c r="H37" s="335"/>
      <c r="I37" s="335"/>
      <c r="J37" s="335"/>
      <c r="K37" s="335"/>
      <c r="L37" s="335"/>
      <c r="M37" s="336"/>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5"/>
      <c r="D38" s="335"/>
      <c r="E38" s="335"/>
      <c r="F38" s="335"/>
      <c r="G38" s="335"/>
      <c r="H38" s="335"/>
      <c r="I38" s="335"/>
      <c r="J38" s="335"/>
      <c r="K38" s="335"/>
      <c r="L38" s="335"/>
      <c r="M38" s="336"/>
      <c r="N38" s="152"/>
      <c r="O38" s="152"/>
      <c r="P38" s="340"/>
      <c r="Q38" s="340"/>
      <c r="R38" s="340"/>
      <c r="S38" s="340"/>
      <c r="T38" s="340"/>
      <c r="U38" s="340"/>
      <c r="V38" s="340"/>
      <c r="W38" s="340"/>
      <c r="X38" s="340"/>
      <c r="Y38" s="340"/>
      <c r="Z38" s="340"/>
      <c r="AA38" s="149"/>
      <c r="AB38" s="149"/>
      <c r="AC38" s="335"/>
      <c r="AD38" s="335"/>
      <c r="AE38" s="335"/>
      <c r="AF38" s="335"/>
      <c r="AG38" s="335"/>
      <c r="AH38" s="335"/>
      <c r="AI38" s="335"/>
      <c r="AJ38" s="335"/>
      <c r="AK38" s="335"/>
      <c r="AL38" s="335"/>
      <c r="AM38" s="335"/>
      <c r="AN38" s="149"/>
      <c r="AO38" s="149"/>
      <c r="AP38" s="335"/>
      <c r="AQ38" s="335"/>
      <c r="AR38" s="335"/>
      <c r="AS38" s="335"/>
      <c r="AT38" s="335"/>
      <c r="AU38" s="335"/>
      <c r="AV38" s="335"/>
      <c r="AW38" s="335"/>
      <c r="AX38" s="335"/>
      <c r="AY38" s="335"/>
      <c r="AZ38" s="335"/>
      <c r="BA38" s="149"/>
      <c r="BB38" s="149"/>
      <c r="BC38" s="335"/>
      <c r="BD38" s="335"/>
      <c r="BE38" s="335"/>
      <c r="BF38" s="335"/>
      <c r="BG38" s="335"/>
      <c r="BH38" s="335"/>
      <c r="BI38" s="335"/>
      <c r="BJ38" s="335"/>
      <c r="BK38" s="335"/>
      <c r="BL38" s="335"/>
      <c r="BM38" s="335"/>
      <c r="BN38" s="149"/>
      <c r="BO38" s="149"/>
      <c r="BP38" s="335"/>
      <c r="BQ38" s="335"/>
      <c r="BR38" s="335"/>
      <c r="BS38" s="335"/>
      <c r="BT38" s="335"/>
      <c r="BU38" s="335"/>
      <c r="BV38" s="335"/>
      <c r="BW38" s="335"/>
      <c r="BX38" s="335"/>
      <c r="BY38" s="335"/>
      <c r="BZ38" s="335"/>
      <c r="CA38" s="149"/>
      <c r="CB38" s="149"/>
      <c r="CC38" s="335"/>
      <c r="CD38" s="335"/>
      <c r="CE38" s="335"/>
      <c r="CF38" s="335"/>
      <c r="CG38" s="335"/>
      <c r="CH38" s="335"/>
      <c r="CI38" s="335"/>
      <c r="CJ38" s="335"/>
      <c r="CK38" s="335"/>
      <c r="CL38" s="335"/>
      <c r="CM38" s="335"/>
      <c r="CN38" s="149"/>
      <c r="CO38" s="149"/>
      <c r="CP38" s="335"/>
      <c r="CQ38" s="335"/>
      <c r="CR38" s="335"/>
      <c r="CS38" s="335"/>
      <c r="CT38" s="335"/>
      <c r="CU38" s="335"/>
      <c r="CV38" s="335"/>
      <c r="CW38" s="335"/>
      <c r="CX38" s="335"/>
      <c r="CY38" s="335"/>
      <c r="CZ38" s="335"/>
      <c r="DA38" s="149"/>
      <c r="DB38" s="149"/>
      <c r="DC38" s="335"/>
      <c r="DD38" s="335"/>
      <c r="DE38" s="335"/>
      <c r="DF38" s="335"/>
      <c r="DG38" s="335"/>
      <c r="DH38" s="335"/>
      <c r="DI38" s="335"/>
      <c r="DJ38" s="335"/>
      <c r="DK38" s="335"/>
      <c r="DL38" s="335"/>
      <c r="DM38" s="335"/>
      <c r="DN38" s="149"/>
      <c r="DO38" s="149"/>
      <c r="DP38" s="335"/>
      <c r="DQ38" s="335"/>
      <c r="DR38" s="335"/>
      <c r="DS38" s="335"/>
      <c r="DT38" s="335"/>
      <c r="DU38" s="335"/>
      <c r="DV38" s="335"/>
      <c r="DW38" s="335"/>
      <c r="DX38" s="335"/>
      <c r="DY38" s="335"/>
      <c r="DZ38" s="335"/>
      <c r="EA38" s="149"/>
      <c r="EB38" s="149"/>
      <c r="EC38" s="335"/>
      <c r="ED38" s="335"/>
      <c r="EE38" s="335"/>
      <c r="EF38" s="335"/>
      <c r="EG38" s="335"/>
      <c r="EH38" s="335"/>
      <c r="EI38" s="335"/>
      <c r="EJ38" s="335"/>
      <c r="EK38" s="335"/>
      <c r="EL38" s="335"/>
      <c r="EM38" s="335"/>
      <c r="EN38" s="149"/>
      <c r="EO38" s="149"/>
      <c r="EP38" s="335"/>
      <c r="EQ38" s="335"/>
      <c r="ER38" s="335"/>
      <c r="ES38" s="335"/>
      <c r="ET38" s="335"/>
      <c r="EU38" s="335"/>
      <c r="EV38" s="335"/>
      <c r="EW38" s="335"/>
      <c r="EX38" s="335"/>
      <c r="EY38" s="335"/>
      <c r="EZ38" s="335"/>
      <c r="FA38" s="149"/>
      <c r="FB38" s="149"/>
      <c r="FC38" s="335"/>
      <c r="FD38" s="335"/>
      <c r="FE38" s="335"/>
      <c r="FF38" s="335"/>
      <c r="FG38" s="335"/>
      <c r="FH38" s="335"/>
      <c r="FI38" s="335"/>
      <c r="FJ38" s="335"/>
      <c r="FK38" s="335"/>
      <c r="FL38" s="335"/>
      <c r="FM38" s="335"/>
      <c r="FN38" s="149"/>
      <c r="FO38" s="149"/>
      <c r="FP38" s="335"/>
      <c r="FQ38" s="335"/>
      <c r="FR38" s="335"/>
      <c r="FS38" s="335"/>
      <c r="FT38" s="335"/>
      <c r="FU38" s="335"/>
      <c r="FV38" s="335"/>
      <c r="FW38" s="335"/>
      <c r="FX38" s="335"/>
      <c r="FY38" s="335"/>
      <c r="FZ38" s="335"/>
      <c r="GA38" s="149"/>
      <c r="GB38" s="149"/>
      <c r="GC38" s="335"/>
      <c r="GD38" s="335"/>
      <c r="GE38" s="335"/>
      <c r="GF38" s="335"/>
      <c r="GG38" s="335"/>
      <c r="GH38" s="335"/>
      <c r="GI38" s="335"/>
      <c r="GJ38" s="335"/>
      <c r="GK38" s="335"/>
      <c r="GL38" s="335"/>
      <c r="GM38" s="335"/>
      <c r="GN38" s="149"/>
      <c r="GO38" s="149"/>
      <c r="GP38" s="335"/>
      <c r="GQ38" s="335"/>
      <c r="GR38" s="335"/>
      <c r="GS38" s="335"/>
      <c r="GT38" s="335"/>
      <c r="GU38" s="335"/>
      <c r="GV38" s="335"/>
      <c r="GW38" s="335"/>
      <c r="GX38" s="335"/>
      <c r="GY38" s="335"/>
      <c r="GZ38" s="335"/>
      <c r="HA38" s="149"/>
      <c r="HB38" s="149"/>
      <c r="HC38" s="335"/>
      <c r="HD38" s="335"/>
      <c r="HE38" s="335"/>
      <c r="HF38" s="335"/>
      <c r="HG38" s="335"/>
      <c r="HH38" s="335"/>
      <c r="HI38" s="335"/>
      <c r="HJ38" s="335"/>
      <c r="HK38" s="335"/>
      <c r="HL38" s="335"/>
      <c r="HM38" s="335"/>
      <c r="HN38" s="149"/>
      <c r="HO38" s="149"/>
      <c r="HP38" s="335"/>
      <c r="HQ38" s="335"/>
      <c r="HR38" s="335"/>
      <c r="HS38" s="335"/>
      <c r="HT38" s="335"/>
      <c r="HU38" s="335"/>
      <c r="HV38" s="335"/>
      <c r="HW38" s="335"/>
      <c r="HX38" s="335"/>
      <c r="HY38" s="335"/>
      <c r="HZ38" s="335"/>
      <c r="IA38" s="149"/>
      <c r="IB38" s="149"/>
      <c r="IC38" s="335"/>
      <c r="ID38" s="335"/>
      <c r="IE38" s="335"/>
      <c r="IF38" s="335"/>
      <c r="IG38" s="335"/>
      <c r="IH38" s="335"/>
      <c r="II38" s="335"/>
      <c r="IJ38" s="335"/>
      <c r="IK38" s="335"/>
      <c r="IL38" s="335"/>
      <c r="IM38" s="335"/>
      <c r="IN38" s="149"/>
      <c r="IO38" s="149"/>
      <c r="IP38" s="335"/>
      <c r="IQ38" s="335"/>
      <c r="IR38" s="335"/>
      <c r="IS38" s="335"/>
      <c r="IT38" s="335"/>
      <c r="IU38" s="335"/>
      <c r="IV38" s="335"/>
    </row>
    <row r="39" spans="1:256" x14ac:dyDescent="0.2">
      <c r="A39" s="158"/>
      <c r="B39" s="149"/>
      <c r="C39" s="335"/>
      <c r="D39" s="335"/>
      <c r="E39" s="335"/>
      <c r="F39" s="335"/>
      <c r="G39" s="335"/>
      <c r="H39" s="335"/>
      <c r="I39" s="335"/>
      <c r="J39" s="335"/>
      <c r="K39" s="335"/>
      <c r="L39" s="335"/>
      <c r="M39" s="336"/>
      <c r="N39" s="152"/>
      <c r="O39" s="152"/>
      <c r="P39" s="340"/>
      <c r="Q39" s="340"/>
      <c r="R39" s="340"/>
      <c r="S39" s="340"/>
      <c r="T39" s="340"/>
      <c r="U39" s="340"/>
      <c r="V39" s="340"/>
      <c r="W39" s="340"/>
      <c r="X39" s="340"/>
      <c r="Y39" s="340"/>
      <c r="Z39" s="340"/>
      <c r="AA39" s="149"/>
      <c r="AB39" s="149"/>
      <c r="AC39" s="335"/>
      <c r="AD39" s="335"/>
      <c r="AE39" s="335"/>
      <c r="AF39" s="335"/>
      <c r="AG39" s="335"/>
      <c r="AH39" s="335"/>
      <c r="AI39" s="335"/>
      <c r="AJ39" s="335"/>
      <c r="AK39" s="335"/>
      <c r="AL39" s="335"/>
      <c r="AM39" s="335"/>
      <c r="AN39" s="149"/>
      <c r="AO39" s="149"/>
      <c r="AP39" s="335"/>
      <c r="AQ39" s="335"/>
      <c r="AR39" s="335"/>
      <c r="AS39" s="335"/>
      <c r="AT39" s="335"/>
      <c r="AU39" s="335"/>
      <c r="AV39" s="335"/>
      <c r="AW39" s="335"/>
      <c r="AX39" s="335"/>
      <c r="AY39" s="335"/>
      <c r="AZ39" s="335"/>
      <c r="BA39" s="149"/>
      <c r="BB39" s="149"/>
      <c r="BC39" s="335"/>
      <c r="BD39" s="335"/>
      <c r="BE39" s="335"/>
      <c r="BF39" s="335"/>
      <c r="BG39" s="335"/>
      <c r="BH39" s="335"/>
      <c r="BI39" s="335"/>
      <c r="BJ39" s="335"/>
      <c r="BK39" s="335"/>
      <c r="BL39" s="335"/>
      <c r="BM39" s="335"/>
      <c r="BN39" s="149"/>
      <c r="BO39" s="149"/>
      <c r="BP39" s="335"/>
      <c r="BQ39" s="335"/>
      <c r="BR39" s="335"/>
      <c r="BS39" s="335"/>
      <c r="BT39" s="335"/>
      <c r="BU39" s="335"/>
      <c r="BV39" s="335"/>
      <c r="BW39" s="335"/>
      <c r="BX39" s="335"/>
      <c r="BY39" s="335"/>
      <c r="BZ39" s="335"/>
      <c r="CA39" s="149"/>
      <c r="CB39" s="149"/>
      <c r="CC39" s="335"/>
      <c r="CD39" s="335"/>
      <c r="CE39" s="335"/>
      <c r="CF39" s="335"/>
      <c r="CG39" s="335"/>
      <c r="CH39" s="335"/>
      <c r="CI39" s="335"/>
      <c r="CJ39" s="335"/>
      <c r="CK39" s="335"/>
      <c r="CL39" s="335"/>
      <c r="CM39" s="335"/>
      <c r="CN39" s="149"/>
      <c r="CO39" s="149"/>
      <c r="CP39" s="335"/>
      <c r="CQ39" s="335"/>
      <c r="CR39" s="335"/>
      <c r="CS39" s="335"/>
      <c r="CT39" s="335"/>
      <c r="CU39" s="335"/>
      <c r="CV39" s="335"/>
      <c r="CW39" s="335"/>
      <c r="CX39" s="335"/>
      <c r="CY39" s="335"/>
      <c r="CZ39" s="335"/>
      <c r="DA39" s="149"/>
      <c r="DB39" s="149"/>
      <c r="DC39" s="335"/>
      <c r="DD39" s="335"/>
      <c r="DE39" s="335"/>
      <c r="DF39" s="335"/>
      <c r="DG39" s="335"/>
      <c r="DH39" s="335"/>
      <c r="DI39" s="335"/>
      <c r="DJ39" s="335"/>
      <c r="DK39" s="335"/>
      <c r="DL39" s="335"/>
      <c r="DM39" s="335"/>
      <c r="DN39" s="149"/>
      <c r="DO39" s="149"/>
      <c r="DP39" s="335"/>
      <c r="DQ39" s="335"/>
      <c r="DR39" s="335"/>
      <c r="DS39" s="335"/>
      <c r="DT39" s="335"/>
      <c r="DU39" s="335"/>
      <c r="DV39" s="335"/>
      <c r="DW39" s="335"/>
      <c r="DX39" s="335"/>
      <c r="DY39" s="335"/>
      <c r="DZ39" s="335"/>
      <c r="EA39" s="149"/>
      <c r="EB39" s="149"/>
      <c r="EC39" s="335"/>
      <c r="ED39" s="335"/>
      <c r="EE39" s="335"/>
      <c r="EF39" s="335"/>
      <c r="EG39" s="335"/>
      <c r="EH39" s="335"/>
      <c r="EI39" s="335"/>
      <c r="EJ39" s="335"/>
      <c r="EK39" s="335"/>
      <c r="EL39" s="335"/>
      <c r="EM39" s="335"/>
      <c r="EN39" s="149"/>
      <c r="EO39" s="149"/>
      <c r="EP39" s="335"/>
      <c r="EQ39" s="335"/>
      <c r="ER39" s="335"/>
      <c r="ES39" s="335"/>
      <c r="ET39" s="335"/>
      <c r="EU39" s="335"/>
      <c r="EV39" s="335"/>
      <c r="EW39" s="335"/>
      <c r="EX39" s="335"/>
      <c r="EY39" s="335"/>
      <c r="EZ39" s="335"/>
      <c r="FA39" s="149"/>
      <c r="FB39" s="149"/>
      <c r="FC39" s="335"/>
      <c r="FD39" s="335"/>
      <c r="FE39" s="335"/>
      <c r="FF39" s="335"/>
      <c r="FG39" s="335"/>
      <c r="FH39" s="335"/>
      <c r="FI39" s="335"/>
      <c r="FJ39" s="335"/>
      <c r="FK39" s="335"/>
      <c r="FL39" s="335"/>
      <c r="FM39" s="335"/>
      <c r="FN39" s="149"/>
      <c r="FO39" s="149"/>
      <c r="FP39" s="335"/>
      <c r="FQ39" s="335"/>
      <c r="FR39" s="335"/>
      <c r="FS39" s="335"/>
      <c r="FT39" s="335"/>
      <c r="FU39" s="335"/>
      <c r="FV39" s="335"/>
      <c r="FW39" s="335"/>
      <c r="FX39" s="335"/>
      <c r="FY39" s="335"/>
      <c r="FZ39" s="335"/>
      <c r="GA39" s="149"/>
      <c r="GB39" s="149"/>
      <c r="GC39" s="335"/>
      <c r="GD39" s="335"/>
      <c r="GE39" s="335"/>
      <c r="GF39" s="335"/>
      <c r="GG39" s="335"/>
      <c r="GH39" s="335"/>
      <c r="GI39" s="335"/>
      <c r="GJ39" s="335"/>
      <c r="GK39" s="335"/>
      <c r="GL39" s="335"/>
      <c r="GM39" s="335"/>
      <c r="GN39" s="149"/>
      <c r="GO39" s="149"/>
      <c r="GP39" s="335"/>
      <c r="GQ39" s="335"/>
      <c r="GR39" s="335"/>
      <c r="GS39" s="335"/>
      <c r="GT39" s="335"/>
      <c r="GU39" s="335"/>
      <c r="GV39" s="335"/>
      <c r="GW39" s="335"/>
      <c r="GX39" s="335"/>
      <c r="GY39" s="335"/>
      <c r="GZ39" s="335"/>
      <c r="HA39" s="149"/>
      <c r="HB39" s="149"/>
      <c r="HC39" s="335"/>
      <c r="HD39" s="335"/>
      <c r="HE39" s="335"/>
      <c r="HF39" s="335"/>
      <c r="HG39" s="335"/>
      <c r="HH39" s="335"/>
      <c r="HI39" s="335"/>
      <c r="HJ39" s="335"/>
      <c r="HK39" s="335"/>
      <c r="HL39" s="335"/>
      <c r="HM39" s="335"/>
      <c r="HN39" s="149"/>
      <c r="HO39" s="149"/>
      <c r="HP39" s="335"/>
      <c r="HQ39" s="335"/>
      <c r="HR39" s="335"/>
      <c r="HS39" s="335"/>
      <c r="HT39" s="335"/>
      <c r="HU39" s="335"/>
      <c r="HV39" s="335"/>
      <c r="HW39" s="335"/>
      <c r="HX39" s="335"/>
      <c r="HY39" s="335"/>
      <c r="HZ39" s="335"/>
      <c r="IA39" s="149"/>
      <c r="IB39" s="149"/>
      <c r="IC39" s="335"/>
      <c r="ID39" s="335"/>
      <c r="IE39" s="335"/>
      <c r="IF39" s="335"/>
      <c r="IG39" s="335"/>
      <c r="IH39" s="335"/>
      <c r="II39" s="335"/>
      <c r="IJ39" s="335"/>
      <c r="IK39" s="335"/>
      <c r="IL39" s="335"/>
      <c r="IM39" s="335"/>
      <c r="IN39" s="149"/>
      <c r="IO39" s="149"/>
      <c r="IP39" s="335"/>
      <c r="IQ39" s="335"/>
      <c r="IR39" s="335"/>
      <c r="IS39" s="335"/>
      <c r="IT39" s="335"/>
      <c r="IU39" s="335"/>
      <c r="IV39" s="335"/>
    </row>
    <row r="40" spans="1:256" x14ac:dyDescent="0.2">
      <c r="A40" s="158"/>
      <c r="B40" s="149"/>
      <c r="C40" s="335"/>
      <c r="D40" s="335"/>
      <c r="E40" s="335"/>
      <c r="F40" s="335"/>
      <c r="G40" s="335"/>
      <c r="H40" s="335"/>
      <c r="I40" s="335"/>
      <c r="J40" s="335"/>
      <c r="K40" s="335"/>
      <c r="L40" s="335"/>
      <c r="M40" s="336"/>
      <c r="N40" s="152"/>
      <c r="O40" s="152"/>
      <c r="P40" s="340"/>
      <c r="Q40" s="340"/>
      <c r="R40" s="340"/>
      <c r="S40" s="340"/>
      <c r="T40" s="340"/>
      <c r="U40" s="340"/>
      <c r="V40" s="340"/>
      <c r="W40" s="340"/>
      <c r="X40" s="340"/>
      <c r="Y40" s="340"/>
      <c r="Z40" s="340"/>
      <c r="AA40" s="149"/>
      <c r="AB40" s="149"/>
      <c r="AC40" s="335"/>
      <c r="AD40" s="335"/>
      <c r="AE40" s="335"/>
      <c r="AF40" s="335"/>
      <c r="AG40" s="335"/>
      <c r="AH40" s="335"/>
      <c r="AI40" s="335"/>
      <c r="AJ40" s="335"/>
      <c r="AK40" s="335"/>
      <c r="AL40" s="335"/>
      <c r="AM40" s="335"/>
      <c r="AN40" s="149"/>
      <c r="AO40" s="149"/>
      <c r="AP40" s="335"/>
      <c r="AQ40" s="335"/>
      <c r="AR40" s="335"/>
      <c r="AS40" s="335"/>
      <c r="AT40" s="335"/>
      <c r="AU40" s="335"/>
      <c r="AV40" s="335"/>
      <c r="AW40" s="335"/>
      <c r="AX40" s="335"/>
      <c r="AY40" s="335"/>
      <c r="AZ40" s="335"/>
      <c r="BA40" s="149"/>
      <c r="BB40" s="149"/>
      <c r="BC40" s="335"/>
      <c r="BD40" s="335"/>
      <c r="BE40" s="335"/>
      <c r="BF40" s="335"/>
      <c r="BG40" s="335"/>
      <c r="BH40" s="335"/>
      <c r="BI40" s="335"/>
      <c r="BJ40" s="335"/>
      <c r="BK40" s="335"/>
      <c r="BL40" s="335"/>
      <c r="BM40" s="335"/>
      <c r="BN40" s="149"/>
      <c r="BO40" s="149"/>
      <c r="BP40" s="335"/>
      <c r="BQ40" s="335"/>
      <c r="BR40" s="335"/>
      <c r="BS40" s="335"/>
      <c r="BT40" s="335"/>
      <c r="BU40" s="335"/>
      <c r="BV40" s="335"/>
      <c r="BW40" s="335"/>
      <c r="BX40" s="335"/>
      <c r="BY40" s="335"/>
      <c r="BZ40" s="335"/>
      <c r="CA40" s="149"/>
      <c r="CB40" s="149"/>
      <c r="CC40" s="335"/>
      <c r="CD40" s="335"/>
      <c r="CE40" s="335"/>
      <c r="CF40" s="335"/>
      <c r="CG40" s="335"/>
      <c r="CH40" s="335"/>
      <c r="CI40" s="335"/>
      <c r="CJ40" s="335"/>
      <c r="CK40" s="335"/>
      <c r="CL40" s="335"/>
      <c r="CM40" s="335"/>
      <c r="CN40" s="149"/>
      <c r="CO40" s="149"/>
      <c r="CP40" s="335"/>
      <c r="CQ40" s="335"/>
      <c r="CR40" s="335"/>
      <c r="CS40" s="335"/>
      <c r="CT40" s="335"/>
      <c r="CU40" s="335"/>
      <c r="CV40" s="335"/>
      <c r="CW40" s="335"/>
      <c r="CX40" s="335"/>
      <c r="CY40" s="335"/>
      <c r="CZ40" s="335"/>
      <c r="DA40" s="149"/>
      <c r="DB40" s="149"/>
      <c r="DC40" s="335"/>
      <c r="DD40" s="335"/>
      <c r="DE40" s="335"/>
      <c r="DF40" s="335"/>
      <c r="DG40" s="335"/>
      <c r="DH40" s="335"/>
      <c r="DI40" s="335"/>
      <c r="DJ40" s="335"/>
      <c r="DK40" s="335"/>
      <c r="DL40" s="335"/>
      <c r="DM40" s="335"/>
      <c r="DN40" s="149"/>
      <c r="DO40" s="149"/>
      <c r="DP40" s="335"/>
      <c r="DQ40" s="335"/>
      <c r="DR40" s="335"/>
      <c r="DS40" s="335"/>
      <c r="DT40" s="335"/>
      <c r="DU40" s="335"/>
      <c r="DV40" s="335"/>
      <c r="DW40" s="335"/>
      <c r="DX40" s="335"/>
      <c r="DY40" s="335"/>
      <c r="DZ40" s="335"/>
      <c r="EA40" s="149"/>
      <c r="EB40" s="149"/>
      <c r="EC40" s="335"/>
      <c r="ED40" s="335"/>
      <c r="EE40" s="335"/>
      <c r="EF40" s="335"/>
      <c r="EG40" s="335"/>
      <c r="EH40" s="335"/>
      <c r="EI40" s="335"/>
      <c r="EJ40" s="335"/>
      <c r="EK40" s="335"/>
      <c r="EL40" s="335"/>
      <c r="EM40" s="335"/>
      <c r="EN40" s="149"/>
      <c r="EO40" s="149"/>
      <c r="EP40" s="335"/>
      <c r="EQ40" s="335"/>
      <c r="ER40" s="335"/>
      <c r="ES40" s="335"/>
      <c r="ET40" s="335"/>
      <c r="EU40" s="335"/>
      <c r="EV40" s="335"/>
      <c r="EW40" s="335"/>
      <c r="EX40" s="335"/>
      <c r="EY40" s="335"/>
      <c r="EZ40" s="335"/>
      <c r="FA40" s="149"/>
      <c r="FB40" s="149"/>
      <c r="FC40" s="335"/>
      <c r="FD40" s="335"/>
      <c r="FE40" s="335"/>
      <c r="FF40" s="335"/>
      <c r="FG40" s="335"/>
      <c r="FH40" s="335"/>
      <c r="FI40" s="335"/>
      <c r="FJ40" s="335"/>
      <c r="FK40" s="335"/>
      <c r="FL40" s="335"/>
      <c r="FM40" s="335"/>
      <c r="FN40" s="149"/>
      <c r="FO40" s="149"/>
      <c r="FP40" s="335"/>
      <c r="FQ40" s="335"/>
      <c r="FR40" s="335"/>
      <c r="FS40" s="335"/>
      <c r="FT40" s="335"/>
      <c r="FU40" s="335"/>
      <c r="FV40" s="335"/>
      <c r="FW40" s="335"/>
      <c r="FX40" s="335"/>
      <c r="FY40" s="335"/>
      <c r="FZ40" s="335"/>
      <c r="GA40" s="149"/>
      <c r="GB40" s="149"/>
      <c r="GC40" s="335"/>
      <c r="GD40" s="335"/>
      <c r="GE40" s="335"/>
      <c r="GF40" s="335"/>
      <c r="GG40" s="335"/>
      <c r="GH40" s="335"/>
      <c r="GI40" s="335"/>
      <c r="GJ40" s="335"/>
      <c r="GK40" s="335"/>
      <c r="GL40" s="335"/>
      <c r="GM40" s="335"/>
      <c r="GN40" s="149"/>
      <c r="GO40" s="149"/>
      <c r="GP40" s="335"/>
      <c r="GQ40" s="335"/>
      <c r="GR40" s="335"/>
      <c r="GS40" s="335"/>
      <c r="GT40" s="335"/>
      <c r="GU40" s="335"/>
      <c r="GV40" s="335"/>
      <c r="GW40" s="335"/>
      <c r="GX40" s="335"/>
      <c r="GY40" s="335"/>
      <c r="GZ40" s="335"/>
      <c r="HA40" s="149"/>
      <c r="HB40" s="149"/>
      <c r="HC40" s="335"/>
      <c r="HD40" s="335"/>
      <c r="HE40" s="335"/>
      <c r="HF40" s="335"/>
      <c r="HG40" s="335"/>
      <c r="HH40" s="335"/>
      <c r="HI40" s="335"/>
      <c r="HJ40" s="335"/>
      <c r="HK40" s="335"/>
      <c r="HL40" s="335"/>
      <c r="HM40" s="335"/>
      <c r="HN40" s="149"/>
      <c r="HO40" s="149"/>
      <c r="HP40" s="335"/>
      <c r="HQ40" s="335"/>
      <c r="HR40" s="335"/>
      <c r="HS40" s="335"/>
      <c r="HT40" s="335"/>
      <c r="HU40" s="335"/>
      <c r="HV40" s="335"/>
      <c r="HW40" s="335"/>
      <c r="HX40" s="335"/>
      <c r="HY40" s="335"/>
      <c r="HZ40" s="335"/>
      <c r="IA40" s="149"/>
      <c r="IB40" s="149"/>
      <c r="IC40" s="335"/>
      <c r="ID40" s="335"/>
      <c r="IE40" s="335"/>
      <c r="IF40" s="335"/>
      <c r="IG40" s="335"/>
      <c r="IH40" s="335"/>
      <c r="II40" s="335"/>
      <c r="IJ40" s="335"/>
      <c r="IK40" s="335"/>
      <c r="IL40" s="335"/>
      <c r="IM40" s="335"/>
      <c r="IN40" s="149"/>
      <c r="IO40" s="149"/>
      <c r="IP40" s="335"/>
      <c r="IQ40" s="335"/>
      <c r="IR40" s="335"/>
      <c r="IS40" s="335"/>
      <c r="IT40" s="335"/>
      <c r="IU40" s="335"/>
      <c r="IV40" s="335"/>
    </row>
    <row r="41" spans="1:256" x14ac:dyDescent="0.2">
      <c r="A41" s="158"/>
      <c r="B41" s="149"/>
      <c r="C41" s="335"/>
      <c r="D41" s="335"/>
      <c r="E41" s="335"/>
      <c r="F41" s="335"/>
      <c r="G41" s="335"/>
      <c r="H41" s="335"/>
      <c r="I41" s="335"/>
      <c r="J41" s="335"/>
      <c r="K41" s="335"/>
      <c r="L41" s="335"/>
      <c r="M41" s="336"/>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5"/>
      <c r="D42" s="335"/>
      <c r="E42" s="335"/>
      <c r="F42" s="335"/>
      <c r="G42" s="335"/>
      <c r="H42" s="335"/>
      <c r="I42" s="335"/>
      <c r="J42" s="335"/>
      <c r="K42" s="335"/>
      <c r="L42" s="335"/>
      <c r="M42" s="336"/>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5"/>
      <c r="D43" s="335"/>
      <c r="E43" s="335"/>
      <c r="F43" s="335"/>
      <c r="G43" s="335"/>
      <c r="H43" s="335"/>
      <c r="I43" s="335"/>
      <c r="J43" s="335"/>
      <c r="K43" s="335"/>
      <c r="L43" s="335"/>
      <c r="M43" s="336"/>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5"/>
      <c r="D44" s="335"/>
      <c r="E44" s="335"/>
      <c r="F44" s="335"/>
      <c r="G44" s="335"/>
      <c r="H44" s="335"/>
      <c r="I44" s="335"/>
      <c r="J44" s="335"/>
      <c r="K44" s="335"/>
      <c r="L44" s="335"/>
      <c r="M44" s="336"/>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5"/>
      <c r="D45" s="335"/>
      <c r="E45" s="335"/>
      <c r="F45" s="335"/>
      <c r="G45" s="335"/>
      <c r="H45" s="335"/>
      <c r="I45" s="335"/>
      <c r="J45" s="335"/>
      <c r="K45" s="335"/>
      <c r="L45" s="335"/>
      <c r="M45" s="336"/>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5"/>
      <c r="D46" s="335"/>
      <c r="E46" s="335"/>
      <c r="F46" s="335"/>
      <c r="G46" s="335"/>
      <c r="H46" s="335"/>
      <c r="I46" s="335"/>
      <c r="J46" s="335"/>
      <c r="K46" s="335"/>
      <c r="L46" s="335"/>
      <c r="M46" s="336"/>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5"/>
      <c r="D47" s="335"/>
      <c r="E47" s="335"/>
      <c r="F47" s="335"/>
      <c r="G47" s="335"/>
      <c r="H47" s="335"/>
      <c r="I47" s="335"/>
      <c r="J47" s="335"/>
      <c r="K47" s="335"/>
      <c r="L47" s="335"/>
      <c r="M47" s="336"/>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5"/>
      <c r="D48" s="335"/>
      <c r="E48" s="335"/>
      <c r="F48" s="335"/>
      <c r="G48" s="335"/>
      <c r="H48" s="335"/>
      <c r="I48" s="335"/>
      <c r="J48" s="335"/>
      <c r="K48" s="335"/>
      <c r="L48" s="335"/>
      <c r="M48" s="336"/>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5"/>
      <c r="D49" s="335"/>
      <c r="E49" s="335"/>
      <c r="F49" s="335"/>
      <c r="G49" s="335"/>
      <c r="H49" s="335"/>
      <c r="I49" s="335"/>
      <c r="J49" s="335"/>
      <c r="K49" s="335"/>
      <c r="L49" s="335"/>
      <c r="M49" s="336"/>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5"/>
      <c r="D50" s="335"/>
      <c r="E50" s="335"/>
      <c r="F50" s="335"/>
      <c r="G50" s="335"/>
      <c r="H50" s="335"/>
      <c r="I50" s="335"/>
      <c r="J50" s="335"/>
      <c r="K50" s="335"/>
      <c r="L50" s="335"/>
      <c r="M50" s="336"/>
    </row>
    <row r="51" spans="1:256" x14ac:dyDescent="0.2">
      <c r="A51" s="158"/>
      <c r="B51" s="149"/>
      <c r="C51" s="335"/>
      <c r="D51" s="335"/>
      <c r="E51" s="335"/>
      <c r="F51" s="335"/>
      <c r="G51" s="335"/>
      <c r="H51" s="335"/>
      <c r="I51" s="335"/>
      <c r="J51" s="335"/>
      <c r="K51" s="335"/>
      <c r="L51" s="335"/>
      <c r="M51" s="336"/>
    </row>
    <row r="52" spans="1:256" x14ac:dyDescent="0.2">
      <c r="A52" s="158"/>
      <c r="B52" s="149"/>
      <c r="C52" s="335"/>
      <c r="D52" s="335"/>
      <c r="E52" s="335"/>
      <c r="F52" s="335"/>
      <c r="G52" s="335"/>
      <c r="H52" s="335"/>
      <c r="I52" s="335"/>
      <c r="J52" s="335"/>
      <c r="K52" s="335"/>
      <c r="L52" s="335"/>
      <c r="M52" s="336"/>
    </row>
    <row r="53" spans="1:256" x14ac:dyDescent="0.2">
      <c r="A53" s="158"/>
      <c r="B53" s="149"/>
      <c r="C53" s="335"/>
      <c r="D53" s="335"/>
      <c r="E53" s="335"/>
      <c r="F53" s="335"/>
      <c r="G53" s="335"/>
      <c r="H53" s="335"/>
      <c r="I53" s="335"/>
      <c r="J53" s="335"/>
      <c r="K53" s="335"/>
      <c r="L53" s="335"/>
      <c r="M53" s="336"/>
    </row>
    <row r="54" spans="1:256" x14ac:dyDescent="0.2">
      <c r="A54" s="158"/>
      <c r="B54" s="149"/>
      <c r="C54" s="335"/>
      <c r="D54" s="335"/>
      <c r="E54" s="335"/>
      <c r="F54" s="335"/>
      <c r="G54" s="335"/>
      <c r="H54" s="335"/>
      <c r="I54" s="335"/>
      <c r="J54" s="335"/>
      <c r="K54" s="335"/>
      <c r="L54" s="335"/>
      <c r="M54" s="336"/>
    </row>
    <row r="55" spans="1:256" x14ac:dyDescent="0.2">
      <c r="A55" s="158"/>
      <c r="B55" s="149"/>
      <c r="C55" s="335"/>
      <c r="D55" s="335"/>
      <c r="E55" s="335"/>
      <c r="F55" s="335"/>
      <c r="G55" s="335"/>
      <c r="H55" s="335"/>
      <c r="I55" s="335"/>
      <c r="J55" s="335"/>
      <c r="K55" s="335"/>
      <c r="L55" s="335"/>
      <c r="M55" s="336"/>
    </row>
    <row r="56" spans="1:256" x14ac:dyDescent="0.2">
      <c r="A56" s="158"/>
      <c r="B56" s="149"/>
      <c r="C56" s="335"/>
      <c r="D56" s="335"/>
      <c r="E56" s="335"/>
      <c r="F56" s="335"/>
      <c r="G56" s="335"/>
      <c r="H56" s="335"/>
      <c r="I56" s="335"/>
      <c r="J56" s="335"/>
      <c r="K56" s="335"/>
      <c r="L56" s="335"/>
      <c r="M56" s="336"/>
    </row>
    <row r="57" spans="1:256" x14ac:dyDescent="0.2">
      <c r="A57" s="158"/>
      <c r="B57" s="149"/>
      <c r="C57" s="335"/>
      <c r="D57" s="335"/>
      <c r="E57" s="335"/>
      <c r="F57" s="335"/>
      <c r="G57" s="335"/>
      <c r="H57" s="335"/>
      <c r="I57" s="335"/>
      <c r="J57" s="335"/>
      <c r="K57" s="335"/>
      <c r="L57" s="335"/>
      <c r="M57" s="336"/>
    </row>
    <row r="58" spans="1:256" x14ac:dyDescent="0.2">
      <c r="A58" s="158"/>
      <c r="B58" s="149"/>
      <c r="C58" s="335"/>
      <c r="D58" s="335"/>
      <c r="E58" s="335"/>
      <c r="F58" s="335"/>
      <c r="G58" s="335"/>
      <c r="H58" s="335"/>
      <c r="I58" s="335"/>
      <c r="J58" s="335"/>
      <c r="K58" s="335"/>
      <c r="L58" s="335"/>
      <c r="M58" s="336"/>
    </row>
    <row r="59" spans="1:256" x14ac:dyDescent="0.2">
      <c r="A59" s="158"/>
      <c r="B59" s="149"/>
      <c r="C59" s="335"/>
      <c r="D59" s="335"/>
      <c r="E59" s="335"/>
      <c r="F59" s="335"/>
      <c r="G59" s="335"/>
      <c r="H59" s="335"/>
      <c r="I59" s="335"/>
      <c r="J59" s="335"/>
      <c r="K59" s="335"/>
      <c r="L59" s="335"/>
      <c r="M59" s="336"/>
    </row>
    <row r="60" spans="1:256" x14ac:dyDescent="0.2">
      <c r="A60" s="158"/>
      <c r="B60" s="149"/>
      <c r="C60" s="335"/>
      <c r="D60" s="335"/>
      <c r="E60" s="335"/>
      <c r="F60" s="335"/>
      <c r="G60" s="335"/>
      <c r="H60" s="335"/>
      <c r="I60" s="335"/>
      <c r="J60" s="335"/>
      <c r="K60" s="335"/>
      <c r="L60" s="335"/>
      <c r="M60" s="336"/>
    </row>
    <row r="61" spans="1:256" x14ac:dyDescent="0.2">
      <c r="A61" s="158"/>
      <c r="B61" s="149"/>
      <c r="C61" s="335"/>
      <c r="D61" s="335"/>
      <c r="E61" s="335"/>
      <c r="F61" s="335"/>
      <c r="G61" s="335"/>
      <c r="H61" s="335"/>
      <c r="I61" s="335"/>
      <c r="J61" s="335"/>
      <c r="K61" s="335"/>
      <c r="L61" s="335"/>
      <c r="M61" s="336"/>
    </row>
    <row r="62" spans="1:256" x14ac:dyDescent="0.2">
      <c r="A62" s="158"/>
      <c r="B62" s="149"/>
      <c r="C62" s="335"/>
      <c r="D62" s="335"/>
      <c r="E62" s="335"/>
      <c r="F62" s="335"/>
      <c r="G62" s="335"/>
      <c r="H62" s="335"/>
      <c r="I62" s="335"/>
      <c r="J62" s="335"/>
      <c r="K62" s="335"/>
      <c r="L62" s="335"/>
      <c r="M62" s="336"/>
    </row>
    <row r="63" spans="1:256" x14ac:dyDescent="0.2">
      <c r="A63" s="158"/>
      <c r="B63" s="149"/>
      <c r="C63" s="335"/>
      <c r="D63" s="335"/>
      <c r="E63" s="335"/>
      <c r="F63" s="335"/>
      <c r="G63" s="335"/>
      <c r="H63" s="335"/>
      <c r="I63" s="335"/>
      <c r="J63" s="335"/>
      <c r="K63" s="335"/>
      <c r="L63" s="335"/>
      <c r="M63" s="336"/>
    </row>
    <row r="64" spans="1:256" x14ac:dyDescent="0.2">
      <c r="A64" s="158"/>
      <c r="B64" s="149"/>
      <c r="C64" s="335"/>
      <c r="D64" s="335"/>
      <c r="E64" s="335"/>
      <c r="F64" s="335"/>
      <c r="G64" s="335"/>
      <c r="H64" s="335"/>
      <c r="I64" s="335"/>
      <c r="J64" s="335"/>
      <c r="K64" s="335"/>
      <c r="L64" s="335"/>
      <c r="M64" s="336"/>
    </row>
    <row r="65" spans="1:13" x14ac:dyDescent="0.2">
      <c r="A65" s="158"/>
      <c r="B65" s="149"/>
      <c r="C65" s="335"/>
      <c r="D65" s="335"/>
      <c r="E65" s="335"/>
      <c r="F65" s="335"/>
      <c r="G65" s="335"/>
      <c r="H65" s="335"/>
      <c r="I65" s="335"/>
      <c r="J65" s="335"/>
      <c r="K65" s="335"/>
      <c r="L65" s="335"/>
      <c r="M65" s="336"/>
    </row>
    <row r="66" spans="1:13" x14ac:dyDescent="0.2">
      <c r="A66" s="158"/>
      <c r="B66" s="149"/>
      <c r="C66" s="335"/>
      <c r="D66" s="335"/>
      <c r="E66" s="335"/>
      <c r="F66" s="335"/>
      <c r="G66" s="335"/>
      <c r="H66" s="335"/>
      <c r="I66" s="335"/>
      <c r="J66" s="335"/>
      <c r="K66" s="335"/>
      <c r="L66" s="335"/>
      <c r="M66" s="336"/>
    </row>
    <row r="67" spans="1:13" x14ac:dyDescent="0.2">
      <c r="A67" s="158"/>
      <c r="B67" s="149"/>
      <c r="C67" s="335"/>
      <c r="D67" s="335"/>
      <c r="E67" s="335"/>
      <c r="F67" s="335"/>
      <c r="G67" s="335"/>
      <c r="H67" s="335"/>
      <c r="I67" s="335"/>
      <c r="J67" s="335"/>
      <c r="K67" s="335"/>
      <c r="L67" s="335"/>
      <c r="M67" s="336"/>
    </row>
    <row r="68" spans="1:13" x14ac:dyDescent="0.2">
      <c r="A68" s="158"/>
      <c r="B68" s="149"/>
      <c r="C68" s="335"/>
      <c r="D68" s="335"/>
      <c r="E68" s="335"/>
      <c r="F68" s="335"/>
      <c r="G68" s="335"/>
      <c r="H68" s="335"/>
      <c r="I68" s="335"/>
      <c r="J68" s="335"/>
      <c r="K68" s="335"/>
      <c r="L68" s="335"/>
      <c r="M68" s="336"/>
    </row>
    <row r="69" spans="1:13" x14ac:dyDescent="0.2">
      <c r="A69" s="158"/>
      <c r="B69" s="149"/>
      <c r="C69" s="335"/>
      <c r="D69" s="335"/>
      <c r="E69" s="335"/>
      <c r="F69" s="335"/>
      <c r="G69" s="335"/>
      <c r="H69" s="335"/>
      <c r="I69" s="335"/>
      <c r="J69" s="335"/>
      <c r="K69" s="335"/>
      <c r="L69" s="335"/>
      <c r="M69" s="336"/>
    </row>
    <row r="70" spans="1:13" ht="12" thickBot="1" x14ac:dyDescent="0.25">
      <c r="A70" s="159"/>
      <c r="B70" s="160"/>
      <c r="C70" s="337"/>
      <c r="D70" s="337"/>
      <c r="E70" s="337"/>
      <c r="F70" s="337"/>
      <c r="G70" s="337"/>
      <c r="H70" s="337"/>
      <c r="I70" s="337"/>
      <c r="J70" s="337"/>
      <c r="K70" s="337"/>
      <c r="L70" s="337"/>
      <c r="M70" s="338"/>
    </row>
    <row r="71" spans="1:13" ht="12" thickTop="1" x14ac:dyDescent="0.2">
      <c r="A71" s="150"/>
      <c r="B71" s="150"/>
      <c r="C71" s="151"/>
      <c r="D71" s="151"/>
      <c r="E71" s="151"/>
      <c r="F71" s="151"/>
      <c r="G71" s="151"/>
      <c r="H71" s="151"/>
      <c r="I71" s="151"/>
      <c r="J71" s="151"/>
      <c r="K71" s="151"/>
      <c r="L71" s="151"/>
    </row>
    <row r="72" spans="1:13" ht="12.75" x14ac:dyDescent="0.2">
      <c r="A72" s="339" t="s">
        <v>828</v>
      </c>
      <c r="B72" s="339"/>
      <c r="C72" s="339"/>
      <c r="D72" s="339"/>
      <c r="E72" s="339"/>
    </row>
    <row r="73" spans="1:13" x14ac:dyDescent="0.2">
      <c r="A73" s="130" t="s">
        <v>761</v>
      </c>
      <c r="B73" s="130" t="s">
        <v>762</v>
      </c>
      <c r="C73" s="321"/>
      <c r="D73" s="321"/>
      <c r="E73" s="321"/>
      <c r="F73" s="321"/>
      <c r="G73" s="321"/>
      <c r="H73" s="321"/>
      <c r="I73" s="321"/>
      <c r="J73" s="321"/>
      <c r="K73" s="321"/>
      <c r="L73" s="321"/>
      <c r="M73" s="321"/>
    </row>
    <row r="74" spans="1:13" x14ac:dyDescent="0.2">
      <c r="A74" s="152"/>
      <c r="B74" s="152"/>
      <c r="C74" s="321"/>
      <c r="D74" s="321"/>
      <c r="E74" s="321"/>
      <c r="F74" s="321"/>
      <c r="G74" s="321"/>
      <c r="H74" s="321"/>
      <c r="I74" s="321"/>
      <c r="J74" s="321"/>
      <c r="K74" s="321"/>
      <c r="L74" s="321"/>
      <c r="M74" s="321"/>
    </row>
    <row r="75" spans="1:13" x14ac:dyDescent="0.2">
      <c r="A75" s="152"/>
      <c r="B75" s="152"/>
      <c r="C75" s="321"/>
      <c r="D75" s="321"/>
      <c r="E75" s="321"/>
      <c r="F75" s="321"/>
      <c r="G75" s="321"/>
      <c r="H75" s="321"/>
      <c r="I75" s="321"/>
      <c r="J75" s="321"/>
      <c r="K75" s="321"/>
      <c r="L75" s="321"/>
      <c r="M75" s="321"/>
    </row>
    <row r="76" spans="1:13" x14ac:dyDescent="0.2">
      <c r="A76" s="152"/>
      <c r="B76" s="152"/>
      <c r="C76" s="321"/>
      <c r="D76" s="321"/>
      <c r="E76" s="321"/>
      <c r="F76" s="321"/>
      <c r="G76" s="321"/>
      <c r="H76" s="321"/>
      <c r="I76" s="321"/>
      <c r="J76" s="321"/>
      <c r="K76" s="321"/>
      <c r="L76" s="321"/>
      <c r="M76" s="321"/>
    </row>
    <row r="77" spans="1:13" x14ac:dyDescent="0.2">
      <c r="A77" s="152"/>
      <c r="B77" s="152"/>
      <c r="C77" s="321"/>
      <c r="D77" s="321"/>
      <c r="E77" s="321"/>
      <c r="F77" s="321"/>
      <c r="G77" s="321"/>
      <c r="H77" s="321"/>
      <c r="I77" s="321"/>
      <c r="J77" s="321"/>
      <c r="K77" s="321"/>
      <c r="L77" s="321"/>
      <c r="M77" s="321"/>
    </row>
    <row r="78" spans="1:13" x14ac:dyDescent="0.2">
      <c r="A78" s="152"/>
      <c r="B78" s="152"/>
      <c r="C78" s="321"/>
      <c r="D78" s="321"/>
      <c r="E78" s="321"/>
      <c r="F78" s="321"/>
      <c r="G78" s="321"/>
      <c r="H78" s="321"/>
      <c r="I78" s="321"/>
      <c r="J78" s="321"/>
      <c r="K78" s="321"/>
      <c r="L78" s="321"/>
      <c r="M78" s="321"/>
    </row>
    <row r="79" spans="1:13" x14ac:dyDescent="0.2">
      <c r="A79" s="152"/>
      <c r="B79" s="152"/>
      <c r="C79" s="321"/>
      <c r="D79" s="321"/>
      <c r="E79" s="321"/>
      <c r="F79" s="321"/>
      <c r="G79" s="321"/>
      <c r="H79" s="321"/>
      <c r="I79" s="321"/>
      <c r="J79" s="321"/>
      <c r="K79" s="321"/>
      <c r="L79" s="321"/>
      <c r="M79" s="321"/>
    </row>
    <row r="80" spans="1:13" x14ac:dyDescent="0.2">
      <c r="A80" s="152"/>
      <c r="B80" s="152"/>
      <c r="C80" s="321"/>
      <c r="D80" s="321"/>
      <c r="E80" s="321"/>
      <c r="F80" s="321"/>
      <c r="G80" s="321"/>
      <c r="H80" s="321"/>
      <c r="I80" s="321"/>
      <c r="J80" s="321"/>
      <c r="K80" s="321"/>
      <c r="L80" s="321"/>
      <c r="M80" s="321"/>
    </row>
    <row r="81" spans="1:13" x14ac:dyDescent="0.2">
      <c r="A81" s="152"/>
      <c r="B81" s="152"/>
      <c r="C81" s="321"/>
      <c r="D81" s="321"/>
      <c r="E81" s="321"/>
      <c r="F81" s="321"/>
      <c r="G81" s="321"/>
      <c r="H81" s="321"/>
      <c r="I81" s="321"/>
      <c r="J81" s="321"/>
      <c r="K81" s="321"/>
      <c r="L81" s="321"/>
      <c r="M81" s="321"/>
    </row>
    <row r="82" spans="1:13" x14ac:dyDescent="0.2">
      <c r="A82" s="152"/>
      <c r="B82" s="152"/>
      <c r="C82" s="321"/>
      <c r="D82" s="321"/>
      <c r="E82" s="321"/>
      <c r="F82" s="321"/>
      <c r="G82" s="321"/>
      <c r="H82" s="321"/>
      <c r="I82" s="321"/>
      <c r="J82" s="321"/>
      <c r="K82" s="321"/>
      <c r="L82" s="321"/>
      <c r="M82" s="321"/>
    </row>
    <row r="83" spans="1:13" x14ac:dyDescent="0.2">
      <c r="A83" s="152"/>
      <c r="B83" s="152"/>
      <c r="C83" s="321"/>
      <c r="D83" s="321"/>
      <c r="E83" s="321"/>
      <c r="F83" s="321"/>
      <c r="G83" s="321"/>
      <c r="H83" s="321"/>
      <c r="I83" s="321"/>
      <c r="J83" s="321"/>
      <c r="K83" s="321"/>
      <c r="L83" s="321"/>
      <c r="M83" s="321"/>
    </row>
    <row r="84" spans="1:13" x14ac:dyDescent="0.2">
      <c r="A84" s="152"/>
      <c r="B84" s="152"/>
      <c r="C84" s="321"/>
      <c r="D84" s="321"/>
      <c r="E84" s="321"/>
      <c r="F84" s="321"/>
      <c r="G84" s="321"/>
      <c r="H84" s="321"/>
      <c r="I84" s="321"/>
      <c r="J84" s="321"/>
      <c r="K84" s="321"/>
      <c r="L84" s="321"/>
      <c r="M84" s="321"/>
    </row>
    <row r="85" spans="1:13" x14ac:dyDescent="0.2">
      <c r="A85" s="152"/>
      <c r="B85" s="152"/>
      <c r="C85" s="321"/>
      <c r="D85" s="321"/>
      <c r="E85" s="321"/>
      <c r="F85" s="321"/>
      <c r="G85" s="321"/>
      <c r="H85" s="321"/>
      <c r="I85" s="321"/>
      <c r="J85" s="321"/>
      <c r="K85" s="321"/>
      <c r="L85" s="321"/>
      <c r="M85" s="321"/>
    </row>
    <row r="86" spans="1:13" x14ac:dyDescent="0.2">
      <c r="A86" s="152"/>
      <c r="B86" s="152"/>
      <c r="C86" s="321"/>
      <c r="D86" s="321"/>
      <c r="E86" s="321"/>
      <c r="F86" s="321"/>
      <c r="G86" s="321"/>
      <c r="H86" s="321"/>
      <c r="I86" s="321"/>
      <c r="J86" s="321"/>
      <c r="K86" s="321"/>
      <c r="L86" s="321"/>
      <c r="M86" s="321"/>
    </row>
    <row r="87" spans="1:13" x14ac:dyDescent="0.2">
      <c r="A87" s="152"/>
      <c r="B87" s="152"/>
      <c r="C87" s="321"/>
      <c r="D87" s="321"/>
      <c r="E87" s="321"/>
      <c r="F87" s="321"/>
      <c r="G87" s="321"/>
      <c r="H87" s="321"/>
      <c r="I87" s="321"/>
      <c r="J87" s="321"/>
      <c r="K87" s="321"/>
      <c r="L87" s="321"/>
      <c r="M87" s="321"/>
    </row>
    <row r="88" spans="1:13" x14ac:dyDescent="0.2">
      <c r="A88" s="152"/>
      <c r="B88" s="152"/>
      <c r="C88" s="321"/>
      <c r="D88" s="321"/>
      <c r="E88" s="321"/>
      <c r="F88" s="321"/>
      <c r="G88" s="321"/>
      <c r="H88" s="321"/>
      <c r="I88" s="321"/>
      <c r="J88" s="321"/>
      <c r="K88" s="321"/>
      <c r="L88" s="321"/>
      <c r="M88" s="321"/>
    </row>
    <row r="89" spans="1:13" x14ac:dyDescent="0.2">
      <c r="A89" s="152"/>
      <c r="B89" s="152"/>
      <c r="C89" s="321"/>
      <c r="D89" s="321"/>
      <c r="E89" s="321"/>
      <c r="F89" s="321"/>
      <c r="G89" s="321"/>
      <c r="H89" s="321"/>
      <c r="I89" s="321"/>
      <c r="J89" s="321"/>
      <c r="K89" s="321"/>
      <c r="L89" s="321"/>
      <c r="M89" s="321"/>
    </row>
    <row r="90" spans="1:13" x14ac:dyDescent="0.2">
      <c r="A90" s="152"/>
      <c r="B90" s="152"/>
      <c r="C90" s="321"/>
      <c r="D90" s="321"/>
      <c r="E90" s="321"/>
      <c r="F90" s="321"/>
      <c r="G90" s="321"/>
      <c r="H90" s="321"/>
      <c r="I90" s="321"/>
      <c r="J90" s="321"/>
      <c r="K90" s="321"/>
      <c r="L90" s="321"/>
      <c r="M90" s="321"/>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A308" workbookViewId="0">
      <selection activeCell="G348" sqref="G348"/>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6"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89</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IFERROR(SMALL($T$4:$T$75,ROWS($T$4:T4)),"")</f>
        <v>15</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IFERROR(SMALL(AE4:$AE$100,ROWS($AE$4:AE4)),"")</f>
        <v>19</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f>IFERROR(SMALL($I$4:$I$325,ROWS($I$4:I5)),"")</f>
        <v>97</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f>IF('School Level Expenditures'!$B$2='School Tables'!L18,'School Tables'!S18,"")</f>
        <v>15</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f>IF('School Level Expenditures'!$B$2='School Tables'!W22,'School Tables'!AD22,"")</f>
        <v>19</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f>IF('School Level Expenditures'!$B$2=A92,'School Tables'!H92,"")</f>
        <v>89</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f>IF('School Level Expenditures'!$B$2=A100,'School Tables'!H100,"")</f>
        <v>97</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f>IF('School Level Expenditures'!$B$2=A333,'School Tables'!H333,"")</f>
        <v>330</v>
      </c>
      <c r="J333" s="281">
        <v>11</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2024-11-06T23:20:41Z</cp:lastPrinted>
  <dcterms:created xsi:type="dcterms:W3CDTF">1997-12-04T19:04:30Z</dcterms:created>
  <dcterms:modified xsi:type="dcterms:W3CDTF">2024-12-20T18:41:25Z</dcterms:modified>
</cp:coreProperties>
</file>