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2CB420F-6BF6-4DA8-9C8F-FC46185105D2}"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2" i="2" l="1"/>
  <c r="F57" i="1"/>
  <c r="F473" i="1" l="1"/>
  <c r="E40" i="14" l="1"/>
  <c r="E6" i="14"/>
  <c r="I49" i="1" l="1"/>
  <c r="I24" i="1"/>
  <c r="I22" i="1"/>
  <c r="J498" i="1" l="1"/>
  <c r="J493" i="1"/>
  <c r="I493" i="1"/>
  <c r="H493" i="1"/>
  <c r="J492" i="1"/>
  <c r="I492" i="1"/>
  <c r="H492" i="1"/>
  <c r="H13" i="1"/>
  <c r="H43" i="1"/>
  <c r="H9" i="1"/>
  <c r="H98" i="1"/>
  <c r="F14" i="1" l="1"/>
  <c r="I401" i="1"/>
  <c r="J469" i="1"/>
  <c r="G469" i="1"/>
  <c r="G110" i="1"/>
  <c r="G97" i="1" l="1"/>
  <c r="J605" i="1"/>
  <c r="H605" i="1"/>
  <c r="F96" i="1" l="1"/>
  <c r="J524" i="1" l="1"/>
  <c r="J522" i="1"/>
  <c r="G524" i="1"/>
  <c r="G522" i="1"/>
  <c r="H234" i="1"/>
  <c r="F98" i="1"/>
  <c r="F24" i="1"/>
  <c r="F10" i="1"/>
  <c r="F9" i="1"/>
  <c r="H321" i="1"/>
  <c r="F321" i="1"/>
  <c r="H155" i="1"/>
  <c r="H159" i="1"/>
  <c r="H154" i="1"/>
  <c r="H135" i="1"/>
  <c r="G30" i="1"/>
  <c r="H361" i="1"/>
  <c r="J244" i="1"/>
  <c r="I244" i="1"/>
  <c r="H244" i="1"/>
  <c r="G244" i="1"/>
  <c r="F244" i="1"/>
  <c r="H242" i="1"/>
  <c r="J234" i="1"/>
  <c r="G234" i="1"/>
  <c r="F234" i="1"/>
  <c r="J208" i="1"/>
  <c r="H208" i="1"/>
  <c r="G208" i="1"/>
  <c r="F208" i="1"/>
  <c r="H206" i="1"/>
  <c r="J198" i="1"/>
  <c r="G198" i="1"/>
  <c r="F198" i="1"/>
  <c r="H256" i="1" l="1"/>
  <c r="K264" i="1"/>
  <c r="I473" i="1"/>
  <c r="G473"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C125" i="2" l="1"/>
  <c r="H125" i="2" s="1"/>
  <c r="H43" i="2"/>
  <c r="G646" i="1"/>
  <c r="H99" i="2"/>
  <c r="G663" i="1"/>
  <c r="H113" i="2"/>
  <c r="I112" i="1"/>
  <c r="E120" i="2"/>
  <c r="F409" i="1"/>
  <c r="H644" i="1" s="1"/>
  <c r="H79" i="2"/>
  <c r="H93" i="2"/>
  <c r="E112" i="2"/>
  <c r="C85" i="2"/>
  <c r="H22" i="2"/>
  <c r="H58" i="2"/>
  <c r="H102" i="2"/>
  <c r="H98" i="2"/>
  <c r="H15" i="2"/>
  <c r="H11" i="2"/>
  <c r="H69" i="2"/>
  <c r="H97" i="2"/>
  <c r="H87" i="2"/>
  <c r="F85" i="2"/>
  <c r="F91" i="2" s="1"/>
  <c r="H140" i="1"/>
  <c r="H38" i="2"/>
  <c r="H25" i="2"/>
  <c r="H73" i="2"/>
  <c r="H143" i="2"/>
  <c r="G409" i="1"/>
  <c r="H646" i="1" s="1"/>
  <c r="J646" i="1" s="1"/>
  <c r="H72" i="2"/>
  <c r="C32" i="10"/>
  <c r="H94" i="2"/>
  <c r="I409" i="1"/>
  <c r="J652" i="1"/>
  <c r="G62" i="2"/>
  <c r="G63" i="2" s="1"/>
  <c r="D144" i="2"/>
  <c r="H77" i="2"/>
  <c r="H89" i="2"/>
  <c r="D18" i="13"/>
  <c r="C18" i="13" s="1"/>
  <c r="H24" i="2"/>
  <c r="H36" i="2"/>
  <c r="H44" i="2"/>
  <c r="H101" i="2"/>
  <c r="H76" i="2"/>
  <c r="H35" i="2"/>
  <c r="H9" i="2"/>
  <c r="E13" i="13"/>
  <c r="C13" i="13" s="1"/>
  <c r="H28" i="2"/>
  <c r="H17" i="2"/>
  <c r="H47" i="2"/>
  <c r="H96" i="2"/>
  <c r="H80" i="2"/>
  <c r="H137" i="2"/>
  <c r="H59" i="2"/>
  <c r="H34" i="2"/>
  <c r="H100" i="2"/>
  <c r="H27" i="2"/>
  <c r="H132" i="2"/>
  <c r="H42" i="2"/>
  <c r="H13" i="2"/>
  <c r="H8" i="2"/>
  <c r="H48" i="2"/>
  <c r="D29" i="13"/>
  <c r="C29" i="13" s="1"/>
  <c r="G662" i="1"/>
  <c r="H61" i="2"/>
  <c r="C120" i="2"/>
  <c r="D15" i="13"/>
  <c r="C15" i="13" s="1"/>
  <c r="C13" i="10"/>
  <c r="C12" i="10"/>
  <c r="K36" i="14"/>
  <c r="K37" i="14" s="1"/>
  <c r="C119" i="2"/>
  <c r="C112" i="2"/>
  <c r="H112" i="2" s="1"/>
  <c r="K2" i="14"/>
  <c r="K3" i="14" s="1"/>
  <c r="H29" i="2"/>
  <c r="G477" i="1"/>
  <c r="H624" i="1" s="1"/>
  <c r="J624" i="1" s="1"/>
  <c r="H477" i="1"/>
  <c r="H625" i="1" s="1"/>
  <c r="J625" i="1" s="1"/>
  <c r="H30"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0" i="2" l="1"/>
  <c r="L572" i="1"/>
  <c r="H91" i="2"/>
  <c r="H57" i="2"/>
  <c r="H122" i="2"/>
  <c r="E144" i="2"/>
  <c r="H21" i="2"/>
  <c r="H78" i="2"/>
  <c r="H134" i="2"/>
  <c r="H103" i="2"/>
  <c r="H85" i="2"/>
  <c r="H16" i="2"/>
  <c r="E51" i="2"/>
  <c r="I662" i="1"/>
  <c r="D128" i="2"/>
  <c r="D145" i="2" s="1"/>
  <c r="H127" i="2"/>
  <c r="H62" i="2"/>
  <c r="I663" i="1"/>
  <c r="H119" i="2"/>
  <c r="H18" i="2"/>
  <c r="D51" i="2"/>
  <c r="H50" i="2"/>
  <c r="H31"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<sst xmlns="http://schemas.openxmlformats.org/spreadsheetml/2006/main" count="6651" uniqueCount="1853">
  <si>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</si>
  <si>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</si>
  <si>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</si>
  <si>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</si>
  <si>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</si>
  <si>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</si>
  <si>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</si>
  <si>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</si>
  <si>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</si>
  <si>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</si>
  <si>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</si>
  <si>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</si>
  <si>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</si>
  <si>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</si>
  <si>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</si>
  <si>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</si>
  <si>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</si>
  <si>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</si>
  <si>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</si>
  <si>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</si>
  <si>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</si>
  <si>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</si>
  <si>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</si>
  <si>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</si>
  <si>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</si>
  <si>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</si>
  <si>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</si>
  <si>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</si>
  <si>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</si>
  <si>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</si>
  <si>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</si>
  <si>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</si>
  <si>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</si>
  <si>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</si>
  <si>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</si>
  <si>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</si>
  <si>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</si>
  <si>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</si>
  <si>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</si>
  <si>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</si>
  <si>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</si>
  <si>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</si>
  <si>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</si>
  <si>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</si>
  <si>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</si>
  <si>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</si>
  <si>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</si>
  <si>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</si>
  <si>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</si>
  <si>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</si>
  <si>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</si>
  <si>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</si>
  <si>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</si>
  <si>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</si>
  <si>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</si>
  <si>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</si>
  <si>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</si>
  <si>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</si>
  <si>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</si>
  <si>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</si>
  <si>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</si>
  <si>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</si>
  <si>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</si>
  <si>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</si>
  <si>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</si>
  <si>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</si>
  <si>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</si>
  <si>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</si>
  <si>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</si>
  <si>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</si>
  <si>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</si>
  <si>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</si>
  <si>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</si>
  <si>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</si>
  <si>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</si>
  <si>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</si>
  <si>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</si>
  <si>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</si>
  <si>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</si>
  <si>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</si>
  <si>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</si>
  <si>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</si>
  <si>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</si>
  <si>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</si>
  <si>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</si>
  <si>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</si>
  <si>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</si>
  <si>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</si>
  <si>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</si>
  <si>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</si>
  <si>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</si>
  <si>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</si>
  <si>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</si>
  <si>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</si>
  <si>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</si>
  <si>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</si>
  <si>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</si>
  <si>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</si>
  <si>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</si>
  <si>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</si>
  <si>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</si>
  <si>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</si>
  <si>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</si>
  <si>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</si>
  <si>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</si>
  <si>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</si>
  <si>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</si>
  <si>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</si>
  <si>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</si>
  <si>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</si>
  <si>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</si>
  <si>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</si>
  <si>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</si>
  <si>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</si>
  <si>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</si>
  <si>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</si>
  <si>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</si>
  <si>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</si>
  <si>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</si>
  <si>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</si>
  <si>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</si>
  <si>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</si>
  <si>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</si>
  <si>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</si>
  <si>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</si>
  <si>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</si>
  <si>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</si>
  <si>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</si>
  <si>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</si>
  <si>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</si>
  <si>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</si>
  <si>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</si>
  <si>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</si>
  <si>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</si>
  <si>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</si>
  <si>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</si>
  <si>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</si>
  <si>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</si>
  <si>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</si>
  <si>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</si>
  <si>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</si>
  <si>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</si>
  <si>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</si>
  <si>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</si>
  <si>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</si>
  <si>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</si>
  <si>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</si>
  <si>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</si>
  <si>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</si>
  <si>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</si>
  <si>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</si>
  <si>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</si>
  <si>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</si>
  <si>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</si>
  <si>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</si>
  <si>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</si>
  <si>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</si>
  <si>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</si>
  <si>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</si>
  <si>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</si>
  <si>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</si>
  <si>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</si>
  <si>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</si>
  <si>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</si>
  <si>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</si>
  <si>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</si>
  <si>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</si>
  <si>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</si>
  <si>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</si>
  <si>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</si>
  <si>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</si>
  <si>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</si>
  <si>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</si>
  <si>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</si>
  <si>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</si>
  <si>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</si>
  <si>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</si>
  <si>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</si>
  <si>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</si>
  <si>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</si>
  <si>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</si>
  <si>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</si>
  <si>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</si>
  <si>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</si>
  <si>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</si>
  <si>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</si>
  <si>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</si>
  <si>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</si>
  <si>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</si>
  <si>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</si>
  <si>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</si>
  <si>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</si>
  <si>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</si>
  <si>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</si>
  <si>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</si>
  <si>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</si>
  <si>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</si>
  <si>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</si>
  <si>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</si>
  <si>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</si>
  <si>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</si>
  <si>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</si>
  <si>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</si>
  <si>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</si>
  <si>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</si>
  <si>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</si>
  <si>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</si>
  <si>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</si>
  <si>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</si>
  <si>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</si>
  <si>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</si>
  <si>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</si>
  <si>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</si>
  <si>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</si>
  <si>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</si>
  <si>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</si>
  <si>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</si>
  <si>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</si>
  <si>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</si>
  <si>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</si>
  <si>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</si>
  <si>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</si>
  <si>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</si>
  <si>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</si>
  <si>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</si>
  <si>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</si>
  <si>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</si>
  <si>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</si>
  <si>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</si>
  <si>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</si>
  <si>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</si>
  <si>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</si>
  <si>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</si>
  <si>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</si>
  <si>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</si>
  <si>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</si>
  <si>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</si>
  <si>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</si>
  <si>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</si>
  <si>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</si>
  <si>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</si>
  <si>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</si>
  <si>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</si>
  <si>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</si>
  <si>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</si>
  <si>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</si>
  <si>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</si>
  <si>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</si>
  <si>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</si>
  <si>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</si>
  <si>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</si>
  <si>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</si>
  <si>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</si>
  <si>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</si>
  <si>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</si>
  <si>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</si>
  <si>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</si>
  <si>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</si>
  <si>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</si>
  <si>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</si>
  <si>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</si>
  <si>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</si>
  <si>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</si>
  <si>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</si>
  <si>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</si>
  <si>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</si>
  <si>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</si>
  <si>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</si>
  <si>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</si>
  <si>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</si>
  <si>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</si>
  <si>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</si>
  <si>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</si>
  <si>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</si>
  <si>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</si>
  <si>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</si>
  <si>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</si>
  <si>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</si>
  <si>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</si>
  <si>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</si>
  <si>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</si>
  <si>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</si>
  <si>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</si>
  <si>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</si>
  <si>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</si>
  <si>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</si>
  <si>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</si>
  <si>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</si>
  <si>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</si>
  <si>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</si>
  <si>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</si>
  <si>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</si>
  <si>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</si>
  <si>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</si>
  <si>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</si>
  <si>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</si>
  <si>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</si>
  <si>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</si>
  <si>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</si>
  <si>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</si>
  <si>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</si>
  <si>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</si>
  <si>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</si>
  <si>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</si>
  <si>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</si>
  <si>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</si>
  <si>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</si>
  <si>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</si>
  <si>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</si>
  <si>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</si>
  <si>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</si>
  <si>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</si>
  <si>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</si>
  <si>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</si>
  <si>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</si>
  <si>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</si>
  <si>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</si>
  <si>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</si>
  <si>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</si>
  <si>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</si>
  <si>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</si>
  <si>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</si>
  <si>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</si>
  <si>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</si>
  <si>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</si>
  <si>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</si>
  <si>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</si>
  <si>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</si>
  <si>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</si>
  <si>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</si>
  <si>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</si>
  <si>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</si>
  <si>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</si>
  <si>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</si>
  <si>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</si>
  <si>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</si>
  <si>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</si>
  <si>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</si>
  <si>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</si>
  <si>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</si>
  <si>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</si>
  <si>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</si>
  <si>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</si>
  <si>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</si>
  <si>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</si>
  <si>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</si>
  <si>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</si>
  <si>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</si>
  <si>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</si>
  <si>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</si>
  <si>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</si>
  <si>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</si>
  <si>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</si>
  <si>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</si>
  <si>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</si>
  <si>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</si>
  <si>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</si>
  <si>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</si>
  <si>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</si>
  <si>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</si>
  <si>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</si>
  <si>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</si>
  <si>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</si>
  <si>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</si>
  <si>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</si>
  <si>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</si>
  <si>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</si>
  <si>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</si>
  <si>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</si>
  <si>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</si>
  <si>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</si>
  <si>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</si>
  <si>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</si>
  <si>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</si>
  <si>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</si>
  <si>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</si>
  <si>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</si>
  <si>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</si>
  <si>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</si>
  <si>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</si>
  <si>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</si>
  <si>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</si>
  <si>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</si>
  <si>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</si>
  <si>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</si>
  <si>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</si>
  <si>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</si>
  <si>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</si>
  <si>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</si>
  <si>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</si>
  <si>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</si>
  <si>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</si>
  <si>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</si>
  <si>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</si>
  <si>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</si>
  <si>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</si>
  <si>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</si>
  <si>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</si>
  <si>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</si>
  <si>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</si>
  <si>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</si>
  <si>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</si>
  <si>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</si>
  <si>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</si>
  <si>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</si>
  <si>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</si>
  <si>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</si>
  <si>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</si>
  <si>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</si>
  <si>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</si>
  <si>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</si>
  <si>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</si>
  <si>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</si>
  <si>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</si>
  <si>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</si>
  <si>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</si>
  <si>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</si>
  <si>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</si>
  <si>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</si>
  <si>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</si>
  <si>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</si>
  <si>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</si>
  <si>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</si>
  <si>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</si>
  <si>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</si>
  <si>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</si>
  <si>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</si>
  <si>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</si>
  <si>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</si>
  <si>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</si>
  <si>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</si>
  <si>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</si>
  <si>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</si>
  <si>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</si>
  <si>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</si>
  <si>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</si>
  <si>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</si>
  <si>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</si>
  <si>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</si>
  <si>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</si>
  <si>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</si>
  <si>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</si>
  <si>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</si>
  <si>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</si>
  <si>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</si>
  <si>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</si>
  <si>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</si>
  <si>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</si>
  <si>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</si>
  <si>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</si>
  <si>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</si>
  <si>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</si>
  <si>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</si>
  <si>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</si>
  <si>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</si>
  <si>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</si>
  <si>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</si>
  <si>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</si>
  <si>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</si>
  <si>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</si>
  <si>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</si>
  <si>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</si>
  <si>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</si>
  <si>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</si>
  <si>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</si>
  <si>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</si>
  <si>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</si>
  <si>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</si>
  <si>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</si>
  <si>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</si>
  <si>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</si>
  <si>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</si>
  <si>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</si>
  <si>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</si>
  <si>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</si>
  <si>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</si>
  <si>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</si>
  <si>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</si>
  <si>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</si>
  <si>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</si>
  <si>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</si>
  <si>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</si>
  <si>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</si>
  <si>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</si>
  <si>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</si>
  <si>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</si>
  <si>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</si>
  <si>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</si>
  <si>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</si>
  <si>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</si>
  <si>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</si>
  <si>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</si>
  <si>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</si>
  <si>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</si>
  <si>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</si>
  <si>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</si>
  <si>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</si>
  <si>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</si>
  <si>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</si>
  <si>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</si>
  <si>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</si>
  <si>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</si>
  <si>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</si>
  <si>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</si>
  <si>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</si>
  <si>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</si>
  <si>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</si>
  <si>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</si>
  <si>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</si>
  <si>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</si>
  <si>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</si>
  <si>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</si>
  <si>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</si>
  <si>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</si>
  <si>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</si>
  <si>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</si>
  <si>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</si>
  <si>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</si>
  <si>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</si>
  <si>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</si>
  <si>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</si>
  <si>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</si>
  <si>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</si>
  <si>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</si>
  <si>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</si>
  <si>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</si>
  <si>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</si>
  <si>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</si>
  <si>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</si>
  <si>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</si>
  <si>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</si>
  <si>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</si>
  <si>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</si>
  <si>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</si>
  <si>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</si>
  <si>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</si>
  <si>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</si>
  <si>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</si>
  <si>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</si>
  <si>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</si>
  <si>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</si>
  <si>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</si>
  <si>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</si>
  <si>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</si>
  <si>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</si>
  <si>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</si>
  <si>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</si>
  <si>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</si>
  <si>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</si>
  <si>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</si>
  <si>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</si>
  <si>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</si>
  <si>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</si>
  <si>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</si>
  <si>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</si>
  <si>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</si>
  <si>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</si>
  <si>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</si>
  <si>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</si>
  <si>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</si>
  <si>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</si>
  <si>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</si>
  <si>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</si>
  <si>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</si>
  <si>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</si>
  <si>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</si>
  <si>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</si>
  <si>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</si>
  <si>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</si>
  <si>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</si>
  <si>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</si>
  <si>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</si>
  <si>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</si>
  <si>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</si>
  <si>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</si>
  <si>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</si>
  <si>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</si>
  <si>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</si>
  <si>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</si>
  <si>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</si>
  <si>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</si>
  <si>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</si>
  <si>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</si>
  <si>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</si>
  <si>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</si>
  <si>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</si>
  <si>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</si>
  <si>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</si>
  <si>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</si>
  <si>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</si>
  <si>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</si>
  <si>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</si>
  <si>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</si>
  <si>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</si>
  <si>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</si>
  <si>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</si>
  <si>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</si>
  <si>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</si>
  <si>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</si>
  <si>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</si>
  <si>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</si>
  <si>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</si>
  <si>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</si>
  <si>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</si>
  <si>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</si>
  <si>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</si>
  <si>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</si>
  <si>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</si>
  <si>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</si>
  <si>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</si>
  <si>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</si>
  <si>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</si>
  <si>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</si>
  <si>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</si>
  <si>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</si>
  <si>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</si>
  <si>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</si>
  <si>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</si>
  <si>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</si>
  <si>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</si>
  <si>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</si>
  <si>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</si>
  <si>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</si>
  <si>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</si>
  <si>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</si>
  <si>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</si>
  <si>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</si>
  <si>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</si>
  <si>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</si>
  <si>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</si>
  <si>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</si>
  <si>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</si>
  <si>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</si>
  <si>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</si>
  <si>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</si>
  <si>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</si>
  <si>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</si>
  <si>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</si>
  <si>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</si>
  <si>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</si>
  <si>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</si>
  <si>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</si>
  <si>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</si>
  <si>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</si>
  <si>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</si>
  <si>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</si>
  <si>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</si>
  <si>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</si>
  <si>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</si>
  <si>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</si>
  <si>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</si>
  <si>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</si>
  <si>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</si>
  <si>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</si>
  <si>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</si>
  <si>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</si>
  <si>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</si>
  <si>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</si>
  <si>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</si>
  <si>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</si>
  <si>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</si>
  <si>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</si>
  <si>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</si>
  <si>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</si>
  <si>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</si>
  <si>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</si>
  <si>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</si>
  <si>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</si>
  <si>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</si>
  <si>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</si>
  <si>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</si>
  <si>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</si>
  <si>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</si>
  <si>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</si>
  <si>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</si>
  <si>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</si>
  <si>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</si>
  <si>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</si>
  <si>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</si>
  <si>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</si>
  <si>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</si>
  <si>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</si>
  <si>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</si>
  <si>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</si>
  <si>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</si>
  <si>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</si>
  <si>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</si>
  <si>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</si>
  <si>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</si>
  <si>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</si>
  <si>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</si>
  <si>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</si>
  <si>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</si>
  <si>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</si>
  <si>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</si>
  <si>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</si>
  <si>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</si>
  <si>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</si>
  <si>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</si>
  <si>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</si>
  <si>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</si>
  <si>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</si>
  <si>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</si>
  <si>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</si>
  <si>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</si>
  <si>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</si>
  <si>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</si>
  <si>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</si>
  <si>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</si>
  <si>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</si>
  <si>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</si>
  <si>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</si>
  <si>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</si>
  <si>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</si>
  <si>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</si>
  <si>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</si>
  <si>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</si>
  <si>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</si>
  <si>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</si>
  <si>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</si>
  <si>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</si>
  <si>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</si>
  <si>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</si>
  <si>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</si>
  <si>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</si>
  <si>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</si>
  <si>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</si>
  <si>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</si>
  <si>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</si>
  <si>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</si>
  <si>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</si>
  <si>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</si>
  <si>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</si>
  <si>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</si>
  <si>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</si>
  <si>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</si>
  <si>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</si>
  <si>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</si>
  <si>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</si>
  <si>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</si>
  <si>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</si>
  <si>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</si>
  <si>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</si>
  <si>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</si>
  <si>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</si>
  <si>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</si>
  <si>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</si>
  <si>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</si>
  <si>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</si>
  <si>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</si>
  <si>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</si>
  <si>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</si>
  <si>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</si>
  <si>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</si>
  <si>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</si>
  <si>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</si>
  <si>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</si>
  <si>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</si>
  <si>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</si>
  <si>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</si>
  <si>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</si>
  <si>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</si>
  <si>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</si>
  <si>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</si>
  <si>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</si>
  <si>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</si>
  <si>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</si>
  <si>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</si>
  <si>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</si>
  <si>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</si>
  <si>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</si>
  <si>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</si>
  <si>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</si>
  <si>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</si>
  <si>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</si>
  <si>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</si>
  <si>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</si>
  <si>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</si>
  <si>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</si>
  <si>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</si>
  <si>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</si>
  <si>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</si>
  <si>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</si>
  <si>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</si>
  <si>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</si>
  <si>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</si>
  <si>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</si>
  <si>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</si>
  <si>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</si>
  <si>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</si>
  <si>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</si>
  <si>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</si>
  <si>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</si>
  <si>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</si>
  <si>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</si>
  <si>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</si>
  <si>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</si>
  <si>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</si>
  <si>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</si>
  <si>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</si>
  <si>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</si>
  <si>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</si>
  <si>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</si>
  <si>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</si>
  <si>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</si>
  <si>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</si>
  <si>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</si>
  <si>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</si>
  <si>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</si>
  <si>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</si>
  <si>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</si>
  <si>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</si>
  <si>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</si>
  <si>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</si>
  <si>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</si>
  <si>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</si>
  <si>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</si>
  <si>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</si>
  <si>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</si>
  <si>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</si>
  <si>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</si>
  <si>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</si>
  <si>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</si>
  <si>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</si>
  <si>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</si>
  <si>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</si>
  <si>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</si>
  <si>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</si>
  <si>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</si>
  <si>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</si>
  <si>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</si>
  <si>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</si>
  <si>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</si>
  <si>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</si>
  <si>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</si>
  <si>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</si>
  <si>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</si>
  <si>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</si>
  <si>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</si>
  <si>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</si>
  <si>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</si>
  <si>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</si>
  <si>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</si>
  <si>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</si>
  <si>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</si>
  <si>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</si>
  <si>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</si>
  <si>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</si>
  <si>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</si>
  <si>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</si>
  <si>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</si>
  <si>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</si>
  <si>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</si>
  <si>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</si>
  <si>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</si>
  <si>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</si>
  <si>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</si>
  <si>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</si>
  <si>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</si>
  <si>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</si>
  <si>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</si>
  <si>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</si>
  <si>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</si>
  <si>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</si>
  <si>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</si>
  <si>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</si>
  <si>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</si>
  <si>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</si>
  <si>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</si>
  <si>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</si>
  <si>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</si>
  <si>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</si>
  <si>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</si>
  <si>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</si>
  <si>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</si>
  <si>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</si>
  <si>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</si>
  <si>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</si>
  <si>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</si>
  <si>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</si>
  <si>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</si>
  <si>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</si>
  <si>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</si>
  <si>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</si>
  <si>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</si>
  <si>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</si>
  <si>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</si>
  <si>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</si>
  <si>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</si>
  <si>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</si>
  <si>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</si>
  <si>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</si>
  <si>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</si>
  <si>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</si>
  <si>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</si>
  <si>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</si>
  <si>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</si>
  <si>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</si>
  <si>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</si>
  <si>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</si>
  <si>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</si>
  <si>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</si>
  <si>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</si>
  <si>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</si>
  <si>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</si>
  <si>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</si>
  <si>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</si>
  <si>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</si>
  <si>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</si>
  <si>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</si>
  <si>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</si>
  <si>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</si>
  <si>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</si>
  <si>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</si>
  <si>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</si>
  <si>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</si>
  <si>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</si>
  <si>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</si>
  <si>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</si>
  <si>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</si>
  <si>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</si>
  <si>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</si>
  <si>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</si>
  <si>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</si>
  <si>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</si>
  <si>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</si>
  <si>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</si>
  <si>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</si>
  <si>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</si>
  <si>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</si>
  <si>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</si>
  <si>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</si>
  <si>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</si>
  <si>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</si>
  <si>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</si>
  <si>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</si>
  <si>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</si>
  <si>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</si>
  <si>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</si>
  <si>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</si>
  <si>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</si>
  <si>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</si>
  <si>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</si>
  <si>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</si>
  <si>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</si>
  <si>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</si>
  <si>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</si>
  <si>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</si>
  <si>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</si>
  <si>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</si>
  <si>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</si>
  <si>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</si>
  <si>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</si>
  <si>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</si>
  <si>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</si>
  <si>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</si>
  <si>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</si>
  <si>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</si>
  <si>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</si>
  <si>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</si>
  <si>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</si>
  <si>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</si>
  <si>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</si>
  <si>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</si>
  <si>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</si>
  <si>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</si>
  <si>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</si>
  <si>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</si>
  <si>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</si>
  <si>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</si>
  <si>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</si>
  <si>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</si>
  <si>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</si>
  <si>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</si>
  <si>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</si>
  <si>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</si>
  <si>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</si>
  <si>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</si>
  <si>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</si>
  <si>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</si>
  <si>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</si>
  <si>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</si>
  <si>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</si>
  <si>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</si>
  <si>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</si>
  <si>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</si>
  <si>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</si>
  <si>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</si>
  <si>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</si>
  <si>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</si>
  <si>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</si>
  <si>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</si>
  <si>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</si>
  <si>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</si>
  <si>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</si>
  <si>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</si>
  <si>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</si>
  <si>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</si>
  <si>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</si>
  <si>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</si>
  <si>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</si>
  <si>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</si>
  <si>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</si>
  <si>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</si>
  <si>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</si>
  <si>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</si>
  <si>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</si>
  <si>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</si>
  <si>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</si>
  <si>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</si>
  <si>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</si>
  <si>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</si>
  <si>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</si>
  <si>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</si>
  <si>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</si>
  <si>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</si>
  <si>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</si>
  <si>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</si>
  <si>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</si>
  <si>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</si>
  <si>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</si>
  <si>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</si>
  <si>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</si>
  <si>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</si>
  <si>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</si>
  <si>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</si>
  <si>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</si>
  <si>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</si>
  <si>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</si>
  <si>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</si>
  <si>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</si>
  <si>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</si>
  <si>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</si>
  <si>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</si>
  <si>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</si>
  <si>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</si>
  <si>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</si>
  <si>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</si>
  <si>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</si>
  <si>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</si>
  <si>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</si>
  <si>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</si>
  <si>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</si>
  <si>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</si>
  <si>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</si>
  <si>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</si>
  <si>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</si>
  <si>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</si>
  <si>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</si>
  <si>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</si>
  <si>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</si>
  <si>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</si>
  <si>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</si>
  <si>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</si>
  <si>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</si>
  <si>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</si>
  <si>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</si>
  <si>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</si>
  <si>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</si>
  <si>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</si>
  <si>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</si>
  <si>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</si>
  <si>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</si>
  <si>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</si>
  <si>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</si>
  <si>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</si>
  <si>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</si>
  <si>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</si>
  <si>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</si>
  <si>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</si>
  <si>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</si>
  <si>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</si>
  <si>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</si>
  <si>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</si>
  <si>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</si>
  <si>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</si>
  <si>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</si>
  <si>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</si>
  <si>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</si>
  <si>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</si>
  <si>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</si>
  <si>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</si>
  <si>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</si>
  <si>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</si>
  <si>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</si>
  <si>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</si>
  <si>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</si>
  <si>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</si>
  <si>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</si>
  <si>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</si>
  <si>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</si>
  <si>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</si>
  <si>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</si>
  <si>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</si>
  <si>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</si>
  <si>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</si>
  <si>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</si>
  <si>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</si>
  <si>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</si>
  <si>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</si>
  <si>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</si>
  <si>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</si>
  <si>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</si>
  <si>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</si>
  <si>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</si>
  <si>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</si>
  <si>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</si>
  <si>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</si>
  <si>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</si>
  <si>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</si>
  <si>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</si>
  <si>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</si>
  <si>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</si>
  <si>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</si>
  <si>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</si>
  <si>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</si>
  <si>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</si>
  <si>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</si>
  <si>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</si>
  <si>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</si>
  <si>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</si>
  <si>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</si>
  <si>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</si>
  <si>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</si>
  <si>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</si>
  <si>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</si>
  <si>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</si>
  <si>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</si>
  <si>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</si>
  <si>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</si>
  <si>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</si>
  <si>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</si>
  <si>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</si>
  <si>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</si>
  <si>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</si>
  <si>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</si>
  <si>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</si>
  <si>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</si>
  <si>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</si>
  <si>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</si>
  <si>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</si>
  <si>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</si>
  <si>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</si>
  <si>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</si>
  <si>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</si>
  <si>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</si>
  <si>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</si>
  <si>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</si>
  <si>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</si>
  <si>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</si>
  <si>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</si>
  <si>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</si>
  <si>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</si>
  <si>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</si>
  <si>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</si>
  <si>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</si>
  <si>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</si>
  <si>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</si>
  <si>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</si>
  <si>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</si>
  <si>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</si>
  <si>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</si>
  <si>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</si>
  <si>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</si>
  <si>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</si>
  <si>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</si>
  <si>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</si>
  <si>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</si>
  <si>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</si>
  <si>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</si>
  <si>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</si>
  <si>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</si>
  <si>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</si>
  <si>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</si>
  <si>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</si>
  <si>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</si>
  <si>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</si>
  <si>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</si>
  <si>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</si>
  <si>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</si>
  <si>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</si>
  <si>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</si>
  <si>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</si>
  <si>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</si>
  <si>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</si>
  <si>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</si>
  <si>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</si>
  <si>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</si>
  <si>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</si>
  <si>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</si>
  <si>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</si>
  <si>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</si>
  <si>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</si>
  <si>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</si>
  <si>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</si>
  <si>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</si>
  <si>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</si>
  <si>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</si>
  <si>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</si>
  <si>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</si>
  <si>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</si>
  <si>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</si>
  <si>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</si>
  <si>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</si>
  <si>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</si>
  <si>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</si>
  <si>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</si>
  <si>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</si>
  <si>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</si>
  <si>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</si>
  <si>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</si>
  <si>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</si>
  <si>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</si>
  <si>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</si>
  <si>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</si>
  <si>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</si>
  <si>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</si>
  <si>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</si>
  <si>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</si>
  <si>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</si>
  <si>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</si>
  <si>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</si>
  <si>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</si>
  <si>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</si>
  <si>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</si>
  <si>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</si>
  <si>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</si>
  <si>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</si>
  <si>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</si>
  <si>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</si>
  <si>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</si>
  <si>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</si>
  <si>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</si>
  <si>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</si>
  <si>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</si>
  <si>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</si>
  <si>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</si>
  <si>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</si>
  <si>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</si>
  <si>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</si>
  <si>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</si>
  <si>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</si>
  <si>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</si>
  <si>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</si>
  <si>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</si>
  <si>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</si>
  <si>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</si>
  <si>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</si>
  <si>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</si>
  <si>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</si>
  <si>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</si>
  <si>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</si>
  <si>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</si>
  <si>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</si>
  <si>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</si>
  <si>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</si>
  <si>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</si>
  <si>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</si>
  <si>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</si>
  <si>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</si>
  <si>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</si>
  <si>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</si>
  <si>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</si>
  <si>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</si>
  <si>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</si>
  <si>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</si>
  <si>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</si>
  <si>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</si>
  <si>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</si>
  <si>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</si>
  <si>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</si>
  <si>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</si>
  <si>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</si>
  <si>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</si>
  <si>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</si>
  <si>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</si>
  <si>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</si>
  <si>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</si>
  <si>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</si>
  <si>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</si>
  <si>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</si>
  <si>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</si>
  <si>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</si>
  <si>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</si>
  <si>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</si>
  <si>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</si>
  <si>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</si>
  <si>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</si>
  <si>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</si>
  <si>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</si>
  <si>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</si>
  <si>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</si>
  <si>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</si>
  <si>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</si>
  <si>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</si>
  <si>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</si>
  <si>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</si>
  <si>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</si>
  <si>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</si>
  <si>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</si>
  <si>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</si>
  <si>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</si>
  <si>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</si>
  <si>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</si>
  <si>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</si>
  <si>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</si>
  <si>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</si>
  <si>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</si>
  <si>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</si>
  <si>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</si>
  <si>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</si>
  <si>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</si>
  <si>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</si>
  <si>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</si>
  <si>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</si>
  <si>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</si>
  <si>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</si>
  <si>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</si>
  <si>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</si>
  <si>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</si>
  <si>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</si>
  <si>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</si>
  <si>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</si>
  <si>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</si>
  <si>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</si>
  <si>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</si>
  <si>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</si>
  <si>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</si>
  <si>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</si>
  <si>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</si>
  <si>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</si>
  <si>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</si>
  <si>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</si>
  <si>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</si>
  <si>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</si>
  <si>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</si>
  <si>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</si>
  <si>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</si>
  <si>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</si>
  <si>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</si>
  <si>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</si>
  <si>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</si>
  <si>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</si>
  <si>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</si>
  <si>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</si>
  <si>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</si>
  <si>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</si>
  <si>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</si>
  <si>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</si>
  <si>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</si>
  <si>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</si>
  <si>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</si>
  <si>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</si>
  <si>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</si>
  <si>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</si>
  <si>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</si>
  <si>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</si>
  <si>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</si>
  <si>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</si>
  <si>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</si>
  <si>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</si>
  <si>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</si>
  <si>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</si>
  <si>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</si>
  <si>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</si>
  <si>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</si>
  <si>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</si>
  <si>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</si>
  <si>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</si>
  <si>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</si>
  <si>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</si>
  <si>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</si>
  <si>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</si>
  <si>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</si>
  <si>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</si>
  <si>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</si>
  <si>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</si>
  <si>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</si>
  <si>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</si>
  <si>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</si>
  <si>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</si>
  <si>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</si>
  <si>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</si>
  <si>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</si>
  <si>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</si>
  <si>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</si>
  <si>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</si>
  <si>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</si>
  <si>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</si>
  <si>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</si>
  <si>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</si>
  <si>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</si>
  <si>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</si>
  <si>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</si>
  <si>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</si>
  <si>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</si>
  <si>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</si>
  <si>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</si>
  <si>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</si>
  <si>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</si>
  <si>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</si>
  <si>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</si>
  <si>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</si>
  <si>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</si>
  <si>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</si>
  <si>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</si>
  <si>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</si>
  <si>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</si>
  <si>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</si>
  <si>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</si>
  <si>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</si>
  <si>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</si>
  <si>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</si>
  <si>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</si>
  <si>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</si>
  <si>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</si>
  <si>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</si>
  <si>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</si>
  <si>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</si>
  <si>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</si>
  <si>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</si>
  <si>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</si>
  <si>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</si>
  <si>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</si>
  <si>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</si>
  <si>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</si>
  <si>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</si>
  <si>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</si>
  <si>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</si>
  <si>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</si>
  <si>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</si>
  <si>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</si>
  <si>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</si>
  <si>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</si>
  <si>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</si>
  <si>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</si>
  <si>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</si>
  <si>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</si>
  <si>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</si>
  <si>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</si>
  <si>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</si>
  <si>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</si>
  <si>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</si>
  <si>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</si>
  <si>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</si>
  <si>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</si>
  <si>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</si>
  <si>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</si>
  <si>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</si>
  <si>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</si>
  <si>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</si>
  <si>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</si>
  <si>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</si>
  <si>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</si>
  <si>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</si>
  <si>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</si>
  <si>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</si>
  <si>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</si>
  <si>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</si>
  <si>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</si>
  <si>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</si>
  <si>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</si>
  <si>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</si>
  <si>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</si>
  <si>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</si>
  <si>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</si>
  <si>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</si>
  <si>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</si>
  <si>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</si>
  <si>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</si>
  <si>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</si>
  <si>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</si>
  <si>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</si>
  <si>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</si>
  <si>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</si>
  <si>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</si>
  <si>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</si>
  <si>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</si>
  <si>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</si>
  <si>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</si>
  <si>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</si>
  <si>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</si>
  <si>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</si>
  <si>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</si>
  <si>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</si>
  <si>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</si>
  <si>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</si>
  <si>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</si>
  <si>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</si>
  <si>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</si>
  <si>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</si>
  <si>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</si>
  <si>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</si>
  <si>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</si>
  <si>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</si>
  <si>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</si>
  <si>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</si>
  <si>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</si>
  <si>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</si>
  <si>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</si>
  <si>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</si>
  <si>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</si>
  <si>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</si>
  <si>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</si>
  <si>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</si>
  <si>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</si>
  <si>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</si>
  <si>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</si>
  <si>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</si>
  <si>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</si>
  <si>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</si>
  <si>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</si>
  <si>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</si>
  <si>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</si>
  <si>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</si>
  <si>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</si>
  <si>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</si>
  <si>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</si>
  <si>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</si>
  <si>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</si>
  <si>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</si>
  <si>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</si>
  <si>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</si>
  <si>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</si>
  <si>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</si>
  <si>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</si>
  <si>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</si>
  <si>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</si>
  <si>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</si>
  <si>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</si>
  <si>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</si>
  <si>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</si>
  <si>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</si>
  <si>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</si>
  <si>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</si>
  <si>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</si>
  <si>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</si>
  <si>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</si>
  <si>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</si>
  <si>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</si>
  <si>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</si>
  <si>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</si>
  <si>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</si>
  <si>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</si>
  <si>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</si>
  <si>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</si>
  <si>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</si>
  <si>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</si>
  <si>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</si>
  <si>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</si>
  <si>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</si>
  <si>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</si>
  <si>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</si>
  <si>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</si>
  <si>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</si>
  <si>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</si>
  <si>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</si>
  <si>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</si>
  <si>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</si>
  <si>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</si>
  <si>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</si>
  <si>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</si>
  <si>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</si>
  <si>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</si>
  <si>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</si>
  <si>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</si>
  <si>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</si>
  <si>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</si>
  <si>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</si>
  <si>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</si>
  <si>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</si>
  <si>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</si>
  <si>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</si>
  <si>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</si>
  <si>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</si>
  <si>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</si>
  <si>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</si>
  <si>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</si>
  <si>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</si>
  <si>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</si>
  <si>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</si>
  <si>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</si>
  <si>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</si>
  <si>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</si>
  <si>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</si>
  <si>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</si>
  <si>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</si>
  <si>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</si>
  <si>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</si>
  <si>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</si>
  <si>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</si>
  <si>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</si>
  <si>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</si>
  <si>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</si>
  <si>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</si>
  <si>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</si>
  <si>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</si>
  <si>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</si>
  <si>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</si>
  <si>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</si>
  <si>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</si>
  <si>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</si>
  <si>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</si>
  <si>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</si>
  <si>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</si>
  <si>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</si>
  <si>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</si>
  <si>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</si>
  <si>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</si>
  <si>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</si>
  <si>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</si>
  <si>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</si>
  <si>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</si>
  <si>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</si>
  <si>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</si>
  <si>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</si>
  <si>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</si>
  <si>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</si>
  <si>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</si>
  <si>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</si>
  <si>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</si>
  <si>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</si>
  <si>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</si>
  <si>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</si>
  <si>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</si>
  <si>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</si>
  <si>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</si>
  <si>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</si>
  <si>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</si>
  <si>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</si>
  <si>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</si>
  <si>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</si>
  <si>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</si>
  <si>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</si>
  <si>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</si>
  <si>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</si>
  <si>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</si>
  <si>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</si>
  <si>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</si>
  <si>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</si>
  <si>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</si>
  <si>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</si>
  <si>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</si>
  <si>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</si>
  <si>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</si>
  <si>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</si>
  <si>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</si>
  <si>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</si>
  <si>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</si>
  <si>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</si>
  <si>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</si>
  <si>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</si>
  <si>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</si>
  <si>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</si>
  <si>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</si>
  <si>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</si>
  <si>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</si>
  <si>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</si>
  <si>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</si>
  <si>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</si>
  <si>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</si>
  <si>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</si>
  <si>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</si>
  <si>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</si>
  <si>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</si>
  <si>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</si>
  <si>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</si>
  <si>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</si>
  <si>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</si>
  <si>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</si>
  <si>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</si>
  <si>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</si>
  <si>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</si>
  <si>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</si>
  <si>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</si>
  <si>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</si>
  <si>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</si>
  <si>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</si>
  <si>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</si>
  <si>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</si>
  <si>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</si>
  <si>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</si>
  <si>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</si>
  <si>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</si>
  <si>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</si>
  <si>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</si>
  <si>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</si>
  <si>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</si>
  <si>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</si>
  <si>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</si>
  <si>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</si>
  <si>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</si>
  <si>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</si>
  <si>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</si>
  <si>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</si>
  <si>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</si>
  <si>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</si>
  <si>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</si>
  <si>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</si>
  <si>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</si>
  <si>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</si>
  <si>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</si>
  <si>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</si>
  <si>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</si>
  <si>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</si>
  <si>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</si>
  <si>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</si>
  <si>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</si>
  <si>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</si>
  <si>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</si>
  <si>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</si>
  <si>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</si>
  <si>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</si>
  <si>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</si>
  <si>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</si>
  <si>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</si>
  <si>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</si>
  <si>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</si>
  <si>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</si>
  <si>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</si>
  <si>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</si>
  <si>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</si>
  <si>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</si>
  <si>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</si>
  <si>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</si>
  <si>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</si>
  <si>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</si>
  <si>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</si>
  <si>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</si>
  <si>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</si>
  <si>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</si>
  <si>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</si>
  <si>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</si>
  <si>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</si>
  <si>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</si>
  <si>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</si>
  <si>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</si>
  <si>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</si>
  <si>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</si>
  <si>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</si>
  <si>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</si>
  <si>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</si>
  <si>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</si>
  <si>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</si>
  <si>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</si>
  <si>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</si>
  <si>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</si>
  <si>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</si>
  <si>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</si>
  <si>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</si>
  <si>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</si>
  <si>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</si>
  <si>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</si>
  <si>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</si>
  <si>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</si>
  <si>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</si>
  <si>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</si>
  <si>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</si>
  <si>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</si>
  <si>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</si>
  <si>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</si>
  <si>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</si>
  <si>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</si>
  <si>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</si>
  <si>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</si>
  <si>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</si>
  <si>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</si>
  <si>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</si>
  <si>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</si>
  <si>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</si>
  <si>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</si>
  <si>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</si>
  <si>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</si>
  <si>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</si>
  <si>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</si>
  <si>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</si>
  <si>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</si>
  <si>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</si>
  <si>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</si>
  <si>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</si>
  <si>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</si>
  <si>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</si>
  <si>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</si>
  <si>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</si>
  <si>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</si>
  <si>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</si>
  <si>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</si>
  <si>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</si>
  <si>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</si>
  <si>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</si>
  <si>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</si>
  <si>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</si>
  <si>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</si>
  <si>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</si>
  <si>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</si>
  <si>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</si>
  <si>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</si>
  <si>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</si>
  <si>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</si>
  <si>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</si>
  <si>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</si>
  <si>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</si>
  <si>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</si>
  <si>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</si>
  <si>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</si>
  <si>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</si>
  <si>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</si>
  <si>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</si>
  <si>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</si>
  <si>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</si>
  <si>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</si>
  <si>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</si>
  <si>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</si>
  <si>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</si>
  <si>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</si>
  <si>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</si>
  <si>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</si>
  <si>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</si>
  <si>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</si>
  <si>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</si>
  <si>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</si>
  <si>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</si>
  <si>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</si>
  <si>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</si>
  <si>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</si>
  <si>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</si>
  <si>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</si>
  <si>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</si>
  <si>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</si>
  <si>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</si>
  <si>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</si>
  <si>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</si>
  <si>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</si>
  <si>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</si>
  <si>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</si>
  <si>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</si>
  <si>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</si>
  <si>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</si>
  <si>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</si>
  <si>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</si>
  <si>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</si>
  <si>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01/15/07</t>
  </si>
  <si>
    <t>08/27</t>
  </si>
  <si>
    <t>12/22/04</t>
  </si>
  <si>
    <t>01/25</t>
  </si>
  <si>
    <t>Auditors 22-23 AJEs 10 Fund</t>
  </si>
  <si>
    <t>Auditors 22-23 AJEs 21 Fund</t>
  </si>
  <si>
    <t>I have entered the Month/Year for Debt #3, #4, #5, but the cell is only displaying "0". If I click in the field, it shows the correct</t>
  </si>
  <si>
    <t>Month/Year that I entered.</t>
  </si>
  <si>
    <t>I have entered the Month/Day/Year for Debt #3, #4, #5, but the cell is only displaying "0". If I click in the field, it shows the</t>
  </si>
  <si>
    <t xml:space="preserve"> correct Month/Day/Year that I entered.</t>
  </si>
  <si>
    <t>recognized for Title I &amp; Title II during FY23</t>
  </si>
  <si>
    <t>Auditors 22-23 AJE's under Fund 22 - Reduced 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</si>
</sst>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4" zoomScale="120" zoomScaleNormal="12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1002</v>
      </c>
      <c r="B2">
        <f>INDEX('School Tables'!$AH$3:$AH$213,MATCH('DOE25'!A2,'School Tables'!$AJ$3:$AJ$213,0))</f>
        <v>142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-953940.58</f>
        <v>-953940.58</v>
      </c>
      <c r="G9" s="18"/>
      <c r="H9" s="18">
        <f>315109.91</f>
        <v>315109.90999999997</v>
      </c>
      <c r="I9" s="18"/>
      <c r="J9" s="13">
        <f>SUM(I440)</f>
        <v>46895</v>
      </c>
      <c r="K9" s="23" t="s">
        <v>288</v>
      </c>
      <c r="L9" s="23" t="s">
        <v>288</v>
      </c>
      <c r="M9" s="8"/>
      <c r="N9" s="164"/>
    </row>
    <row r="10" spans="1:14" s="3" customFormat="1" ht="12.2" customHeight="1" x14ac:dyDescent="0.15">
      <c r="A10" s="1" t="s">
        <v>562</v>
      </c>
      <c r="B10" s="2" t="s">
        <v>289</v>
      </c>
      <c r="C10" s="6">
        <v>2</v>
      </c>
      <c r="D10" s="2" t="s">
        <v>428</v>
      </c>
      <c r="E10" s="6">
        <v>110</v>
      </c>
      <c r="F10" s="18">
        <f>100319.41</f>
        <v>100319.41</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153183.53</v>
      </c>
      <c r="G13" s="18">
        <v>-199728.01</v>
      </c>
      <c r="H13" s="18">
        <f>-26580.54-8834.15</f>
        <v>-35414.69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28852.06+9.8+23457.56</f>
        <v>52319.42</v>
      </c>
      <c r="G14" s="18"/>
      <c r="H14" s="18">
        <v>2363.5500000000002</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128513.22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-519604.99999999988</v>
      </c>
      <c r="G19" s="38">
        <f>SUM(G9:G18)</f>
        <v>-199728.01</v>
      </c>
      <c r="H19" s="38">
        <f>SUM(H9:H18)</f>
        <v>282058.76999999996</v>
      </c>
      <c r="I19" s="38">
        <f>SUM(I9:I18)</f>
        <v>0</v>
      </c>
      <c r="J19" s="38">
        <f>SUM(J9:J18)</f>
        <v>46895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-487559.89</v>
      </c>
      <c r="G22" s="18">
        <v>-47153.36</v>
      </c>
      <c r="H22" s="18">
        <v>-283554.84999999998</v>
      </c>
      <c r="I22" s="18">
        <f>-534018.08+148718.45+642141.28+4976.3</f>
        <v>261817.95000000007</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165425.73</f>
        <v>165425.73000000001</v>
      </c>
      <c r="G24" s="18">
        <v>40438.76</v>
      </c>
      <c r="H24" s="18">
        <v>70657.649999999994</v>
      </c>
      <c r="I24" s="18">
        <f>11065.4+33542.72-30258.34</f>
        <v>14349.780000000002</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77.53</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-12608.05</v>
      </c>
      <c r="G30" s="18">
        <f>-168981.79+388.65</f>
        <v>-168593.14</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-1057747.2</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-1392411.88</v>
      </c>
      <c r="G32" s="38">
        <f>SUM(G22:G31)</f>
        <v>-175307.74000000002</v>
      </c>
      <c r="H32" s="38">
        <f>SUM(H22:H31)</f>
        <v>-212897.19999999998</v>
      </c>
      <c r="I32" s="38">
        <f>SUM(I22:I31)</f>
        <v>276167.7300000001</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26012.06</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f>487205.64+16584.48-8834.15</f>
        <v>494955.97</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60917</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385877.82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46895</v>
      </c>
      <c r="K48" s="23" t="s">
        <v>288</v>
      </c>
      <c r="L48" s="23" t="s">
        <v>288</v>
      </c>
      <c r="M48" s="8"/>
      <c r="N48" s="164"/>
    </row>
    <row r="49" spans="1:14" s="3" customFormat="1" ht="12.2" customHeight="1" x14ac:dyDescent="0.15">
      <c r="A49" s="1" t="s">
        <v>855</v>
      </c>
      <c r="B49" s="2" t="s">
        <v>289</v>
      </c>
      <c r="C49" s="6">
        <v>34</v>
      </c>
      <c r="D49" s="2"/>
      <c r="E49" s="6">
        <v>753</v>
      </c>
      <c r="F49" s="18"/>
      <c r="G49" s="18">
        <v>-24420.27</v>
      </c>
      <c r="H49" s="4"/>
      <c r="I49" s="18">
        <f>1744436.27-2053604+33000</f>
        <v>-276167.73</v>
      </c>
      <c r="J49" s="13">
        <f>I455</f>
        <v>0</v>
      </c>
      <c r="K49" s="23"/>
      <c r="L49" s="23"/>
      <c r="M49" s="8"/>
      <c r="N49" s="164"/>
    </row>
    <row r="50" spans="1:14" s="3" customFormat="1" ht="12.2" customHeight="1" thickBot="1" x14ac:dyDescent="0.2">
      <c r="A50" s="28" t="s">
        <v>836</v>
      </c>
      <c r="B50" s="2" t="s">
        <v>289</v>
      </c>
      <c r="C50" s="56">
        <v>35</v>
      </c>
      <c r="D50" s="2" t="s">
        <v>653</v>
      </c>
      <c r="E50" s="6">
        <v>770</v>
      </c>
      <c r="F50" s="18">
        <v>400000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872806.88</v>
      </c>
      <c r="G51" s="38">
        <f>SUM(G35:G50)</f>
        <v>-24420.27</v>
      </c>
      <c r="H51" s="38">
        <f>SUM(H35:H50)</f>
        <v>494955.97</v>
      </c>
      <c r="I51" s="38">
        <f>SUM(I35:I50)</f>
        <v>-276167.73</v>
      </c>
      <c r="J51" s="38">
        <f>SUM(J35:J50)</f>
        <v>46895</v>
      </c>
      <c r="K51" s="42" t="s">
        <v>288</v>
      </c>
      <c r="L51" s="42" t="s">
        <v>288</v>
      </c>
      <c r="N51" s="130"/>
    </row>
    <row r="52" spans="1:14" s="3" customFormat="1" ht="12.2" customHeight="1" thickTop="1" x14ac:dyDescent="0.15">
      <c r="A52" s="35" t="s">
        <v>455</v>
      </c>
      <c r="B52" s="36" t="s">
        <v>289</v>
      </c>
      <c r="C52" s="6">
        <v>37</v>
      </c>
      <c r="D52" s="36" t="s">
        <v>653</v>
      </c>
      <c r="E52" s="36"/>
      <c r="F52" s="38">
        <f>F51+F32</f>
        <v>-519604.99999999988</v>
      </c>
      <c r="G52" s="38">
        <f>G51+G32</f>
        <v>-199728.01</v>
      </c>
      <c r="H52" s="38">
        <f>H51+H32</f>
        <v>282058.77</v>
      </c>
      <c r="I52" s="38">
        <f>I51+I32</f>
        <v>0</v>
      </c>
      <c r="J52" s="38">
        <f>J51+J32</f>
        <v>46895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25013337+2053223</f>
        <v>27066560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27066560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234056.25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1861549.74</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1063927.8700000001</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3159533.8600000003</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81730.48</f>
        <v>81730.48</v>
      </c>
      <c r="G96" s="18"/>
      <c r="H96" s="18">
        <v>3328.62</v>
      </c>
      <c r="I96" s="18"/>
      <c r="J96" s="18">
        <v>-493</v>
      </c>
      <c r="K96" s="23" t="s">
        <v>288</v>
      </c>
      <c r="L96" s="23" t="s">
        <v>288</v>
      </c>
      <c r="M96" s="8"/>
      <c r="N96" s="164"/>
    </row>
    <row r="97" spans="1:14" s="3" customFormat="1" ht="12.2" customHeight="1" x14ac:dyDescent="0.15">
      <c r="A97" s="1" t="s">
        <v>503</v>
      </c>
      <c r="B97" s="2" t="s">
        <v>315</v>
      </c>
      <c r="C97" s="6">
        <v>12</v>
      </c>
      <c r="D97" s="2" t="s">
        <v>430</v>
      </c>
      <c r="E97" s="6">
        <v>1600</v>
      </c>
      <c r="F97" s="23" t="s">
        <v>288</v>
      </c>
      <c r="G97" s="18">
        <f>543368.63+253026-89502.28</f>
        <v>706892.35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f>141520</f>
        <v>141520</v>
      </c>
      <c r="G98" s="23" t="s">
        <v>288</v>
      </c>
      <c r="H98" s="18">
        <f>915194.67-3328.62</f>
        <v>911866.05</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32521</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2188.65</v>
      </c>
      <c r="G102" s="18"/>
      <c r="H102" s="18"/>
      <c r="I102" s="18">
        <v>33000</v>
      </c>
      <c r="J102" s="18">
        <v>1703</v>
      </c>
      <c r="K102" s="23" t="s">
        <v>288</v>
      </c>
      <c r="L102" s="23" t="s">
        <v>288</v>
      </c>
      <c r="M102" s="8"/>
      <c r="N102" s="164"/>
    </row>
    <row r="103" spans="1:14" s="3" customFormat="1" ht="12.2" customHeight="1" x14ac:dyDescent="0.15">
      <c r="A103" s="1" t="s">
        <v>507</v>
      </c>
      <c r="B103" s="2" t="s">
        <v>315</v>
      </c>
      <c r="C103" s="6">
        <v>17</v>
      </c>
      <c r="D103" s="2" t="s">
        <v>430</v>
      </c>
      <c r="E103" s="6">
        <v>1930</v>
      </c>
      <c r="F103" s="18">
        <v>100000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104998.39999999999</v>
      </c>
      <c r="G110" s="18">
        <f>1393.53+97156.24</f>
        <v>98549.77</v>
      </c>
      <c r="H110" s="18"/>
      <c r="I110" s="18"/>
      <c r="J110" s="18">
        <v>3523</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462958.53</v>
      </c>
      <c r="G111" s="38">
        <f>SUM(G96:G110)</f>
        <v>805442.12</v>
      </c>
      <c r="H111" s="38">
        <f>SUM(H96:H110)</f>
        <v>915194.67</v>
      </c>
      <c r="I111" s="38">
        <f>SUM(I96:I110)</f>
        <v>33000</v>
      </c>
      <c r="J111" s="38">
        <f>SUM(J96:J110)</f>
        <v>4733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30689052.390000001</v>
      </c>
      <c r="G112" s="38">
        <f>G60+G111</f>
        <v>805442.12</v>
      </c>
      <c r="H112" s="38">
        <f>H60+H79+H94+H111</f>
        <v>915194.67</v>
      </c>
      <c r="I112" s="38">
        <f>I60+I111</f>
        <v>33000</v>
      </c>
      <c r="J112" s="38">
        <f>J60+J111</f>
        <v>4733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2050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2050</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315903.69</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35906.92</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1971.6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53857+60896</f>
        <v>114753</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353782.20999999996</v>
      </c>
      <c r="G136" s="38">
        <f>SUM(G123:G135)</f>
        <v>0</v>
      </c>
      <c r="H136" s="38">
        <f>SUM(H123:H135)</f>
        <v>114753</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355832.20999999996</v>
      </c>
      <c r="G140" s="38">
        <f>G121+SUM(G136:G137)</f>
        <v>0</v>
      </c>
      <c r="H140" s="38">
        <f>H121+SUM(H136:H139)</f>
        <v>114753</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7983+5087.32</f>
        <v>13070.32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2120.46+7662.5+12278.3+9941.75</f>
        <v>32003.01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5249+5946.4+180000</f>
        <v>191195.4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7650</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243918.72999999998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243918.72999999998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89502.28</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89502.28</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89502.28</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31044884.600000001</v>
      </c>
      <c r="G194" s="38">
        <f>G112+G140+G170+G193</f>
        <v>894944.4</v>
      </c>
      <c r="H194" s="38">
        <f>H112+H140+H170+H193</f>
        <v>1273866.3999999999</v>
      </c>
      <c r="I194" s="38">
        <f>I112+I140+I170+I193</f>
        <v>33000</v>
      </c>
      <c r="J194" s="38">
        <f>J112+J140+J193</f>
        <v>4733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3242727.89+5376.25</f>
        <v>3248104.14</v>
      </c>
      <c r="G198" s="18">
        <f>1374670.92+411.3+3.86</f>
        <v>1375086.08</v>
      </c>
      <c r="H198" s="18">
        <v>133196.6</v>
      </c>
      <c r="I198" s="18">
        <v>73814.559999999998</v>
      </c>
      <c r="J198" s="18">
        <f>129625.4+1413.72</f>
        <v>131039.12</v>
      </c>
      <c r="K198" s="18">
        <v>219</v>
      </c>
      <c r="L198" s="13">
        <f>SUM(F198:K198)</f>
        <v>4961459.5</v>
      </c>
      <c r="M198" s="8"/>
      <c r="N198" s="164"/>
    </row>
    <row r="199" spans="1:14" s="3" customFormat="1" ht="12.2" customHeight="1" x14ac:dyDescent="0.15">
      <c r="A199" s="1" t="s">
        <v>439</v>
      </c>
      <c r="B199" s="2" t="s">
        <v>341</v>
      </c>
      <c r="C199" s="2" t="s">
        <v>291</v>
      </c>
      <c r="D199" s="2" t="s">
        <v>431</v>
      </c>
      <c r="E199" s="6">
        <v>1200</v>
      </c>
      <c r="F199" s="18">
        <v>981089.45</v>
      </c>
      <c r="G199" s="18">
        <v>630003.09</v>
      </c>
      <c r="H199" s="18">
        <v>18100.310000000001</v>
      </c>
      <c r="I199" s="18">
        <v>2994.5</v>
      </c>
      <c r="J199" s="18">
        <v>190.96</v>
      </c>
      <c r="K199" s="18">
        <v>270</v>
      </c>
      <c r="L199" s="13">
        <f>SUM(F199:K199)</f>
        <v>1632648.31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22509.89</v>
      </c>
      <c r="G201" s="18">
        <v>3336.52</v>
      </c>
      <c r="H201" s="18">
        <v>10210.64</v>
      </c>
      <c r="I201" s="18"/>
      <c r="J201" s="18"/>
      <c r="K201" s="18"/>
      <c r="L201" s="13">
        <f>SUM(F201:K201)</f>
        <v>36057.050000000003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288495.43</v>
      </c>
      <c r="G203" s="18">
        <v>151500.39000000001</v>
      </c>
      <c r="H203" s="18"/>
      <c r="I203" s="18">
        <v>5423.59</v>
      </c>
      <c r="J203" s="18"/>
      <c r="K203" s="18">
        <v>150</v>
      </c>
      <c r="L203" s="13">
        <f t="shared" ref="L203:L209" si="0">SUM(F203:K203)</f>
        <v>445569.41000000003</v>
      </c>
      <c r="M203" s="8"/>
      <c r="N203" s="164"/>
    </row>
    <row r="204" spans="1:14" s="3" customFormat="1" ht="12.2" customHeight="1" x14ac:dyDescent="0.15">
      <c r="A204" s="1" t="s">
        <v>443</v>
      </c>
      <c r="B204" s="2" t="s">
        <v>341</v>
      </c>
      <c r="C204" s="2" t="s">
        <v>295</v>
      </c>
      <c r="D204" s="2" t="s">
        <v>431</v>
      </c>
      <c r="E204" s="6">
        <v>2200</v>
      </c>
      <c r="F204" s="18">
        <v>132162.70000000001</v>
      </c>
      <c r="G204" s="18">
        <v>123656.38</v>
      </c>
      <c r="H204" s="18">
        <v>277.57</v>
      </c>
      <c r="I204" s="18">
        <v>25370.27</v>
      </c>
      <c r="J204" s="18">
        <v>2635.56</v>
      </c>
      <c r="K204" s="18"/>
      <c r="L204" s="13">
        <f t="shared" si="0"/>
        <v>284102.48000000004</v>
      </c>
      <c r="M204" s="8"/>
      <c r="N204" s="164"/>
    </row>
    <row r="205" spans="1:14" s="3" customFormat="1" ht="12.2" customHeight="1" x14ac:dyDescent="0.15">
      <c r="A205" s="1" t="s">
        <v>444</v>
      </c>
      <c r="B205" s="2" t="s">
        <v>341</v>
      </c>
      <c r="C205" s="2" t="s">
        <v>296</v>
      </c>
      <c r="D205" s="2" t="s">
        <v>431</v>
      </c>
      <c r="E205" s="6">
        <v>2300</v>
      </c>
      <c r="F205" s="18">
        <v>4848.57</v>
      </c>
      <c r="G205" s="18">
        <v>370.93</v>
      </c>
      <c r="H205" s="18">
        <v>441505.85</v>
      </c>
      <c r="I205" s="18"/>
      <c r="J205" s="18"/>
      <c r="K205" s="18">
        <v>4997.6099999999997</v>
      </c>
      <c r="L205" s="13">
        <f t="shared" si="0"/>
        <v>451722.95999999996</v>
      </c>
      <c r="M205" s="8"/>
      <c r="N205" s="164"/>
    </row>
    <row r="206" spans="1:14" s="3" customFormat="1" ht="12.2" customHeight="1" x14ac:dyDescent="0.15">
      <c r="A206" s="1" t="s">
        <v>445</v>
      </c>
      <c r="B206" s="2" t="s">
        <v>341</v>
      </c>
      <c r="C206" s="2" t="s">
        <v>297</v>
      </c>
      <c r="D206" s="2" t="s">
        <v>431</v>
      </c>
      <c r="E206" s="6">
        <v>2400</v>
      </c>
      <c r="F206" s="18">
        <v>364650.12</v>
      </c>
      <c r="G206" s="18">
        <v>282583.06</v>
      </c>
      <c r="H206" s="18">
        <f>15842.27+886.01</f>
        <v>16728.28</v>
      </c>
      <c r="I206" s="18">
        <v>1635.38</v>
      </c>
      <c r="J206" s="18"/>
      <c r="K206" s="18">
        <v>144</v>
      </c>
      <c r="L206" s="13">
        <f t="shared" si="0"/>
        <v>665740.84</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252932.05+122327.34</f>
        <v>375259.39</v>
      </c>
      <c r="G208" s="18">
        <f>117863.39+55080.9</f>
        <v>172944.29</v>
      </c>
      <c r="H208" s="18">
        <f>167601.99+31951.28</f>
        <v>199553.27</v>
      </c>
      <c r="I208" s="18">
        <v>124236.16</v>
      </c>
      <c r="J208" s="18">
        <f>3754.45+4297.91</f>
        <v>8052.36</v>
      </c>
      <c r="K208" s="18"/>
      <c r="L208" s="13">
        <f t="shared" si="0"/>
        <v>880045.47000000009</v>
      </c>
      <c r="M208" s="8"/>
      <c r="N208" s="164"/>
    </row>
    <row r="209" spans="1:14" s="3" customFormat="1" ht="12.2" customHeight="1" x14ac:dyDescent="0.15">
      <c r="A209" s="1" t="s">
        <v>448</v>
      </c>
      <c r="B209" s="2" t="s">
        <v>341</v>
      </c>
      <c r="C209" s="2" t="s">
        <v>300</v>
      </c>
      <c r="D209" s="2" t="s">
        <v>431</v>
      </c>
      <c r="E209" s="6">
        <v>2700</v>
      </c>
      <c r="F209" s="18"/>
      <c r="G209" s="18"/>
      <c r="H209" s="18">
        <v>44527.02</v>
      </c>
      <c r="I209" s="18"/>
      <c r="J209" s="18"/>
      <c r="K209" s="18"/>
      <c r="L209" s="13">
        <f t="shared" si="0"/>
        <v>44527.02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5417119.6899999995</v>
      </c>
      <c r="G212" s="38">
        <f t="shared" si="1"/>
        <v>2739480.74</v>
      </c>
      <c r="H212" s="38">
        <f t="shared" si="1"/>
        <v>864099.54</v>
      </c>
      <c r="I212" s="38">
        <f t="shared" si="1"/>
        <v>233474.46000000002</v>
      </c>
      <c r="J212" s="38">
        <f t="shared" si="1"/>
        <v>141917.99999999997</v>
      </c>
      <c r="K212" s="38">
        <f t="shared" si="1"/>
        <v>5780.61</v>
      </c>
      <c r="L212" s="38">
        <f t="shared" si="1"/>
        <v>9401873.040000001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5461385.66+10436.25</f>
        <v>5471821.9100000001</v>
      </c>
      <c r="G234" s="18">
        <f>2092202.75+805.91</f>
        <v>2093008.66</v>
      </c>
      <c r="H234" s="18">
        <f>216926.6</f>
        <v>216926.6</v>
      </c>
      <c r="I234" s="18">
        <v>166996.43</v>
      </c>
      <c r="J234" s="18">
        <f>355796.56+2744.28</f>
        <v>358540.84</v>
      </c>
      <c r="K234" s="18">
        <v>18079.05</v>
      </c>
      <c r="L234" s="13">
        <f>SUM(F234:K234)</f>
        <v>8325373.4899999993</v>
      </c>
      <c r="M234" s="8"/>
      <c r="N234" s="164"/>
    </row>
    <row r="235" spans="1:14" s="3" customFormat="1" ht="12.2" customHeight="1" x14ac:dyDescent="0.15">
      <c r="A235" s="1" t="s">
        <v>439</v>
      </c>
      <c r="B235" s="2" t="s">
        <v>350</v>
      </c>
      <c r="C235" s="2" t="s">
        <v>291</v>
      </c>
      <c r="D235" s="2" t="s">
        <v>431</v>
      </c>
      <c r="E235" s="6">
        <v>1200</v>
      </c>
      <c r="F235" s="18">
        <v>1056210.2</v>
      </c>
      <c r="G235" s="18">
        <v>584682</v>
      </c>
      <c r="H235" s="18">
        <v>17600.599999999999</v>
      </c>
      <c r="I235" s="18">
        <v>5774.6</v>
      </c>
      <c r="J235" s="18">
        <v>12927.85</v>
      </c>
      <c r="K235" s="18">
        <v>735</v>
      </c>
      <c r="L235" s="13">
        <f>SUM(F235:K235)</f>
        <v>1677930.2500000002</v>
      </c>
      <c r="M235" s="8"/>
      <c r="N235" s="164"/>
    </row>
    <row r="236" spans="1:14" s="3" customFormat="1" ht="12.2" customHeight="1" x14ac:dyDescent="0.15">
      <c r="A236" s="1" t="s">
        <v>440</v>
      </c>
      <c r="B236" s="2" t="s">
        <v>350</v>
      </c>
      <c r="C236" s="2" t="s">
        <v>292</v>
      </c>
      <c r="D236" s="2" t="s">
        <v>431</v>
      </c>
      <c r="E236" s="6">
        <v>1300</v>
      </c>
      <c r="F236" s="18"/>
      <c r="G236" s="18"/>
      <c r="H236" s="18">
        <v>188612.81</v>
      </c>
      <c r="I236" s="18"/>
      <c r="J236" s="18"/>
      <c r="K236" s="18"/>
      <c r="L236" s="13">
        <f>SUM(F236:K236)</f>
        <v>188612.81</v>
      </c>
      <c r="M236" s="8"/>
      <c r="N236" s="164"/>
    </row>
    <row r="237" spans="1:14" s="3" customFormat="1" ht="12.2" customHeight="1" x14ac:dyDescent="0.15">
      <c r="A237" s="1" t="s">
        <v>441</v>
      </c>
      <c r="B237" s="2" t="s">
        <v>350</v>
      </c>
      <c r="C237" s="2" t="s">
        <v>293</v>
      </c>
      <c r="D237" s="2" t="s">
        <v>431</v>
      </c>
      <c r="E237" s="6">
        <v>1400</v>
      </c>
      <c r="F237" s="18">
        <v>580321.34</v>
      </c>
      <c r="G237" s="18">
        <v>178351.29</v>
      </c>
      <c r="H237" s="18">
        <v>192830.65</v>
      </c>
      <c r="I237" s="18">
        <v>35556.949999999997</v>
      </c>
      <c r="J237" s="18">
        <v>58812.28</v>
      </c>
      <c r="K237" s="18">
        <v>8816</v>
      </c>
      <c r="L237" s="13">
        <f>SUM(F237:K237)</f>
        <v>1054688.51</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917910.73</v>
      </c>
      <c r="G239" s="18">
        <v>410004.21</v>
      </c>
      <c r="H239" s="18">
        <v>16246.95</v>
      </c>
      <c r="I239" s="18">
        <v>4408.54</v>
      </c>
      <c r="J239" s="18">
        <v>1315.15</v>
      </c>
      <c r="K239" s="18">
        <v>1105</v>
      </c>
      <c r="L239" s="13">
        <f t="shared" ref="L239:L245" si="4">SUM(F239:K239)</f>
        <v>1350990.5799999998</v>
      </c>
      <c r="M239" s="8"/>
      <c r="N239" s="164"/>
    </row>
    <row r="240" spans="1:14" s="3" customFormat="1" ht="12.2" customHeight="1" x14ac:dyDescent="0.15">
      <c r="A240" s="1" t="s">
        <v>443</v>
      </c>
      <c r="B240" s="2" t="s">
        <v>350</v>
      </c>
      <c r="C240" s="2" t="s">
        <v>295</v>
      </c>
      <c r="D240" s="2" t="s">
        <v>431</v>
      </c>
      <c r="E240" s="6">
        <v>2200</v>
      </c>
      <c r="F240" s="18">
        <v>189464.28</v>
      </c>
      <c r="G240" s="18">
        <v>134557.35</v>
      </c>
      <c r="H240" s="18">
        <v>20416.48</v>
      </c>
      <c r="I240" s="18">
        <v>44482.64</v>
      </c>
      <c r="J240" s="18">
        <v>180861.4</v>
      </c>
      <c r="K240" s="18">
        <v>550</v>
      </c>
      <c r="L240" s="13">
        <f t="shared" si="4"/>
        <v>570332.15</v>
      </c>
      <c r="M240" s="8"/>
      <c r="N240" s="164"/>
    </row>
    <row r="241" spans="1:14" s="3" customFormat="1" ht="12.2" customHeight="1" x14ac:dyDescent="0.15">
      <c r="A241" s="1" t="s">
        <v>444</v>
      </c>
      <c r="B241" s="2" t="s">
        <v>350</v>
      </c>
      <c r="C241" s="2" t="s">
        <v>296</v>
      </c>
      <c r="D241" s="2" t="s">
        <v>431</v>
      </c>
      <c r="E241" s="6">
        <v>2300</v>
      </c>
      <c r="F241" s="18">
        <v>9411.93</v>
      </c>
      <c r="G241" s="18">
        <v>720.03</v>
      </c>
      <c r="H241" s="18">
        <v>857040.76</v>
      </c>
      <c r="I241" s="18"/>
      <c r="J241" s="18"/>
      <c r="K241" s="18">
        <v>9701.23</v>
      </c>
      <c r="L241" s="13">
        <f t="shared" si="4"/>
        <v>876873.95</v>
      </c>
      <c r="M241" s="8"/>
      <c r="N241" s="164"/>
    </row>
    <row r="242" spans="1:14" s="3" customFormat="1" ht="12.2" customHeight="1" x14ac:dyDescent="0.15">
      <c r="A242" s="1" t="s">
        <v>445</v>
      </c>
      <c r="B242" s="2" t="s">
        <v>350</v>
      </c>
      <c r="C242" s="2" t="s">
        <v>297</v>
      </c>
      <c r="D242" s="2" t="s">
        <v>431</v>
      </c>
      <c r="E242" s="6">
        <v>2400</v>
      </c>
      <c r="F242" s="18">
        <v>822529.94</v>
      </c>
      <c r="G242" s="18">
        <v>721733.97</v>
      </c>
      <c r="H242" s="18">
        <f>36477.34+1719.91</f>
        <v>38197.25</v>
      </c>
      <c r="I242" s="18">
        <v>20065.66</v>
      </c>
      <c r="J242" s="18"/>
      <c r="K242" s="18">
        <v>2758</v>
      </c>
      <c r="L242" s="13">
        <f t="shared" si="4"/>
        <v>1605284.8199999998</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160796.71+237458.94</f>
        <v>398255.65</v>
      </c>
      <c r="G244" s="18">
        <f>74616.97+106921.75</f>
        <v>181538.72</v>
      </c>
      <c r="H244" s="18">
        <f>659028.22+62023.07</f>
        <v>721051.28999999992</v>
      </c>
      <c r="I244" s="18">
        <f>272806.51+974.48</f>
        <v>273780.99</v>
      </c>
      <c r="J244" s="18">
        <f>4519.72+7368.52</f>
        <v>11888.240000000002</v>
      </c>
      <c r="K244" s="18"/>
      <c r="L244" s="13">
        <f t="shared" si="4"/>
        <v>1586514.89</v>
      </c>
      <c r="M244" s="8"/>
      <c r="N244" s="164"/>
    </row>
    <row r="245" spans="1:14" s="3" customFormat="1" ht="12.2" customHeight="1" x14ac:dyDescent="0.15">
      <c r="A245" s="1" t="s">
        <v>448</v>
      </c>
      <c r="B245" s="2" t="s">
        <v>350</v>
      </c>
      <c r="C245" s="2" t="s">
        <v>300</v>
      </c>
      <c r="D245" s="2" t="s">
        <v>431</v>
      </c>
      <c r="E245" s="6">
        <v>2700</v>
      </c>
      <c r="F245" s="18"/>
      <c r="G245" s="18"/>
      <c r="H245" s="18">
        <v>255699.02</v>
      </c>
      <c r="I245" s="18"/>
      <c r="J245" s="18"/>
      <c r="K245" s="18"/>
      <c r="L245" s="13">
        <f t="shared" si="4"/>
        <v>255699.02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9445925.9800000004</v>
      </c>
      <c r="G248" s="38">
        <f t="shared" si="5"/>
        <v>4304596.2299999995</v>
      </c>
      <c r="H248" s="38">
        <f t="shared" si="5"/>
        <v>2524622.41</v>
      </c>
      <c r="I248" s="38">
        <f t="shared" si="5"/>
        <v>551065.80999999994</v>
      </c>
      <c r="J248" s="38">
        <f t="shared" si="5"/>
        <v>624345.76</v>
      </c>
      <c r="K248" s="38">
        <f t="shared" si="5"/>
        <v>41744.28</v>
      </c>
      <c r="L248" s="38">
        <f t="shared" si="5"/>
        <v>17492300.469999999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21011.2+184734.41</f>
        <v>205745.61000000002</v>
      </c>
      <c r="I256" s="18"/>
      <c r="J256" s="18"/>
      <c r="K256" s="18"/>
      <c r="L256" s="13">
        <f t="shared" si="6"/>
        <v>205745.61000000002</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205745.61000000002</v>
      </c>
      <c r="I257" s="38">
        <f t="shared" si="7"/>
        <v>0</v>
      </c>
      <c r="J257" s="38">
        <f t="shared" si="7"/>
        <v>0</v>
      </c>
      <c r="K257" s="38">
        <f t="shared" si="7"/>
        <v>0</v>
      </c>
      <c r="L257" s="38">
        <f>SUM(F257:K257)</f>
        <v>205745.61000000002</v>
      </c>
      <c r="M257" s="8"/>
      <c r="N257" s="164"/>
    </row>
    <row r="258" spans="1:14" s="3" customFormat="1" ht="12.2" customHeight="1" thickTop="1" x14ac:dyDescent="0.15">
      <c r="A258" s="35" t="s">
        <v>462</v>
      </c>
      <c r="B258" s="37">
        <v>10</v>
      </c>
      <c r="C258" s="37">
        <v>8</v>
      </c>
      <c r="D258" s="36" t="s">
        <v>431</v>
      </c>
      <c r="E258" s="37"/>
      <c r="F258" s="38">
        <f t="shared" ref="F258:L258" si="8">F212+F230+F248+F257</f>
        <v>14863045.67</v>
      </c>
      <c r="G258" s="38">
        <f t="shared" si="8"/>
        <v>7044076.9699999997</v>
      </c>
      <c r="H258" s="38">
        <f t="shared" si="8"/>
        <v>3594467.56</v>
      </c>
      <c r="I258" s="38">
        <f t="shared" si="8"/>
        <v>784540.27</v>
      </c>
      <c r="J258" s="38">
        <f t="shared" si="8"/>
        <v>766263.76</v>
      </c>
      <c r="K258" s="38">
        <f t="shared" si="8"/>
        <v>47524.89</v>
      </c>
      <c r="L258" s="38">
        <f t="shared" si="8"/>
        <v>27099919.119999997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1577329.36</v>
      </c>
      <c r="L261" s="13">
        <f>SUM(F261:K261)</f>
        <v>1577329.36</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2116459.39</v>
      </c>
      <c r="L262" s="13">
        <f>SUM(F262:K262)</f>
        <v>2116459.39</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8120.36+81381.92</f>
        <v>89502.28</v>
      </c>
      <c r="L264" s="13">
        <f>SUM(F264:K264)</f>
        <v>89502.28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3783291.03</v>
      </c>
      <c r="L271" s="38">
        <f t="shared" si="9"/>
        <v>3783291.03</v>
      </c>
      <c r="M271" s="8"/>
      <c r="N271" s="164"/>
    </row>
    <row r="272" spans="1:14" s="33" customFormat="1" ht="12.2" customHeight="1" thickTop="1" x14ac:dyDescent="0.2">
      <c r="A272" s="40" t="s">
        <v>464</v>
      </c>
      <c r="B272" s="37">
        <v>10</v>
      </c>
      <c r="C272" s="37">
        <v>18</v>
      </c>
      <c r="D272" s="36" t="s">
        <v>431</v>
      </c>
      <c r="E272" s="37"/>
      <c r="F272" s="39">
        <f t="shared" ref="F272:L272" si="11">F258+F271</f>
        <v>14863045.67</v>
      </c>
      <c r="G272" s="39">
        <f t="shared" si="11"/>
        <v>7044076.9699999997</v>
      </c>
      <c r="H272" s="39">
        <f t="shared" si="11"/>
        <v>3594467.56</v>
      </c>
      <c r="I272" s="39">
        <f t="shared" si="11"/>
        <v>784540.27</v>
      </c>
      <c r="J272" s="39">
        <f t="shared" si="11"/>
        <v>766263.76</v>
      </c>
      <c r="K272" s="39">
        <f t="shared" si="11"/>
        <v>3830815.92</v>
      </c>
      <c r="L272" s="39">
        <f t="shared" si="11"/>
        <v>30883210.149999999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v>53857</v>
      </c>
      <c r="I277" s="18">
        <v>633.64</v>
      </c>
      <c r="J277" s="18">
        <v>4650</v>
      </c>
      <c r="K277" s="18"/>
      <c r="L277" s="13">
        <f>SUM(F277:K277)</f>
        <v>59140.639999999999</v>
      </c>
      <c r="M277" s="8"/>
      <c r="N277" s="164"/>
    </row>
    <row r="278" spans="1:14" s="3" customFormat="1" ht="12.2" customHeight="1" x14ac:dyDescent="0.15">
      <c r="A278" s="1" t="s">
        <v>439</v>
      </c>
      <c r="B278" s="2" t="s">
        <v>357</v>
      </c>
      <c r="C278" s="2" t="s">
        <v>291</v>
      </c>
      <c r="D278" s="2" t="s">
        <v>431</v>
      </c>
      <c r="E278" s="6">
        <v>1200</v>
      </c>
      <c r="F278" s="18">
        <v>90000</v>
      </c>
      <c r="G278" s="18">
        <v>2624.5</v>
      </c>
      <c r="H278" s="18"/>
      <c r="I278" s="18"/>
      <c r="J278" s="18">
        <v>2973.2</v>
      </c>
      <c r="K278" s="18"/>
      <c r="L278" s="13">
        <f>SUM(F278:K278)</f>
        <v>95597.7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v>58604.59</v>
      </c>
      <c r="I280" s="18"/>
      <c r="J280" s="18"/>
      <c r="K280" s="18"/>
      <c r="L280" s="13">
        <f>SUM(F280:K280)</f>
        <v>58604.59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90000</v>
      </c>
      <c r="G291" s="39">
        <f t="shared" si="13"/>
        <v>2624.5</v>
      </c>
      <c r="H291" s="39">
        <f t="shared" si="13"/>
        <v>112461.59</v>
      </c>
      <c r="I291" s="39">
        <f t="shared" si="13"/>
        <v>633.64</v>
      </c>
      <c r="J291" s="39">
        <f t="shared" si="13"/>
        <v>7623.2</v>
      </c>
      <c r="K291" s="39">
        <f t="shared" si="13"/>
        <v>0</v>
      </c>
      <c r="L291" s="38">
        <f t="shared" si="13"/>
        <v>213342.93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12009.8</v>
      </c>
      <c r="G315" s="18">
        <v>693.3</v>
      </c>
      <c r="H315" s="18">
        <v>316441.05</v>
      </c>
      <c r="I315" s="18">
        <v>12675.33</v>
      </c>
      <c r="J315" s="18"/>
      <c r="K315" s="18"/>
      <c r="L315" s="13">
        <f>SUM(F315:K315)</f>
        <v>341819.48</v>
      </c>
      <c r="M315" s="8"/>
      <c r="N315" s="164"/>
    </row>
    <row r="316" spans="1:14" s="3" customFormat="1" ht="12.2" customHeight="1" x14ac:dyDescent="0.15">
      <c r="A316" s="1" t="s">
        <v>439</v>
      </c>
      <c r="B316" s="2" t="s">
        <v>359</v>
      </c>
      <c r="C316" s="2" t="s">
        <v>291</v>
      </c>
      <c r="D316" s="2" t="s">
        <v>431</v>
      </c>
      <c r="E316" s="6">
        <v>1200</v>
      </c>
      <c r="F316" s="18">
        <v>90000</v>
      </c>
      <c r="G316" s="18">
        <v>2624.5</v>
      </c>
      <c r="H316" s="18"/>
      <c r="I316" s="18"/>
      <c r="J316" s="18">
        <v>2973.2</v>
      </c>
      <c r="K316" s="18"/>
      <c r="L316" s="13">
        <f>SUM(F316:K316)</f>
        <v>95597.7</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v>600499.48</v>
      </c>
      <c r="I318" s="18"/>
      <c r="J318" s="18"/>
      <c r="K318" s="18"/>
      <c r="L318" s="13">
        <f>SUM(F318:K318)</f>
        <v>600499.48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f>2120.46+12278.3</f>
        <v>14398.759999999998</v>
      </c>
      <c r="G321" s="18"/>
      <c r="H321" s="18">
        <f>1060+6602.5</f>
        <v>7662.5</v>
      </c>
      <c r="I321" s="18"/>
      <c r="J321" s="18"/>
      <c r="K321" s="18"/>
      <c r="L321" s="13">
        <f t="shared" si="16"/>
        <v>22061.26</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116408.56</v>
      </c>
      <c r="G329" s="39">
        <f t="shared" si="17"/>
        <v>3317.8</v>
      </c>
      <c r="H329" s="39">
        <f t="shared" si="17"/>
        <v>924603.03</v>
      </c>
      <c r="I329" s="39">
        <f t="shared" si="17"/>
        <v>12675.33</v>
      </c>
      <c r="J329" s="39">
        <f t="shared" si="17"/>
        <v>2973.2</v>
      </c>
      <c r="K329" s="39">
        <f t="shared" si="17"/>
        <v>0</v>
      </c>
      <c r="L329" s="38">
        <f t="shared" si="17"/>
        <v>1059977.92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206408.56</v>
      </c>
      <c r="G339" s="38">
        <f t="shared" si="20"/>
        <v>5942.3</v>
      </c>
      <c r="H339" s="38">
        <f t="shared" si="20"/>
        <v>1037064.62</v>
      </c>
      <c r="I339" s="38">
        <f t="shared" si="20"/>
        <v>13308.97</v>
      </c>
      <c r="J339" s="38">
        <f t="shared" si="20"/>
        <v>10596.4</v>
      </c>
      <c r="K339" s="38">
        <f t="shared" si="20"/>
        <v>0</v>
      </c>
      <c r="L339" s="38">
        <f t="shared" si="20"/>
        <v>1273320.8499999999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206408.56</v>
      </c>
      <c r="G353" s="38">
        <f>G339</f>
        <v>5942.3</v>
      </c>
      <c r="H353" s="38">
        <f>H339</f>
        <v>1037064.62</v>
      </c>
      <c r="I353" s="38">
        <f>I339</f>
        <v>13308.97</v>
      </c>
      <c r="J353" s="38">
        <f>J339</f>
        <v>10596.4</v>
      </c>
      <c r="K353" s="38">
        <f>K339+K352</f>
        <v>0</v>
      </c>
      <c r="L353" s="38">
        <f>L339+L352</f>
        <v>1273320.8499999999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73094.100000000006</v>
      </c>
      <c r="G359" s="18">
        <v>24115.35</v>
      </c>
      <c r="H359" s="18">
        <v>9743.3799999999992</v>
      </c>
      <c r="I359" s="18">
        <v>147111.22</v>
      </c>
      <c r="J359" s="18"/>
      <c r="K359" s="18"/>
      <c r="L359" s="13">
        <f>SUM(F359:K359)</f>
        <v>254064.05000000002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f>18763.79+656287.68</f>
        <v>675051.47000000009</v>
      </c>
      <c r="I361" s="18"/>
      <c r="J361" s="18">
        <v>900</v>
      </c>
      <c r="K361" s="18"/>
      <c r="L361" s="13">
        <f>SUM(F361:K361)</f>
        <v>675951.47000000009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73094.100000000006</v>
      </c>
      <c r="G363" s="38">
        <f t="shared" si="22"/>
        <v>24115.35</v>
      </c>
      <c r="H363" s="38">
        <f t="shared" si="22"/>
        <v>684794.85000000009</v>
      </c>
      <c r="I363" s="38">
        <f t="shared" si="22"/>
        <v>147111.22</v>
      </c>
      <c r="J363" s="38">
        <f t="shared" si="22"/>
        <v>900</v>
      </c>
      <c r="K363" s="38">
        <f t="shared" si="22"/>
        <v>0</v>
      </c>
      <c r="L363" s="38">
        <f t="shared" si="22"/>
        <v>930015.52000000014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138416.68</v>
      </c>
      <c r="G368" s="18"/>
      <c r="H368" s="18"/>
      <c r="I368" s="13">
        <f>SUM(F368:H368)</f>
        <v>138416.68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8694.5400000000009</v>
      </c>
      <c r="G369" s="53"/>
      <c r="H369" s="53"/>
      <c r="I369" s="13">
        <f>SUM(F369:H369)</f>
        <v>8694.5400000000009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147111.22</v>
      </c>
      <c r="G370" s="38">
        <f>SUM(G368:G369)</f>
        <v>0</v>
      </c>
      <c r="H370" s="38">
        <f>SUM(H368:H369)</f>
        <v>0</v>
      </c>
      <c r="I370" s="38">
        <f>SUM(I368:I369)</f>
        <v>147111.22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2053604</v>
      </c>
      <c r="I380" s="18"/>
      <c r="J380" s="18"/>
      <c r="K380" s="18"/>
      <c r="L380" s="13">
        <f t="shared" si="23"/>
        <v>2053604</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2053604</v>
      </c>
      <c r="I383" s="38">
        <f t="shared" si="24"/>
        <v>0</v>
      </c>
      <c r="J383" s="38">
        <f t="shared" si="24"/>
        <v>0</v>
      </c>
      <c r="K383" s="38">
        <f t="shared" si="24"/>
        <v>0</v>
      </c>
      <c r="L383" s="38">
        <f t="shared" si="24"/>
        <v>2053604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-493</v>
      </c>
      <c r="I401" s="18">
        <f>1703+3523</f>
        <v>5226</v>
      </c>
      <c r="J401" s="23" t="s">
        <v>288</v>
      </c>
      <c r="K401" s="23" t="s">
        <v>288</v>
      </c>
      <c r="L401" s="13">
        <f t="shared" si="26"/>
        <v>4733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-493</v>
      </c>
      <c r="I402" s="38">
        <f>SUM(I396:I401)</f>
        <v>5226</v>
      </c>
      <c r="J402" s="42" t="s">
        <v>288</v>
      </c>
      <c r="K402" s="42" t="s">
        <v>288</v>
      </c>
      <c r="L402" s="38">
        <f>SUM(L396:L401)</f>
        <v>4733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-493</v>
      </c>
      <c r="I409" s="38">
        <f>I394+I402+I408</f>
        <v>5226</v>
      </c>
      <c r="J409" s="23" t="s">
        <v>288</v>
      </c>
      <c r="K409" s="23" t="s">
        <v>288</v>
      </c>
      <c r="L409" s="38">
        <f>L394+L402+L408</f>
        <v>4733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203</v>
      </c>
      <c r="I427" s="18"/>
      <c r="J427" s="18"/>
      <c r="K427" s="18"/>
      <c r="L427" s="13">
        <f t="shared" si="29"/>
        <v>203</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203</v>
      </c>
      <c r="I428" s="38">
        <f t="shared" si="30"/>
        <v>0</v>
      </c>
      <c r="J428" s="38">
        <f t="shared" si="30"/>
        <v>0</v>
      </c>
      <c r="K428" s="38">
        <f t="shared" si="30"/>
        <v>0</v>
      </c>
      <c r="L428" s="38">
        <f t="shared" si="30"/>
        <v>203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203</v>
      </c>
      <c r="I435" s="38">
        <f t="shared" si="32"/>
        <v>0</v>
      </c>
      <c r="J435" s="38">
        <f t="shared" si="32"/>
        <v>0</v>
      </c>
      <c r="K435" s="38">
        <f t="shared" si="32"/>
        <v>0</v>
      </c>
      <c r="L435" s="38">
        <f t="shared" si="32"/>
        <v>203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46895</v>
      </c>
      <c r="H440" s="18"/>
      <c r="I440" s="13">
        <f t="shared" ref="I440:I446" si="33">SUM(F440:H440)</f>
        <v>46895</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46895</v>
      </c>
      <c r="H447" s="13">
        <f>SUM(H440:H446)</f>
        <v>0</v>
      </c>
      <c r="I447" s="13">
        <f>SUM(I440:I446)</f>
        <v>46895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46895</v>
      </c>
      <c r="H460" s="18"/>
      <c r="I460" s="13">
        <f t="shared" si="34"/>
        <v>46895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46895</v>
      </c>
      <c r="H461" s="65">
        <f>SUM(H455:H460)</f>
        <v>0</v>
      </c>
      <c r="I461" s="65">
        <f>SUM(I455:I460)</f>
        <v>46895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46895</v>
      </c>
      <c r="H462" s="39">
        <f>H453+H461</f>
        <v>0</v>
      </c>
      <c r="I462" s="39">
        <f>I453+I461</f>
        <v>46895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756344.43</v>
      </c>
      <c r="G466" s="18">
        <v>10070.83</v>
      </c>
      <c r="H466" s="18">
        <v>503244.57</v>
      </c>
      <c r="I466" s="18">
        <v>1744436.27</v>
      </c>
      <c r="J466" s="18">
        <v>42365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31044884.600000001</v>
      </c>
      <c r="G469" s="18">
        <f>620637.88+254419.53+19886.99</f>
        <v>894944.4</v>
      </c>
      <c r="H469" s="18">
        <v>1273866.3999999999</v>
      </c>
      <c r="I469" s="18">
        <v>33000</v>
      </c>
      <c r="J469" s="18">
        <f>1703-493+3523</f>
        <v>4733</v>
      </c>
      <c r="K469" s="23" t="s">
        <v>288</v>
      </c>
      <c r="L469" s="23" t="s">
        <v>288</v>
      </c>
      <c r="N469" s="130"/>
    </row>
    <row r="470" spans="1:14" ht="12.2" customHeight="1" x14ac:dyDescent="0.2">
      <c r="A470" s="71" t="s">
        <v>611</v>
      </c>
      <c r="B470" s="22">
        <v>19</v>
      </c>
      <c r="C470" s="31">
        <v>3</v>
      </c>
      <c r="D470" s="2" t="s">
        <v>432</v>
      </c>
      <c r="E470" s="31"/>
      <c r="F470" s="18"/>
      <c r="G470" s="18">
        <v>580.02</v>
      </c>
      <c r="H470" s="18">
        <v>-8834.15</v>
      </c>
      <c r="I470" s="18"/>
      <c r="J470" s="18"/>
      <c r="K470" s="23" t="s">
        <v>288</v>
      </c>
      <c r="L470" s="23" t="s">
        <v>288</v>
      </c>
      <c r="N470" s="130"/>
    </row>
    <row r="471" spans="1:14" ht="12.2" customHeight="1" x14ac:dyDescent="0.2">
      <c r="A471" s="32" t="s">
        <v>425</v>
      </c>
      <c r="B471" s="22">
        <v>19</v>
      </c>
      <c r="C471" s="31">
        <v>4</v>
      </c>
      <c r="D471" s="2" t="s">
        <v>432</v>
      </c>
      <c r="E471" s="31"/>
      <c r="F471" s="19">
        <f>SUM(F469:F470)</f>
        <v>31044884.600000001</v>
      </c>
      <c r="G471" s="19">
        <f>SUM(G469:G470)</f>
        <v>895524.42</v>
      </c>
      <c r="H471" s="19">
        <f>SUM(H469:H470)</f>
        <v>1265032.25</v>
      </c>
      <c r="I471" s="19">
        <f>SUM(I469:I470)</f>
        <v>33000</v>
      </c>
      <c r="J471" s="19">
        <f>SUM(J469:J470)</f>
        <v>4733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30883210.15</f>
        <v>30883210.149999999</v>
      </c>
      <c r="G473" s="18">
        <f>675951.47+254064.05</f>
        <v>930015.52</v>
      </c>
      <c r="H473" s="18">
        <v>1273320.8500000001</v>
      </c>
      <c r="I473" s="18">
        <f>824650+553270+675684</f>
        <v>2053604</v>
      </c>
      <c r="J473" s="18">
        <v>203</v>
      </c>
      <c r="K473" s="23" t="s">
        <v>288</v>
      </c>
      <c r="L473" s="23" t="s">
        <v>288</v>
      </c>
      <c r="N473" s="130"/>
    </row>
    <row r="474" spans="1:14" ht="12.2" customHeight="1" x14ac:dyDescent="0.2">
      <c r="A474" s="71" t="s">
        <v>613</v>
      </c>
      <c r="B474" s="22">
        <v>19</v>
      </c>
      <c r="C474" s="31">
        <v>6</v>
      </c>
      <c r="D474" s="2" t="s">
        <v>432</v>
      </c>
      <c r="E474" s="31"/>
      <c r="F474" s="18">
        <v>45212</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30928422.149999999</v>
      </c>
      <c r="G475" s="19">
        <f>SUM(G473:G474)</f>
        <v>930015.52</v>
      </c>
      <c r="H475" s="19">
        <f>SUM(H473:H474)</f>
        <v>1273320.8500000001</v>
      </c>
      <c r="I475" s="19">
        <f>SUM(I473:I474)</f>
        <v>2053604</v>
      </c>
      <c r="J475" s="19">
        <f>SUM(J473:J474)</f>
        <v>203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872806.88000000268</v>
      </c>
      <c r="G477" s="19">
        <f>(G466+G471)- G475</f>
        <v>-24420.270000000019</v>
      </c>
      <c r="H477" s="19">
        <f>(H466+H471)- H475</f>
        <v>494955.97</v>
      </c>
      <c r="I477" s="19">
        <f>(I466+I471)- I475</f>
        <v>-276167.73</v>
      </c>
      <c r="J477" s="19">
        <f>(J466+J471)- J475</f>
        <v>46895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1846</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1845</v>
      </c>
      <c r="B484" s="73"/>
      <c r="C484" s="73"/>
      <c r="D484" s="73"/>
      <c r="E484" s="73"/>
      <c r="F484" s="73"/>
      <c r="G484" s="73"/>
      <c r="H484" s="73"/>
      <c r="I484" s="73" t="s">
        <v>18</v>
      </c>
      <c r="J484" s="73"/>
      <c r="K484" s="73"/>
      <c r="L484" s="73"/>
      <c r="N484" s="130"/>
    </row>
    <row r="485" spans="1:14" ht="12.2" customHeight="1" x14ac:dyDescent="0.2">
      <c r="A485" s="55" t="s">
        <v>1852</v>
      </c>
      <c r="B485" s="73"/>
      <c r="C485" s="73"/>
      <c r="D485" s="73"/>
      <c r="E485" s="73"/>
      <c r="F485" s="73"/>
      <c r="G485" s="73"/>
      <c r="H485" s="73"/>
      <c r="I485" s="73" t="s">
        <v>474</v>
      </c>
      <c r="J485" s="73"/>
      <c r="K485" s="73"/>
      <c r="L485" s="73"/>
      <c r="N485" s="130"/>
    </row>
    <row r="486" spans="1:14" ht="12.2" customHeight="1" x14ac:dyDescent="0.2">
      <c r="A486" s="55" t="s">
        <v>1851</v>
      </c>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v>20</v>
      </c>
      <c r="I491" s="111">
        <v>15</v>
      </c>
      <c r="J491" s="111">
        <v>5</v>
      </c>
      <c r="K491" s="23" t="s">
        <v>288</v>
      </c>
      <c r="L491" s="23" t="s">
        <v>288</v>
      </c>
      <c r="N491" s="130"/>
    </row>
    <row r="492" spans="1:14" ht="12.2" customHeight="1" x14ac:dyDescent="0.2">
      <c r="A492" s="21" t="s">
        <v>615</v>
      </c>
      <c r="B492" s="22">
        <v>20</v>
      </c>
      <c r="C492" s="22">
        <v>2</v>
      </c>
      <c r="D492" s="2" t="s">
        <v>432</v>
      </c>
      <c r="E492" s="22"/>
      <c r="F492" s="112" t="s">
        <v>1841</v>
      </c>
      <c r="G492" s="112" t="s">
        <v>1843</v>
      </c>
      <c r="H492" s="111">
        <f>8/15/2003</f>
        <v>2.6626726576801463E-4</v>
      </c>
      <c r="I492" s="111">
        <f>9/19</f>
        <v>0.47368421052631576</v>
      </c>
      <c r="J492" s="111">
        <f>8/21</f>
        <v>0.38095238095238093</v>
      </c>
      <c r="K492" s="23" t="s">
        <v>288</v>
      </c>
      <c r="L492" s="23" t="s">
        <v>288</v>
      </c>
      <c r="N492" s="130"/>
    </row>
    <row r="493" spans="1:14" ht="12.2" customHeight="1" x14ac:dyDescent="0.2">
      <c r="A493" s="21" t="s">
        <v>616</v>
      </c>
      <c r="B493" s="22">
        <v>20</v>
      </c>
      <c r="C493" s="22">
        <v>3</v>
      </c>
      <c r="D493" s="2" t="s">
        <v>432</v>
      </c>
      <c r="E493" s="22"/>
      <c r="F493" s="112" t="s">
        <v>1842</v>
      </c>
      <c r="G493" s="112" t="s">
        <v>1844</v>
      </c>
      <c r="H493" s="111">
        <f>8/24</f>
        <v>0.33333333333333331</v>
      </c>
      <c r="I493" s="111">
        <f>9/34</f>
        <v>0.26470588235294118</v>
      </c>
      <c r="J493" s="111">
        <f>8/26</f>
        <v>0.30769230769230771</v>
      </c>
      <c r="K493" s="23" t="s">
        <v>288</v>
      </c>
      <c r="L493" s="23" t="s">
        <v>288</v>
      </c>
      <c r="N493" s="130"/>
    </row>
    <row r="494" spans="1:14" ht="12.2" customHeight="1" x14ac:dyDescent="0.2">
      <c r="A494" s="21" t="s">
        <v>617</v>
      </c>
      <c r="B494" s="22">
        <v>20</v>
      </c>
      <c r="C494" s="22">
        <v>4</v>
      </c>
      <c r="D494" s="2" t="s">
        <v>432</v>
      </c>
      <c r="E494" s="22"/>
      <c r="F494" s="18">
        <v>2532900</v>
      </c>
      <c r="G494" s="18">
        <v>4000000</v>
      </c>
      <c r="H494" s="18">
        <v>38460936</v>
      </c>
      <c r="I494" s="18">
        <v>900000</v>
      </c>
      <c r="J494" s="18">
        <v>441958</v>
      </c>
      <c r="K494" s="23" t="s">
        <v>288</v>
      </c>
      <c r="L494" s="23" t="s">
        <v>288</v>
      </c>
      <c r="N494" s="130"/>
    </row>
    <row r="495" spans="1:14" ht="12.2" customHeight="1" x14ac:dyDescent="0.2">
      <c r="A495" s="21" t="s">
        <v>618</v>
      </c>
      <c r="B495" s="22">
        <v>20</v>
      </c>
      <c r="C495" s="22">
        <v>5</v>
      </c>
      <c r="D495" s="2" t="s">
        <v>432</v>
      </c>
      <c r="E495" s="22"/>
      <c r="F495" s="18">
        <v>4.08</v>
      </c>
      <c r="G495" s="18">
        <v>4.47</v>
      </c>
      <c r="H495" s="18">
        <v>4.62</v>
      </c>
      <c r="I495" s="18">
        <v>2.8</v>
      </c>
      <c r="J495" s="18">
        <v>2.5</v>
      </c>
      <c r="K495" s="23" t="s">
        <v>288</v>
      </c>
      <c r="L495" s="23" t="s">
        <v>288</v>
      </c>
      <c r="N495" s="130"/>
    </row>
    <row r="496" spans="1:14" ht="12.2" customHeight="1" x14ac:dyDescent="0.2">
      <c r="A496" s="21" t="s">
        <v>619</v>
      </c>
      <c r="B496" s="22">
        <v>20</v>
      </c>
      <c r="C496" s="22">
        <v>6</v>
      </c>
      <c r="D496" s="2" t="s">
        <v>432</v>
      </c>
      <c r="E496" s="22"/>
      <c r="F496" s="18">
        <v>346141</v>
      </c>
      <c r="G496" s="18">
        <v>258971</v>
      </c>
      <c r="H496" s="18">
        <v>1152541</v>
      </c>
      <c r="I496" s="18">
        <v>720000</v>
      </c>
      <c r="J496" s="18">
        <v>358256</v>
      </c>
      <c r="K496" s="19">
        <f>SUM(F496:J496)</f>
        <v>2835909</v>
      </c>
      <c r="L496" s="23" t="s">
        <v>288</v>
      </c>
      <c r="N496" s="130"/>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0"/>
    </row>
    <row r="498" spans="1:14" ht="12.2" customHeight="1" x14ac:dyDescent="0.2">
      <c r="A498" s="21" t="s">
        <v>621</v>
      </c>
      <c r="B498" s="22">
        <v>20</v>
      </c>
      <c r="C498" s="22">
        <v>8</v>
      </c>
      <c r="D498" s="2" t="s">
        <v>432</v>
      </c>
      <c r="E498" s="22"/>
      <c r="F498" s="18">
        <v>93520</v>
      </c>
      <c r="G498" s="18">
        <v>132070</v>
      </c>
      <c r="H498" s="18">
        <v>1152541</v>
      </c>
      <c r="I498" s="18">
        <v>54827</v>
      </c>
      <c r="J498" s="18">
        <f>60000+84372</f>
        <v>144372</v>
      </c>
      <c r="K498" s="19">
        <f t="shared" si="35"/>
        <v>1577330</v>
      </c>
      <c r="L498" s="23" t="s">
        <v>288</v>
      </c>
      <c r="N498" s="130"/>
    </row>
    <row r="499" spans="1:14" ht="12.2" customHeight="1" x14ac:dyDescent="0.2">
      <c r="A499" s="143" t="s">
        <v>622</v>
      </c>
      <c r="B499" s="144">
        <v>20</v>
      </c>
      <c r="C499" s="144">
        <v>9</v>
      </c>
      <c r="D499" s="145" t="s">
        <v>432</v>
      </c>
      <c r="E499" s="144"/>
      <c r="F499" s="146">
        <v>252621</v>
      </c>
      <c r="G499" s="146">
        <v>126901</v>
      </c>
      <c r="H499" s="146">
        <v>0</v>
      </c>
      <c r="I499" s="146">
        <v>665173</v>
      </c>
      <c r="J499" s="146">
        <v>213884</v>
      </c>
      <c r="K499" s="147">
        <f t="shared" si="35"/>
        <v>1258579</v>
      </c>
      <c r="L499" s="148" t="s">
        <v>288</v>
      </c>
      <c r="N499" s="130"/>
    </row>
    <row r="500" spans="1:14" ht="12.2" customHeight="1" thickBot="1" x14ac:dyDescent="0.25">
      <c r="A500" s="21" t="s">
        <v>623</v>
      </c>
      <c r="B500" s="22">
        <v>20</v>
      </c>
      <c r="C500" s="22">
        <v>10</v>
      </c>
      <c r="D500" s="2" t="s">
        <v>432</v>
      </c>
      <c r="E500" s="22"/>
      <c r="F500" s="18">
        <v>310248</v>
      </c>
      <c r="G500" s="18">
        <v>182848</v>
      </c>
      <c r="H500" s="18">
        <v>0</v>
      </c>
      <c r="I500" s="18">
        <v>2064</v>
      </c>
      <c r="J500" s="18">
        <v>11407</v>
      </c>
      <c r="K500" s="19">
        <f t="shared" si="35"/>
        <v>506567</v>
      </c>
      <c r="L500" s="23" t="s">
        <v>288</v>
      </c>
      <c r="N500" s="130"/>
    </row>
    <row r="501" spans="1:14" ht="12.2" customHeight="1" thickTop="1" x14ac:dyDescent="0.2">
      <c r="A501" s="97" t="s">
        <v>624</v>
      </c>
      <c r="B501" s="41">
        <v>20</v>
      </c>
      <c r="C501" s="41">
        <v>11</v>
      </c>
      <c r="D501" s="36" t="s">
        <v>432</v>
      </c>
      <c r="E501" s="41"/>
      <c r="F501" s="39">
        <f>SUM(F499:F500)</f>
        <v>562869</v>
      </c>
      <c r="G501" s="39">
        <f>SUM(G499:G500)</f>
        <v>309749</v>
      </c>
      <c r="H501" s="39">
        <f>SUM(H499:H500)</f>
        <v>0</v>
      </c>
      <c r="I501" s="39">
        <f>SUM(I499:I500)</f>
        <v>667237</v>
      </c>
      <c r="J501" s="39">
        <f>SUM(J499:J500)</f>
        <v>225291</v>
      </c>
      <c r="K501" s="39">
        <f t="shared" si="35"/>
        <v>1765146</v>
      </c>
      <c r="L501" s="42" t="s">
        <v>288</v>
      </c>
      <c r="N501" s="130"/>
    </row>
    <row r="502" spans="1:14" ht="12.2" customHeight="1" x14ac:dyDescent="0.2">
      <c r="A502" s="143" t="s">
        <v>651</v>
      </c>
      <c r="B502" s="144">
        <v>20</v>
      </c>
      <c r="C502" s="144">
        <v>12</v>
      </c>
      <c r="D502" s="145" t="s">
        <v>432</v>
      </c>
      <c r="E502" s="144"/>
      <c r="F502" s="146">
        <v>93520</v>
      </c>
      <c r="G502" s="146">
        <v>126901</v>
      </c>
      <c r="H502" s="146">
        <v>0</v>
      </c>
      <c r="I502" s="146">
        <v>60000</v>
      </c>
      <c r="J502" s="146">
        <v>86279</v>
      </c>
      <c r="K502" s="147">
        <f t="shared" si="35"/>
        <v>366700</v>
      </c>
      <c r="L502" s="148" t="s">
        <v>288</v>
      </c>
      <c r="N502" s="130"/>
    </row>
    <row r="503" spans="1:14" ht="12.2" customHeight="1" thickBot="1" x14ac:dyDescent="0.25">
      <c r="A503" s="21" t="s">
        <v>625</v>
      </c>
      <c r="B503" s="22">
        <v>20</v>
      </c>
      <c r="C503" s="22">
        <v>13</v>
      </c>
      <c r="D503" s="2" t="s">
        <v>432</v>
      </c>
      <c r="E503" s="22"/>
      <c r="F503" s="18">
        <v>90386</v>
      </c>
      <c r="G503" s="18">
        <v>182848</v>
      </c>
      <c r="H503" s="18">
        <v>0</v>
      </c>
      <c r="I503" s="18">
        <v>20160</v>
      </c>
      <c r="J503" s="18">
        <v>8956</v>
      </c>
      <c r="K503" s="19">
        <f t="shared" si="35"/>
        <v>302350</v>
      </c>
      <c r="L503" s="23" t="s">
        <v>288</v>
      </c>
      <c r="N503" s="130"/>
    </row>
    <row r="504" spans="1:14" ht="12.2" customHeight="1" thickTop="1" x14ac:dyDescent="0.2">
      <c r="A504" s="97" t="s">
        <v>626</v>
      </c>
      <c r="B504" s="41">
        <v>20</v>
      </c>
      <c r="C504" s="41">
        <v>14</v>
      </c>
      <c r="D504" s="36" t="s">
        <v>432</v>
      </c>
      <c r="E504" s="41"/>
      <c r="F504" s="39">
        <f>SUM(F502:F503)</f>
        <v>183906</v>
      </c>
      <c r="G504" s="39">
        <f>SUM(G502:G503)</f>
        <v>309749</v>
      </c>
      <c r="H504" s="39">
        <f>SUM(H502:H503)</f>
        <v>0</v>
      </c>
      <c r="I504" s="39">
        <f>SUM(I502:I503)</f>
        <v>80160</v>
      </c>
      <c r="J504" s="39">
        <f>SUM(J502:J503)</f>
        <v>95235</v>
      </c>
      <c r="K504" s="39">
        <f t="shared" si="35"/>
        <v>669050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1161089.45</v>
      </c>
      <c r="G522" s="18">
        <f>630003.09+2624.5</f>
        <v>632627.59</v>
      </c>
      <c r="H522" s="18">
        <v>18100.310000000001</v>
      </c>
      <c r="I522" s="18">
        <v>2994.5</v>
      </c>
      <c r="J522" s="18">
        <f>190.96+2973.2</f>
        <v>3164.16</v>
      </c>
      <c r="K522" s="18">
        <v>270</v>
      </c>
      <c r="L522" s="69">
        <f>SUM(F522:K522)</f>
        <v>1818246.01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1056210.2</v>
      </c>
      <c r="G524" s="18">
        <f>584682+2624.5</f>
        <v>587306.5</v>
      </c>
      <c r="H524" s="18">
        <v>17600.599999999999</v>
      </c>
      <c r="I524" s="18">
        <v>5774.6</v>
      </c>
      <c r="J524" s="18">
        <f>12927.85+2973.2</f>
        <v>15901.05</v>
      </c>
      <c r="K524" s="18">
        <v>735</v>
      </c>
      <c r="L524" s="69">
        <f>SUM(F524:K524)</f>
        <v>1683527.9500000002</v>
      </c>
      <c r="N524" s="130"/>
    </row>
    <row r="525" spans="1:14" ht="12.2" customHeight="1" thickTop="1" x14ac:dyDescent="0.2">
      <c r="A525" s="97" t="s">
        <v>63</v>
      </c>
      <c r="B525" s="41">
        <v>21</v>
      </c>
      <c r="C525" s="41">
        <v>4</v>
      </c>
      <c r="D525" s="115" t="s">
        <v>432</v>
      </c>
      <c r="E525" s="41"/>
      <c r="F525" s="81">
        <f>SUM(F522:F524)</f>
        <v>2217299.65</v>
      </c>
      <c r="G525" s="81">
        <f t="shared" ref="G525:L525" si="36">SUM(G522:G524)</f>
        <v>1219934.0899999999</v>
      </c>
      <c r="H525" s="81">
        <f t="shared" si="36"/>
        <v>35700.910000000003</v>
      </c>
      <c r="I525" s="81">
        <f t="shared" si="36"/>
        <v>8769.1</v>
      </c>
      <c r="J525" s="81">
        <f t="shared" si="36"/>
        <v>19065.21</v>
      </c>
      <c r="K525" s="81">
        <f t="shared" si="36"/>
        <v>1005</v>
      </c>
      <c r="L525" s="70">
        <f t="shared" si="36"/>
        <v>3501773.96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16246.95</v>
      </c>
      <c r="I529" s="18"/>
      <c r="J529" s="18"/>
      <c r="K529" s="18"/>
      <c r="L529" s="69">
        <f>SUM(F529:K529)</f>
        <v>16246.95</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16246.95</v>
      </c>
      <c r="I530" s="70">
        <f t="shared" si="37"/>
        <v>0</v>
      </c>
      <c r="J530" s="70">
        <f t="shared" si="37"/>
        <v>0</v>
      </c>
      <c r="K530" s="70">
        <f t="shared" si="37"/>
        <v>0</v>
      </c>
      <c r="L530" s="70">
        <f t="shared" si="37"/>
        <v>16246.95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43382.95</v>
      </c>
      <c r="G534" s="18">
        <v>3496.67</v>
      </c>
      <c r="H534" s="18"/>
      <c r="I534" s="18"/>
      <c r="J534" s="18"/>
      <c r="K534" s="18"/>
      <c r="L534" s="69">
        <f>SUM(F534:K534)</f>
        <v>46879.619999999995</v>
      </c>
      <c r="M534" s="8"/>
      <c r="N534" s="164"/>
    </row>
    <row r="535" spans="1:14" s="3" customFormat="1" ht="12.2" customHeight="1" thickTop="1" x14ac:dyDescent="0.15">
      <c r="A535" s="97" t="s">
        <v>67</v>
      </c>
      <c r="B535" s="41">
        <v>21</v>
      </c>
      <c r="C535" s="41">
        <v>12</v>
      </c>
      <c r="D535" s="115" t="s">
        <v>432</v>
      </c>
      <c r="E535" s="41"/>
      <c r="F535" s="70">
        <f>SUM(F532:F534)</f>
        <v>43382.95</v>
      </c>
      <c r="G535" s="70">
        <f t="shared" ref="G535:L535" si="38">SUM(G532:G534)</f>
        <v>3496.67</v>
      </c>
      <c r="H535" s="70">
        <f t="shared" si="38"/>
        <v>0</v>
      </c>
      <c r="I535" s="70">
        <f t="shared" si="38"/>
        <v>0</v>
      </c>
      <c r="J535" s="70">
        <f t="shared" si="38"/>
        <v>0</v>
      </c>
      <c r="K535" s="70">
        <f t="shared" si="38"/>
        <v>0</v>
      </c>
      <c r="L535" s="70">
        <f t="shared" si="38"/>
        <v>46879.619999999995</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13361.88</v>
      </c>
      <c r="I539" s="18"/>
      <c r="J539" s="18"/>
      <c r="K539" s="18"/>
      <c r="L539" s="69">
        <f>SUM(F539:K539)</f>
        <v>13361.88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13361.88</v>
      </c>
      <c r="I540" s="70">
        <f t="shared" si="39"/>
        <v>0</v>
      </c>
      <c r="J540" s="70">
        <f t="shared" si="39"/>
        <v>0</v>
      </c>
      <c r="K540" s="70">
        <f t="shared" si="39"/>
        <v>0</v>
      </c>
      <c r="L540" s="70">
        <f t="shared" si="39"/>
        <v>13361.88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2260682.6</v>
      </c>
      <c r="G546" s="70">
        <f t="shared" ref="G546:L546" si="41">G525+G530+G535+G540+G545</f>
        <v>1223430.7599999998</v>
      </c>
      <c r="H546" s="70">
        <f t="shared" si="41"/>
        <v>65309.74</v>
      </c>
      <c r="I546" s="70">
        <f t="shared" si="41"/>
        <v>8769.1</v>
      </c>
      <c r="J546" s="70">
        <f t="shared" si="41"/>
        <v>19065.21</v>
      </c>
      <c r="K546" s="70">
        <f t="shared" si="41"/>
        <v>1005</v>
      </c>
      <c r="L546" s="70">
        <f t="shared" si="41"/>
        <v>3578262.41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1818246.01</v>
      </c>
      <c r="G550" s="69">
        <f>L527</f>
        <v>0</v>
      </c>
      <c r="H550" s="69">
        <f>L532</f>
        <v>0</v>
      </c>
      <c r="I550" s="69">
        <f>L537</f>
        <v>0</v>
      </c>
      <c r="J550" s="69">
        <f>L542</f>
        <v>0</v>
      </c>
      <c r="K550" s="69">
        <f>SUM(F550:J550)</f>
        <v>1818246.01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1683527.9500000002</v>
      </c>
      <c r="G552" s="69">
        <f>L529</f>
        <v>16246.95</v>
      </c>
      <c r="H552" s="69">
        <f>L534</f>
        <v>46879.619999999995</v>
      </c>
      <c r="I552" s="69">
        <f>L539</f>
        <v>13361.88</v>
      </c>
      <c r="J552" s="69">
        <f>L544</f>
        <v>0</v>
      </c>
      <c r="K552" s="69">
        <f>SUM(F552:J552)</f>
        <v>1760016.4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3501773.96</v>
      </c>
      <c r="G553" s="70">
        <f t="shared" si="42"/>
        <v>16246.95</v>
      </c>
      <c r="H553" s="70">
        <f t="shared" si="42"/>
        <v>46879.619999999995</v>
      </c>
      <c r="I553" s="70">
        <f t="shared" si="42"/>
        <v>13361.88</v>
      </c>
      <c r="J553" s="70">
        <f t="shared" si="42"/>
        <v>0</v>
      </c>
      <c r="K553" s="70">
        <f t="shared" si="42"/>
        <v>3578262.41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45610</v>
      </c>
      <c r="I577" s="69">
        <f t="shared" ref="I577:I588" si="47">SUM(F577:H577)</f>
        <v>45610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42700</v>
      </c>
      <c r="G579" s="18"/>
      <c r="H579" s="18"/>
      <c r="I579" s="69">
        <f t="shared" si="47"/>
        <v>42700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188612.81</v>
      </c>
      <c r="I586" s="69">
        <f t="shared" si="47"/>
        <v>188612.81</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42700</v>
      </c>
      <c r="G589" s="79">
        <f t="shared" ref="G589:I589" si="48">SUM(G576:G588)</f>
        <v>0</v>
      </c>
      <c r="H589" s="79">
        <f t="shared" si="48"/>
        <v>234222.81</v>
      </c>
      <c r="I589" s="79">
        <f t="shared" si="48"/>
        <v>276922.81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v>78588.78</v>
      </c>
      <c r="K592" s="80">
        <f t="shared" ref="K592:K598" si="49">SUM(H592:J592)</f>
        <v>78588.78</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60775.3</v>
      </c>
      <c r="K594" s="80">
        <f t="shared" si="49"/>
        <v>60775.3</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98491.56</v>
      </c>
      <c r="K595" s="80">
        <f t="shared" si="49"/>
        <v>98491.56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44527.02</v>
      </c>
      <c r="I596" s="18"/>
      <c r="J596" s="18">
        <v>17843.38</v>
      </c>
      <c r="K596" s="80">
        <f t="shared" si="49"/>
        <v>62370.399999999994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44527.02</v>
      </c>
      <c r="I599" s="81">
        <f>SUM(I592:I598)</f>
        <v>0</v>
      </c>
      <c r="J599" s="81">
        <f>SUM(J592:J598)</f>
        <v>255699.02000000002</v>
      </c>
      <c r="K599" s="81">
        <f>SUM(K592:K598)</f>
        <v>300226.04000000004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141918+7623.2</f>
        <v>149541.20000000001</v>
      </c>
      <c r="I605" s="18"/>
      <c r="J605" s="18">
        <f>624345.76+2973.2</f>
        <v>627318.96</v>
      </c>
      <c r="K605" s="80">
        <f>SUM(H605:J605)</f>
        <v>776860.15999999992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149541.20000000001</v>
      </c>
      <c r="I606" s="81">
        <f>SUM(I603:I605)</f>
        <v>0</v>
      </c>
      <c r="J606" s="81">
        <f>SUM(J603:J605)</f>
        <v>627318.96</v>
      </c>
      <c r="K606" s="81">
        <f>SUM(K603:K605)</f>
        <v>776860.15999999992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813.01</v>
      </c>
      <c r="G612" s="18">
        <v>221.88</v>
      </c>
      <c r="H612" s="18"/>
      <c r="I612" s="18"/>
      <c r="J612" s="18"/>
      <c r="K612" s="18"/>
      <c r="L612" s="69">
        <f>SUM(F612:K612)</f>
        <v>1034.8899999999999</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8244.7999999999993</v>
      </c>
      <c r="G614" s="18">
        <v>1998.13</v>
      </c>
      <c r="H614" s="18">
        <v>1586.75</v>
      </c>
      <c r="I614" s="18"/>
      <c r="J614" s="18"/>
      <c r="K614" s="18"/>
      <c r="L614" s="69">
        <f>SUM(F614:K614)</f>
        <v>11829.68</v>
      </c>
      <c r="M614" s="8"/>
      <c r="N614" s="164"/>
    </row>
    <row r="615" spans="1:14" s="3" customFormat="1" ht="12.2" customHeight="1" thickTop="1" x14ac:dyDescent="0.15">
      <c r="A615" s="75" t="s">
        <v>340</v>
      </c>
      <c r="B615" s="41">
        <v>23</v>
      </c>
      <c r="C615" s="41">
        <v>16</v>
      </c>
      <c r="D615" s="36" t="s">
        <v>432</v>
      </c>
      <c r="E615" s="41"/>
      <c r="F615" s="81">
        <f t="shared" ref="F615:L615" si="50">SUM(F612:F614)</f>
        <v>9057.81</v>
      </c>
      <c r="G615" s="81">
        <f t="shared" si="50"/>
        <v>2220.0100000000002</v>
      </c>
      <c r="H615" s="81">
        <f t="shared" si="50"/>
        <v>1586.75</v>
      </c>
      <c r="I615" s="81">
        <f t="shared" si="50"/>
        <v>0</v>
      </c>
      <c r="J615" s="81">
        <f t="shared" si="50"/>
        <v>0</v>
      </c>
      <c r="K615" s="81">
        <f t="shared" si="50"/>
        <v>0</v>
      </c>
      <c r="L615" s="70">
        <f t="shared" si="50"/>
        <v>12864.57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-519604.99999999988</v>
      </c>
      <c r="H618" s="80">
        <f>SUM(F52)</f>
        <v>-519604.99999999988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-199728.01</v>
      </c>
      <c r="H619" s="80">
        <f>SUM(G52)</f>
        <v>-199728.01</v>
      </c>
      <c r="I619" s="87" t="s">
        <v>872</v>
      </c>
      <c r="J619" s="80">
        <f>G619-H619</f>
        <v>0</v>
      </c>
      <c r="K619" s="80"/>
      <c r="L619" s="80"/>
      <c r="M619" s="8"/>
    </row>
    <row r="620" spans="1:14" s="3" customFormat="1" ht="12.2" customHeight="1" x14ac:dyDescent="0.15">
      <c r="A620" s="74"/>
      <c r="B620" s="22"/>
      <c r="C620" s="22"/>
      <c r="D620" s="22"/>
      <c r="E620" s="22"/>
      <c r="F620" s="87" t="s">
        <v>685</v>
      </c>
      <c r="G620" s="80">
        <f>SUM(H19)</f>
        <v>282058.76999999996</v>
      </c>
      <c r="H620" s="80">
        <f>SUM(H52)</f>
        <v>282058.77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46895</v>
      </c>
      <c r="H622" s="80">
        <f>SUM(J52)</f>
        <v>46895</v>
      </c>
      <c r="I622" s="87" t="s">
        <v>875</v>
      </c>
      <c r="J622" s="80">
        <f>G622-H622</f>
        <v>0</v>
      </c>
      <c r="K622" s="80"/>
      <c r="L622" s="80"/>
      <c r="M622" s="8"/>
    </row>
    <row r="623" spans="1:14" s="3" customFormat="1" ht="12.2" customHeight="1" x14ac:dyDescent="0.15">
      <c r="A623" s="74"/>
      <c r="B623" s="22"/>
      <c r="C623" s="22"/>
      <c r="D623" s="22"/>
      <c r="E623" s="22"/>
      <c r="F623" s="87" t="s">
        <v>861</v>
      </c>
      <c r="G623" s="80">
        <f>F51</f>
        <v>872806.88</v>
      </c>
      <c r="H623" s="80">
        <f>F477</f>
        <v>872806.88000000268</v>
      </c>
      <c r="I623" s="87" t="s">
        <v>101</v>
      </c>
      <c r="J623" s="80">
        <f t="shared" ref="J623:J656" si="51">G623-H623</f>
        <v>-2.6775524020195007E-9</v>
      </c>
      <c r="K623" s="80"/>
      <c r="L623" s="80"/>
      <c r="M623" s="8"/>
    </row>
    <row r="624" spans="1:14" s="3" customFormat="1" ht="12.2" customHeight="1" x14ac:dyDescent="0.15">
      <c r="A624" s="74"/>
      <c r="B624" s="22"/>
      <c r="C624" s="85"/>
      <c r="D624" s="85"/>
      <c r="E624" s="85"/>
      <c r="F624" s="85" t="s">
        <v>862</v>
      </c>
      <c r="G624" s="80">
        <f>G51</f>
        <v>-24420.27</v>
      </c>
      <c r="H624" s="80">
        <f>G477</f>
        <v>-24420.270000000019</v>
      </c>
      <c r="I624" s="87" t="s">
        <v>102</v>
      </c>
      <c r="J624" s="80">
        <f t="shared" si="51"/>
        <v>0</v>
      </c>
      <c r="K624" s="80"/>
      <c r="L624" s="80"/>
      <c r="M624" s="8"/>
    </row>
    <row r="625" spans="1:13" s="3" customFormat="1" ht="12.2" customHeight="1" x14ac:dyDescent="0.15">
      <c r="A625" s="74"/>
      <c r="B625" s="22"/>
      <c r="C625" s="22"/>
      <c r="D625" s="22"/>
      <c r="E625" s="22"/>
      <c r="F625" s="86" t="s">
        <v>863</v>
      </c>
      <c r="G625" s="80">
        <f>H51</f>
        <v>494955.97</v>
      </c>
      <c r="H625" s="80">
        <f>H477</f>
        <v>494955.97</v>
      </c>
      <c r="I625" s="87" t="s">
        <v>103</v>
      </c>
      <c r="J625" s="80">
        <f t="shared" si="51"/>
        <v>0</v>
      </c>
      <c r="K625" s="80"/>
      <c r="L625" s="80"/>
      <c r="M625" s="8"/>
    </row>
    <row r="626" spans="1:13" s="3" customFormat="1" ht="12.2" customHeight="1" x14ac:dyDescent="0.15">
      <c r="A626" s="74"/>
      <c r="B626" s="22"/>
      <c r="C626" s="22"/>
      <c r="D626" s="22"/>
      <c r="E626" s="22"/>
      <c r="F626" s="86" t="s">
        <v>864</v>
      </c>
      <c r="G626" s="80">
        <f>I51</f>
        <v>-276167.73</v>
      </c>
      <c r="H626" s="80">
        <f>I477</f>
        <v>-276167.73</v>
      </c>
      <c r="I626" s="87" t="s">
        <v>104</v>
      </c>
      <c r="J626" s="80">
        <f t="shared" si="51"/>
        <v>0</v>
      </c>
      <c r="K626" s="80"/>
      <c r="L626" s="80"/>
      <c r="M626" s="8"/>
    </row>
    <row r="627" spans="1:13" s="3" customFormat="1" ht="12.2" customHeight="1" x14ac:dyDescent="0.15">
      <c r="A627" s="21"/>
      <c r="B627" s="22"/>
      <c r="C627" s="22"/>
      <c r="D627" s="22"/>
      <c r="E627" s="22"/>
      <c r="F627" s="86" t="s">
        <v>865</v>
      </c>
      <c r="G627" s="80">
        <f>J51</f>
        <v>46895</v>
      </c>
      <c r="H627" s="80">
        <f>J477</f>
        <v>46895</v>
      </c>
      <c r="I627" s="87" t="s">
        <v>105</v>
      </c>
      <c r="J627" s="80">
        <f t="shared" si="51"/>
        <v>0</v>
      </c>
      <c r="K627" s="67"/>
      <c r="L627" s="69"/>
      <c r="M627" s="8"/>
    </row>
    <row r="628" spans="1:13" s="3" customFormat="1" ht="12.2" customHeight="1" x14ac:dyDescent="0.15">
      <c r="A628" s="21"/>
      <c r="B628" s="22"/>
      <c r="C628" s="22"/>
      <c r="D628" s="22"/>
      <c r="E628" s="22"/>
      <c r="F628" s="86" t="s">
        <v>658</v>
      </c>
      <c r="G628" s="80">
        <f>F194</f>
        <v>31044884.600000001</v>
      </c>
      <c r="H628" s="80">
        <f>SUM(F469)</f>
        <v>31044884.600000001</v>
      </c>
      <c r="I628" s="87" t="s">
        <v>106</v>
      </c>
      <c r="J628" s="80">
        <f>G628-H628</f>
        <v>0</v>
      </c>
      <c r="K628" s="67"/>
      <c r="L628" s="69"/>
      <c r="M628" s="8"/>
    </row>
    <row r="629" spans="1:13" s="3" customFormat="1" ht="12.2" customHeight="1" x14ac:dyDescent="0.15">
      <c r="A629" s="21"/>
      <c r="B629" s="22"/>
      <c r="C629" s="22"/>
      <c r="D629" s="22"/>
      <c r="E629" s="22"/>
      <c r="F629" s="86" t="s">
        <v>659</v>
      </c>
      <c r="G629" s="80">
        <f>G194</f>
        <v>894944.4</v>
      </c>
      <c r="H629" s="80">
        <f>SUM(G469)</f>
        <v>894944.4</v>
      </c>
      <c r="I629" s="87" t="s">
        <v>107</v>
      </c>
      <c r="J629" s="80">
        <f>G629-H629</f>
        <v>0</v>
      </c>
      <c r="K629" s="67"/>
      <c r="L629" s="69"/>
      <c r="M629" s="8"/>
    </row>
    <row r="630" spans="1:13" s="3" customFormat="1" ht="12.2" customHeight="1" x14ac:dyDescent="0.15">
      <c r="A630" s="21"/>
      <c r="B630" s="22"/>
      <c r="C630" s="22"/>
      <c r="D630" s="22"/>
      <c r="E630" s="22"/>
      <c r="F630" s="86" t="s">
        <v>660</v>
      </c>
      <c r="G630" s="80">
        <f>H194</f>
        <v>1273866.3999999999</v>
      </c>
      <c r="H630" s="80">
        <f>SUM(H469)</f>
        <v>1273866.3999999999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33000</v>
      </c>
      <c r="H631" s="80">
        <f>SUM(I469)</f>
        <v>33000</v>
      </c>
      <c r="I631" s="87" t="s">
        <v>109</v>
      </c>
      <c r="J631" s="80">
        <f>G631-H631</f>
        <v>0</v>
      </c>
      <c r="K631" s="67"/>
      <c r="L631" s="69"/>
      <c r="M631" s="8"/>
    </row>
    <row r="632" spans="1:13" s="3" customFormat="1" ht="12.2" customHeight="1" x14ac:dyDescent="0.15">
      <c r="A632" s="21"/>
      <c r="B632" s="22"/>
      <c r="C632" s="22"/>
      <c r="D632" s="22"/>
      <c r="E632" s="22"/>
      <c r="F632" s="86" t="s">
        <v>662</v>
      </c>
      <c r="G632" s="80">
        <f>J194</f>
        <v>4733</v>
      </c>
      <c r="H632" s="80">
        <f>SUM(J469)</f>
        <v>4733</v>
      </c>
      <c r="I632" s="87" t="s">
        <v>110</v>
      </c>
      <c r="J632" s="80">
        <f>G632-H632</f>
        <v>0</v>
      </c>
      <c r="K632" s="67"/>
      <c r="L632" s="69"/>
      <c r="M632" s="8"/>
    </row>
    <row r="633" spans="1:13" s="3" customFormat="1" ht="12.2" customHeight="1" x14ac:dyDescent="0.15">
      <c r="A633" s="21"/>
      <c r="B633" s="22"/>
      <c r="C633" s="22"/>
      <c r="D633" s="22"/>
      <c r="E633" s="22"/>
      <c r="F633" s="86" t="s">
        <v>394</v>
      </c>
      <c r="G633" s="80">
        <f>SUM(L272)</f>
        <v>30883210.149999999</v>
      </c>
      <c r="H633" s="80">
        <f>SUM(F473)</f>
        <v>30883210.149999999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1273320.8499999999</v>
      </c>
      <c r="H634" s="80">
        <f>SUM(H473)</f>
        <v>1273320.8500000001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147111.22</v>
      </c>
      <c r="H635" s="80">
        <f>I370</f>
        <v>147111.22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930015.52000000014</v>
      </c>
      <c r="H636" s="80">
        <f>SUM(G473)</f>
        <v>930015.52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2053604</v>
      </c>
      <c r="H637" s="80">
        <f>SUM(I473)</f>
        <v>2053604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4733</v>
      </c>
      <c r="H638" s="108">
        <f>SUM(J469)</f>
        <v>4733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203</v>
      </c>
      <c r="H639" s="108">
        <f>SUM(J473)</f>
        <v>203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46895</v>
      </c>
      <c r="H641" s="80">
        <f>SUM(G462)</f>
        <v>46895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46895</v>
      </c>
      <c r="H643" s="80">
        <f>SUM(I462)</f>
        <v>46895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-493</v>
      </c>
      <c r="H645" s="80">
        <f>H409</f>
        <v>-493</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4733</v>
      </c>
      <c r="H647" s="80">
        <f>L409</f>
        <v>4733</v>
      </c>
      <c r="I647" s="87" t="s">
        <v>477</v>
      </c>
      <c r="J647" s="80">
        <f t="shared" si="51"/>
        <v>0</v>
      </c>
      <c r="K647" s="67"/>
      <c r="L647" s="69"/>
      <c r="M647" s="8"/>
    </row>
    <row r="648" spans="1:13" s="3" customFormat="1" ht="12.2" customHeight="1" x14ac:dyDescent="0.15">
      <c r="A648" s="21"/>
      <c r="B648" s="22"/>
      <c r="C648" s="22"/>
      <c r="D648" s="22"/>
      <c r="E648" s="22"/>
      <c r="F648" s="86" t="s">
        <v>51</v>
      </c>
      <c r="G648" s="80">
        <f>K599</f>
        <v>300226.04000000004</v>
      </c>
      <c r="H648" s="80">
        <f>L209+L227+L245</f>
        <v>300226.03999999998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776860.15999999992</v>
      </c>
      <c r="H649" s="80">
        <f>(J258+J339)-(J256+J337)</f>
        <v>776860.16000000003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44527.02</v>
      </c>
      <c r="H650" s="80">
        <f>H599</f>
        <v>44527.02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255699.02</v>
      </c>
      <c r="H652" s="80">
        <f>J599</f>
        <v>255699.02000000002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89502.28</v>
      </c>
      <c r="H653" s="80">
        <f>K264+K346</f>
        <v>89502.28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9869280.0200000014</v>
      </c>
      <c r="G661" s="13">
        <f>(L230+L310+L360)</f>
        <v>0</v>
      </c>
      <c r="H661" s="13">
        <f>(L248+L329+L361)</f>
        <v>19228229.859999999</v>
      </c>
      <c r="I661" s="13">
        <f>SUM(F661:H661)</f>
        <v>29097509.880000003</v>
      </c>
      <c r="J661" s="13"/>
      <c r="K661" s="13"/>
      <c r="L661" s="13"/>
      <c r="M661" s="9"/>
    </row>
    <row r="662" spans="1:13" s="3" customFormat="1" ht="12.2" customHeight="1" x14ac:dyDescent="0.2">
      <c r="A662" s="1" t="s">
        <v>127</v>
      </c>
      <c r="F662" s="13">
        <f>(L359/IF(SUM(L359:L361)=0,1,SUM(L359:L361))*(SUM(G97:G110)))</f>
        <v>220032.7657411416</v>
      </c>
      <c r="G662" s="13">
        <f>(L360/IF(SUM(L359:L361)=0,1,SUM(L359:L361))*(SUM(G97:G110)))</f>
        <v>0</v>
      </c>
      <c r="H662" s="13">
        <f>(L361/IF(SUM(L359:L361)=0,1,SUM(L359:L361))*(SUM(G97:G110)))</f>
        <v>585409.35425885837</v>
      </c>
      <c r="I662" s="13">
        <f>SUM(F662:H662)</f>
        <v>805442.12</v>
      </c>
      <c r="J662"/>
      <c r="K662" s="13"/>
      <c r="L662" s="13"/>
      <c r="M662" s="8"/>
    </row>
    <row r="663" spans="1:13" s="3" customFormat="1" ht="12.2" customHeight="1" x14ac:dyDescent="0.2">
      <c r="A663" s="1" t="s">
        <v>128</v>
      </c>
      <c r="F663" s="13">
        <f>(L209+L288)-(J209+J288)</f>
        <v>44527.02</v>
      </c>
      <c r="G663" s="13">
        <f>(L227+L307)-(J227+J307)</f>
        <v>0</v>
      </c>
      <c r="H663" s="13">
        <f>(L245+L326)-(J245+J326)</f>
        <v>255699.02</v>
      </c>
      <c r="I663" s="13">
        <f>SUM(F663:H663)</f>
        <v>300226.03999999998</v>
      </c>
      <c r="J663"/>
      <c r="K663" s="13"/>
      <c r="L663" s="13"/>
      <c r="M663" s="9"/>
    </row>
    <row r="664" spans="1:13" s="3" customFormat="1" ht="12.2" customHeight="1" x14ac:dyDescent="0.15">
      <c r="A664" s="141" t="s">
        <v>129</v>
      </c>
      <c r="B664" s="124"/>
      <c r="C664" s="124"/>
      <c r="D664" s="124"/>
      <c r="E664" s="124"/>
      <c r="F664" s="142">
        <f>SUM(F576:F588)+SUM(H603:H605)+SUM(L612)</f>
        <v>193276.09000000003</v>
      </c>
      <c r="G664" s="142">
        <f>SUM(G576:G588)+SUM(I603:I605)+L613</f>
        <v>0</v>
      </c>
      <c r="H664" s="142">
        <f>SUM(H576:H588)+SUM(J603:J605)+L614</f>
        <v>873371.45000000007</v>
      </c>
      <c r="I664" s="13">
        <f>SUM(F664:H664)</f>
        <v>1066647.54</v>
      </c>
      <c r="J664" s="13"/>
      <c r="K664" s="13"/>
      <c r="L664" s="13"/>
      <c r="M664" s="9"/>
    </row>
    <row r="665" spans="1:13" s="3" customFormat="1" ht="12.2" customHeight="1" x14ac:dyDescent="0.15">
      <c r="A665" s="1" t="s">
        <v>130</v>
      </c>
      <c r="F665" s="13">
        <f>F661-SUM(F662:F664)</f>
        <v>9411444.1442588605</v>
      </c>
      <c r="G665" s="13">
        <f>G661-SUM(G662:G664)</f>
        <v>0</v>
      </c>
      <c r="H665" s="13">
        <f>H661-SUM(H662:H664)</f>
        <v>17513750.035741143</v>
      </c>
      <c r="I665" s="13">
        <f>I661-SUM(I662:I664)</f>
        <v>26925194.180000003</v>
      </c>
      <c r="J665" s="13"/>
      <c r="K665" s="13"/>
      <c r="L665" s="13"/>
      <c r="M665" s="8"/>
    </row>
    <row r="666" spans="1:13" s="3" customFormat="1" ht="12.2" customHeight="1" x14ac:dyDescent="0.2">
      <c r="A666" s="1" t="s">
        <v>131</v>
      </c>
      <c r="F666" s="182">
        <v>362.9</v>
      </c>
      <c r="G666" s="183"/>
      <c r="H666" s="183">
        <v>679.17</v>
      </c>
      <c r="I666" s="13">
        <f>SUM(F666:H666)</f>
        <v>1042.07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25933.99</v>
      </c>
      <c r="G668" s="13" t="e">
        <f>ROUND(G665/G666,2)</f>
        <v>#DIV/0!</v>
      </c>
      <c r="H668" s="13">
        <f>ROUND(H665/H666,2)</f>
        <v>25786.99</v>
      </c>
      <c r="I668" s="13">
        <f>ROUND(I665/I666,2)</f>
        <v>25838.18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-4.5</v>
      </c>
      <c r="I671" s="13">
        <f>SUM(F671:H671)</f>
        <v>-4.5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25933.99</v>
      </c>
      <c r="G673" s="13" t="e">
        <f>ROUND((G665+G670)/(G666+G671),2)</f>
        <v>#DIV/0!</v>
      </c>
      <c r="H673" s="13">
        <f>ROUND((H665+H670)/(H666+H671),2)</f>
        <v>25958.99</v>
      </c>
      <c r="I673" s="13">
        <f>ROUND((I665+I670)/(I666+I671),2)</f>
        <v>25950.240000000002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6" sqref="H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32003.01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22061.26</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9941.75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Dresden</v>
      </c>
      <c r="C5" s="321"/>
      <c r="D5" s="321"/>
      <c r="E5" s="321"/>
      <c r="F5" s="321"/>
    </row>
    <row r="8" spans="1:9" ht="18" x14ac:dyDescent="0.25">
      <c r="A8" s="239" t="s">
        <v>1548</v>
      </c>
      <c r="F8" s="246" t="s">
        <v>1566</v>
      </c>
    </row>
    <row r="9" spans="1:9" ht="15" x14ac:dyDescent="0.2">
      <c r="A9" s="237" t="s">
        <v>1549</v>
      </c>
      <c r="B9" s="240">
        <f>'DOE25'!G97</f>
        <v>706892.35</v>
      </c>
      <c r="F9" s="237" t="s">
        <v>1562</v>
      </c>
    </row>
    <row r="10" spans="1:9" ht="15" x14ac:dyDescent="0.2">
      <c r="A10" s="237" t="s">
        <v>1550</v>
      </c>
      <c r="B10" s="240">
        <f>'DOE25'!G112-'DOE25'!G97</f>
        <v>98549.770000000019</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805442.12</v>
      </c>
    </row>
    <row r="16" spans="1:9" ht="18" x14ac:dyDescent="0.25">
      <c r="A16" s="239" t="s">
        <v>783</v>
      </c>
      <c r="F16" s="246" t="s">
        <v>1567</v>
      </c>
    </row>
    <row r="17" spans="1:6" ht="15" x14ac:dyDescent="0.2">
      <c r="A17" s="237" t="s">
        <v>1554</v>
      </c>
      <c r="B17" s="240">
        <f>'DOE25'!L363-'DOE25'!L362</f>
        <v>930015.52000000014</v>
      </c>
      <c r="F17" s="237" t="s">
        <v>1568</v>
      </c>
    </row>
    <row r="18" spans="1:6" ht="15" x14ac:dyDescent="0.2">
      <c r="A18" s="237" t="s">
        <v>1555</v>
      </c>
      <c r="B18" s="250"/>
      <c r="F18" s="246" t="s">
        <v>1592</v>
      </c>
    </row>
    <row r="19" spans="1:6" ht="18" x14ac:dyDescent="0.25">
      <c r="A19" s="239" t="s">
        <v>725</v>
      </c>
      <c r="B19" s="241">
        <f>SUM(B17:B18)</f>
        <v>930015.52000000014</v>
      </c>
    </row>
    <row r="21" spans="1:6" ht="18.75" thickBot="1" x14ac:dyDescent="0.3">
      <c r="A21" s="239" t="s">
        <v>1556</v>
      </c>
    </row>
    <row r="22" spans="1:6" ht="18.75" thickTop="1" x14ac:dyDescent="0.25">
      <c r="A22" s="239" t="s">
        <v>1557</v>
      </c>
      <c r="B22" s="245">
        <f>B14-B19</f>
        <v>-124573.40000000014</v>
      </c>
      <c r="F22" s="237" t="s">
        <v>1569</v>
      </c>
    </row>
    <row r="26" spans="1:6" ht="18" x14ac:dyDescent="0.25">
      <c r="A26" s="239" t="s">
        <v>186</v>
      </c>
    </row>
    <row r="27" spans="1:6" ht="15" x14ac:dyDescent="0.2">
      <c r="A27" s="237" t="s">
        <v>1558</v>
      </c>
      <c r="B27" s="240">
        <f>'DOE25'!G180</f>
        <v>89502.28</v>
      </c>
      <c r="F27" s="237" t="s">
        <v>1570</v>
      </c>
    </row>
    <row r="28" spans="1:6" ht="15" x14ac:dyDescent="0.2">
      <c r="A28" s="237" t="s">
        <v>1560</v>
      </c>
      <c r="B28" s="240">
        <f>'DOE25'!L362</f>
        <v>0</v>
      </c>
      <c r="F28" s="237" t="s">
        <v>1571</v>
      </c>
    </row>
    <row r="31" spans="1:6" ht="15" x14ac:dyDescent="0.2">
      <c r="A31" s="237" t="s">
        <v>1789</v>
      </c>
      <c r="B31" s="240">
        <f>'DOE25'!G466</f>
        <v>10070.83</v>
      </c>
      <c r="F31" s="237" t="s">
        <v>1572</v>
      </c>
    </row>
    <row r="33" spans="1:6" ht="15" x14ac:dyDescent="0.2">
      <c r="A33" s="237" t="s">
        <v>1790</v>
      </c>
      <c r="B33" s="240">
        <f>'DOE25'!G477</f>
        <v>-24420.270000000019</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5" sqref="F3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Dresden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8731935.8500000015</v>
      </c>
      <c r="C9" s="166">
        <f>'DOE25'!G198+'DOE25'!G216+'DOE25'!G234+'DOE25'!G277+'DOE25'!G296+'DOE25'!G315</f>
        <v>3468788.04</v>
      </c>
    </row>
    <row r="10" spans="1:3" x14ac:dyDescent="0.2">
      <c r="A10" t="s">
        <v>772</v>
      </c>
      <c r="B10" s="176">
        <v>8119754.4199999999</v>
      </c>
      <c r="C10" s="176">
        <v>3225597.1</v>
      </c>
    </row>
    <row r="11" spans="1:3" x14ac:dyDescent="0.2">
      <c r="A11" t="s">
        <v>773</v>
      </c>
      <c r="B11" s="176">
        <v>442263.28</v>
      </c>
      <c r="C11" s="176">
        <v>177409.53</v>
      </c>
    </row>
    <row r="12" spans="1:3" x14ac:dyDescent="0.2">
      <c r="A12" t="s">
        <v>774</v>
      </c>
      <c r="B12" s="176">
        <v>169918.15</v>
      </c>
      <c r="C12" s="176">
        <v>65781.41</v>
      </c>
    </row>
    <row r="13" spans="1:3" x14ac:dyDescent="0.2">
      <c r="A13" t="str">
        <f>IF(B9=B13,IF(C9=C13,"Check Total OK","Check Total Error"),"Check Total Error")</f>
        <v>Check Total OK</v>
      </c>
      <c r="B13" s="168">
        <f>SUM(B10:B12)</f>
        <v>8731935.8499999996</v>
      </c>
      <c r="C13" s="168">
        <f>SUM(C10:C12)</f>
        <v>3468788.04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2217299.65</v>
      </c>
      <c r="C18" s="166">
        <f>'DOE25'!G199+'DOE25'!G217+'DOE25'!G235+'DOE25'!G278+'DOE25'!G297+'DOE25'!G316</f>
        <v>1219934.0899999999</v>
      </c>
    </row>
    <row r="19" spans="1:3" x14ac:dyDescent="0.2">
      <c r="A19" t="s">
        <v>772</v>
      </c>
      <c r="B19" s="176">
        <v>1566812.6</v>
      </c>
      <c r="C19" s="176">
        <v>870804.33</v>
      </c>
    </row>
    <row r="20" spans="1:3" x14ac:dyDescent="0.2">
      <c r="A20" t="s">
        <v>773</v>
      </c>
      <c r="B20" s="176">
        <v>632919.04000000004</v>
      </c>
      <c r="C20" s="176">
        <v>347681.21</v>
      </c>
    </row>
    <row r="21" spans="1:3" x14ac:dyDescent="0.2">
      <c r="A21" t="s">
        <v>774</v>
      </c>
      <c r="B21" s="176">
        <v>17568.009999999998</v>
      </c>
      <c r="C21" s="176">
        <v>1448.55</v>
      </c>
    </row>
    <row r="22" spans="1:3" x14ac:dyDescent="0.2">
      <c r="A22" t="str">
        <f>IF(B18=B22,IF(C18=C22,"Check Total OK","Check Total Error"),"Check Total Error")</f>
        <v>Check Total OK</v>
      </c>
      <c r="B22" s="168">
        <f>SUM(B19:B21)</f>
        <v>2217299.65</v>
      </c>
      <c r="C22" s="168">
        <f>SUM(C19:C21)</f>
        <v>1219934.0900000001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602831.23</v>
      </c>
      <c r="C36" s="172">
        <f>'DOE25'!G201+'DOE25'!G219+'DOE25'!G237+'DOE25'!G280+'DOE25'!G299+'DOE25'!G318</f>
        <v>181687.81</v>
      </c>
    </row>
    <row r="37" spans="1:3" x14ac:dyDescent="0.2">
      <c r="A37" t="s">
        <v>772</v>
      </c>
      <c r="B37" s="176">
        <v>0</v>
      </c>
      <c r="C37" s="176">
        <v>0</v>
      </c>
    </row>
    <row r="38" spans="1:3" x14ac:dyDescent="0.2">
      <c r="A38" t="s">
        <v>773</v>
      </c>
      <c r="B38" s="176">
        <v>0</v>
      </c>
      <c r="C38" s="176">
        <v>0</v>
      </c>
    </row>
    <row r="39" spans="1:3" x14ac:dyDescent="0.2">
      <c r="A39" t="s">
        <v>774</v>
      </c>
      <c r="B39" s="176">
        <v>602831.23</v>
      </c>
      <c r="C39" s="176">
        <v>181687.81</v>
      </c>
    </row>
    <row r="40" spans="1:3" x14ac:dyDescent="0.2">
      <c r="A40" t="str">
        <f>IF(B36=B40,IF(C36=C40,"Check Total OK","Check Total Error"),"Check Total Error")</f>
        <v>Check Total OK</v>
      </c>
      <c r="B40" s="168">
        <f>SUM(B37:B39)</f>
        <v>602831.23</v>
      </c>
      <c r="C40" s="168">
        <f>SUM(C37:C39)</f>
        <v>181687.81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Dresden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17876769.920000002</v>
      </c>
      <c r="D5" s="19">
        <f>SUM('DOE25'!L198:L201)+SUM('DOE25'!L216:L219)+SUM('DOE25'!L234:L237)-F5-G5-H5</f>
        <v>17287139.82</v>
      </c>
      <c r="E5" s="179"/>
      <c r="F5" s="180"/>
      <c r="G5" s="19">
        <f>SUM('DOE25'!J198:J201)+SUM('DOE25'!J216:J219)+SUM('DOE25'!J234:J237)</f>
        <v>561511.04999999993</v>
      </c>
      <c r="H5" s="19">
        <f>SUM('DOE25'!K198:K201)+SUM('DOE25'!K216:K219)+SUM('DOE25'!K234:K237)</f>
        <v>28119.05</v>
      </c>
      <c r="I5" s="191"/>
    </row>
    <row r="6" spans="1:9" x14ac:dyDescent="0.2">
      <c r="A6" s="31">
        <v>2100</v>
      </c>
      <c r="B6" t="s">
        <v>793</v>
      </c>
      <c r="C6" s="205">
        <f t="shared" si="0"/>
        <v>1796559.9899999998</v>
      </c>
      <c r="D6" s="19">
        <f>'DOE25'!L203+'DOE25'!L221+'DOE25'!L239-F6-G6-H6</f>
        <v>1793989.8399999999</v>
      </c>
      <c r="E6" s="179"/>
      <c r="F6" s="180"/>
      <c r="G6" s="19">
        <f>'DOE25'!J203+'DOE25'!J221+'DOE25'!J239</f>
        <v>1315.15</v>
      </c>
      <c r="H6" s="19">
        <f>'DOE25'!K203+'DOE25'!K221+'DOE25'!K239</f>
        <v>1255</v>
      </c>
      <c r="I6" s="191"/>
    </row>
    <row r="7" spans="1:9" x14ac:dyDescent="0.2">
      <c r="A7" s="31">
        <v>2200</v>
      </c>
      <c r="B7" t="s">
        <v>817</v>
      </c>
      <c r="C7" s="205">
        <f t="shared" si="0"/>
        <v>854434.63000000012</v>
      </c>
      <c r="D7" s="19">
        <f>'DOE25'!L204+'DOE25'!L222+'DOE25'!L240-F7-G7-H7</f>
        <v>670387.67000000016</v>
      </c>
      <c r="E7" s="179"/>
      <c r="F7" s="180"/>
      <c r="G7" s="19">
        <f>'DOE25'!J204+'DOE25'!J222+'DOE25'!J240</f>
        <v>183496.95999999999</v>
      </c>
      <c r="H7" s="19">
        <f>'DOE25'!K204+'DOE25'!K222+'DOE25'!K240</f>
        <v>550</v>
      </c>
      <c r="I7" s="191"/>
    </row>
    <row r="8" spans="1:9" x14ac:dyDescent="0.2">
      <c r="A8" s="31">
        <v>2300</v>
      </c>
      <c r="B8" t="s">
        <v>794</v>
      </c>
      <c r="C8" s="205">
        <f t="shared" si="0"/>
        <v>1328596.9099999999</v>
      </c>
      <c r="D8" s="179"/>
      <c r="E8" s="19">
        <f>'DOE25'!L205+'DOE25'!L223+'DOE25'!L241-F8-G8-H8-D9-D11</f>
        <v>1313898.0699999998</v>
      </c>
      <c r="F8" s="180"/>
      <c r="G8" s="19">
        <f>'DOE25'!J205+'DOE25'!J223+'DOE25'!J241</f>
        <v>0</v>
      </c>
      <c r="H8" s="19">
        <f>'DOE25'!K205+'DOE25'!K223+'DOE25'!K241</f>
        <v>14698.84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2271025.6599999997</v>
      </c>
      <c r="D12" s="19">
        <f>'DOE25'!L206+'DOE25'!L224+'DOE25'!L242-F12-G12-H12</f>
        <v>2268123.6599999997</v>
      </c>
      <c r="E12" s="179"/>
      <c r="F12" s="180"/>
      <c r="G12" s="19">
        <f>'DOE25'!J206+'DOE25'!J224+'DOE25'!J242</f>
        <v>0</v>
      </c>
      <c r="H12" s="19">
        <f>'DOE25'!K206+'DOE25'!K224+'DOE25'!K242</f>
        <v>2902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2466560.36</v>
      </c>
      <c r="D14" s="19">
        <f>'DOE25'!L208+'DOE25'!L226+'DOE25'!L244-F14-G14-H14</f>
        <v>2446619.7599999998</v>
      </c>
      <c r="E14" s="179"/>
      <c r="F14" s="180"/>
      <c r="G14" s="19">
        <f>'DOE25'!J208+'DOE25'!J226+'DOE25'!J244</f>
        <v>19940.600000000002</v>
      </c>
      <c r="H14" s="19">
        <f>'DOE25'!K208+'DOE25'!K226+'DOE25'!K244</f>
        <v>0</v>
      </c>
      <c r="I14" s="191"/>
    </row>
    <row r="15" spans="1:9" x14ac:dyDescent="0.2">
      <c r="A15" s="31">
        <v>2700</v>
      </c>
      <c r="B15" t="s">
        <v>796</v>
      </c>
      <c r="C15" s="205">
        <f t="shared" si="0"/>
        <v>300226.03999999998</v>
      </c>
      <c r="D15" s="19">
        <f>'DOE25'!L209+'DOE25'!L227+'DOE25'!L245-F15-G15-H15</f>
        <v>300226.03999999998</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205745.61000000002</v>
      </c>
      <c r="D22" s="179"/>
      <c r="E22" s="179"/>
      <c r="F22" s="179"/>
      <c r="G22" s="19">
        <f>'DOE25'!L256+'DOE25'!L337</f>
        <v>205745.61000000002</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3693788.75</v>
      </c>
      <c r="D25" s="179"/>
      <c r="E25" s="179"/>
      <c r="F25" s="190"/>
      <c r="G25" s="179"/>
      <c r="H25" s="179"/>
      <c r="I25" s="189">
        <f>'DOE25'!L261+'DOE25'!L262+'DOE25'!L342+'DOE25'!L343</f>
        <v>3693788.75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791598.84000000008</v>
      </c>
      <c r="D29" s="211">
        <f>'DOE25'!L359+'DOE25'!L360+'DOE25'!L361-'DOE25'!I368-F29-G29-H29-F39</f>
        <v>790698.84000000008</v>
      </c>
      <c r="E29" s="179"/>
      <c r="F29" s="179"/>
      <c r="G29" s="19">
        <f>'DOE25'!J359+'DOE25'!J360+'DOE25'!J361</f>
        <v>900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1273320.8499999999</v>
      </c>
      <c r="D31" s="19">
        <f>'DOE25'!L291+'DOE25'!L310+'DOE25'!L329+'DOE25'!L334+'DOE25'!L335+'DOE25'!L336-F31-G31-H31</f>
        <v>1262724.45</v>
      </c>
      <c r="E31" s="179"/>
      <c r="F31" s="180"/>
      <c r="G31" s="19">
        <f>'DOE25'!J291+'DOE25'!J310+'DOE25'!J329+'DOE25'!J334+'DOE25'!J335+'DOE25'!J336</f>
        <v>10596.4</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26819910.079999998</v>
      </c>
      <c r="E33" s="181">
        <f t="shared" si="1"/>
        <v>1313898.0699999998</v>
      </c>
      <c r="F33" s="181">
        <f t="shared" si="1"/>
        <v>0</v>
      </c>
      <c r="G33" s="181">
        <f t="shared" si="1"/>
        <v>983505.7699999999</v>
      </c>
      <c r="H33" s="181">
        <f t="shared" si="1"/>
        <v>47524.89</v>
      </c>
      <c r="I33" s="181">
        <f t="shared" si="1"/>
        <v>3693788.75</v>
      </c>
    </row>
    <row r="34" spans="1:9" ht="12" thickBot="1" x14ac:dyDescent="0.25"/>
    <row r="35" spans="1:9" ht="12" thickBot="1" x14ac:dyDescent="0.25">
      <c r="B35" s="187" t="s">
        <v>827</v>
      </c>
      <c r="D35" s="188">
        <f>E33</f>
        <v>1313898.0699999998</v>
      </c>
      <c r="E35" s="184"/>
      <c r="F35" s="294" t="s">
        <v>1596</v>
      </c>
      <c r="G35" s="295"/>
      <c r="H35" s="295"/>
      <c r="I35" s="296"/>
    </row>
    <row r="36" spans="1:9" ht="12" thickTop="1" x14ac:dyDescent="0.2">
      <c r="B36" t="s">
        <v>807</v>
      </c>
      <c r="D36" s="19">
        <f>D33</f>
        <v>26819910.079999998</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R11" sqref="R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Dresden</v>
      </c>
      <c r="B2">
        <f>'DOE25'!B2</f>
        <v>142</v>
      </c>
      <c r="J2" s="223" t="s">
        <v>1799</v>
      </c>
      <c r="K2" s="308">
        <f>SUM('DOE25'!L198:L201)+SUM('DOE25'!L277:L280)</f>
        <v>6843507.79</v>
      </c>
      <c r="L2" s="308">
        <f>'DOE25'!L203+'DOE25'!L282</f>
        <v>445569.41000000003</v>
      </c>
      <c r="M2" s="308">
        <f>'DOE25'!L204+'DOE25'!L283</f>
        <v>284102.48000000004</v>
      </c>
      <c r="N2" s="308">
        <f>'DOE25'!L206+'DOE25'!L285</f>
        <v>665740.84</v>
      </c>
      <c r="O2" s="316">
        <f>'Salaries-Benefits'!B10+'Salaries-Benefits'!B12+'Salaries-Benefits'!B19+'Salaries-Benefits'!B21+'Salaries-Benefits'!B28+'Salaries-Benefits'!B30+'Salaries-Benefits'!B37+'Salaries-Benefits'!B39</f>
        <v>10476884.41</v>
      </c>
      <c r="P2" s="316">
        <f>'Salaries-Benefits'!B11+'Salaries-Benefits'!B20+'Salaries-Benefits'!B29+'Salaries-Benefits'!B38</f>
        <v>1075182.32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9615215.9700000007</v>
      </c>
      <c r="G4" s="228">
        <f>'DOE25'!L212+'DOE25'!L291</f>
        <v>9615215.9700000007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42700</v>
      </c>
      <c r="E5" s="219"/>
      <c r="F5" s="231">
        <f>D5+E5</f>
        <v>42700</v>
      </c>
      <c r="G5" s="222"/>
      <c r="H5" s="222"/>
      <c r="J5" s="71" t="s">
        <v>1840</v>
      </c>
      <c r="K5" s="20">
        <v>42700</v>
      </c>
      <c r="L5" s="20"/>
      <c r="M5" s="20"/>
      <c r="N5" s="20"/>
      <c r="O5" s="20"/>
      <c r="P5" s="20"/>
      <c r="Q5" s="20"/>
    </row>
    <row r="6" spans="1:22" x14ac:dyDescent="0.2">
      <c r="A6" t="str" cm="1">
        <f t="array" ref="A6">IFERROR(INDEX('School Tables'!$A$4:$G$365,'School Tables'!$J4,3),"")</f>
        <v>Frances C. Richmond School</v>
      </c>
      <c r="B6" s="229">
        <f>IFERROR(VLOOKUP(A6,'School Tables'!$C$3:$D$365,2,FALSE),"")</f>
        <v>20825</v>
      </c>
      <c r="C6" s="222" t="str">
        <f>IFERROR(INDEX('School Tables'!$B$3:$B$365,MATCH('School Level Expenditures'!B6,'School Tables'!$D$3:$D$365,0)),"")</f>
        <v>Dresden</v>
      </c>
      <c r="D6" s="219">
        <v>9417777.6300000008</v>
      </c>
      <c r="E6" s="219">
        <f>149140.64+5597.7</f>
        <v>154738.34000000003</v>
      </c>
      <c r="F6" s="231">
        <f t="shared" ref="F6:F20" si="2">D6+E6</f>
        <v>9572515.9700000007</v>
      </c>
      <c r="G6" s="222"/>
      <c r="H6" s="222"/>
      <c r="J6" t="str">
        <f t="shared" ref="J6:J20" si="3">A6</f>
        <v>Frances C. Richmond School</v>
      </c>
      <c r="K6" s="20">
        <v>6800807.79</v>
      </c>
      <c r="L6" s="20">
        <v>445569.41</v>
      </c>
      <c r="M6" s="307">
        <v>284102.48</v>
      </c>
      <c r="N6" s="20">
        <v>665740.84</v>
      </c>
      <c r="O6" s="20">
        <v>3891322.15</v>
      </c>
      <c r="P6" s="20">
        <v>551270.78</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9460477.6300000008</v>
      </c>
      <c r="E21" s="261">
        <f>SUM(E5:E20)</f>
        <v>154738.34000000003</v>
      </c>
      <c r="F21" s="216"/>
      <c r="G21" s="216"/>
      <c r="H21" s="216"/>
      <c r="K21" s="262">
        <f t="shared" ref="K21:Q21" si="4">SUM(K5:K20)</f>
        <v>6843507.79</v>
      </c>
      <c r="L21" s="262">
        <f t="shared" si="4"/>
        <v>445569.41</v>
      </c>
      <c r="M21" s="262">
        <f t="shared" si="4"/>
        <v>284102.48</v>
      </c>
      <c r="N21" s="262">
        <f t="shared" si="4"/>
        <v>665740.84</v>
      </c>
      <c r="O21" s="262">
        <f t="shared" si="4"/>
        <v>3891322.15</v>
      </c>
      <c r="P21" s="262">
        <f t="shared" si="4"/>
        <v>551270.78</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12284521.720000001</v>
      </c>
      <c r="L36" s="19">
        <f>'DOE25'!L239+'DOE25'!L320</f>
        <v>1350990.5799999998</v>
      </c>
      <c r="M36" s="19">
        <f>'DOE25'!L240+'DOE25'!L321</f>
        <v>592393.41</v>
      </c>
      <c r="N36" s="19">
        <f>'DOE25'!L242+'DOE25'!L323</f>
        <v>1605284.8199999998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18552278.390000001</v>
      </c>
      <c r="G38" s="228">
        <f>'DOE25'!L248+'DOE25'!L329</f>
        <v>18552278.390000001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234222.81</v>
      </c>
      <c r="E39" s="219"/>
      <c r="F39" s="231">
        <f t="shared" ref="F39:F44" si="10">D39+E39</f>
        <v>234222.81</v>
      </c>
      <c r="G39" s="222"/>
      <c r="H39" s="222"/>
      <c r="J39" s="71" t="s">
        <v>1840</v>
      </c>
      <c r="K39" s="315">
        <v>234222.81</v>
      </c>
      <c r="L39" s="315"/>
      <c r="M39" s="315"/>
      <c r="N39" s="315"/>
      <c r="O39" s="315"/>
      <c r="P39" s="315"/>
      <c r="Q39" s="315"/>
    </row>
    <row r="40" spans="1:17" x14ac:dyDescent="0.2">
      <c r="A40" t="str" cm="1">
        <f t="array" ref="A40">IFERROR(INDEX('School Tables'!$W$4:$AC$120,'School Tables'!$AF4,3),"")</f>
        <v>Hanover High School</v>
      </c>
      <c r="B40" s="229">
        <f>IFERROR(VLOOKUP(A40,'School Tables'!$Y$4:$Z$120,2,FALSE),"")</f>
        <v>20820</v>
      </c>
      <c r="C40" s="222" t="str">
        <f>IFERROR(INDEX('School Tables'!$X$4:$X$120,MATCH('School Level Expenditures'!A40,'School Tables'!$Y$4:$Y$120,0)),"")</f>
        <v>Dresden</v>
      </c>
      <c r="D40" s="219">
        <v>18114122.190000001</v>
      </c>
      <c r="E40" s="219">
        <f>158960.67+5597.7+39375.02</f>
        <v>203933.39</v>
      </c>
      <c r="F40" s="231">
        <f t="shared" si="10"/>
        <v>18318055.580000002</v>
      </c>
      <c r="G40" s="222"/>
      <c r="H40" s="222"/>
      <c r="J40" t="str">
        <f>A40</f>
        <v>Hanover High School</v>
      </c>
      <c r="K40" s="20">
        <v>12050298.91</v>
      </c>
      <c r="L40" s="20">
        <v>1350990.58</v>
      </c>
      <c r="M40" s="307">
        <v>592393.41</v>
      </c>
      <c r="N40" s="20">
        <v>1605284.82</v>
      </c>
      <c r="O40" s="20">
        <v>6585562.2599999998</v>
      </c>
      <c r="P40" s="20">
        <v>523911.54</v>
      </c>
      <c r="Q40" s="20">
        <v>0</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18348345</v>
      </c>
      <c r="E45" s="262">
        <f>SUM(E39:E44)</f>
        <v>203933.39</v>
      </c>
      <c r="K45" s="262">
        <f t="shared" ref="K45:Q45" si="11">SUM(K39:K44)</f>
        <v>12284521.720000001</v>
      </c>
      <c r="L45" s="262">
        <f t="shared" si="11"/>
        <v>1350990.58</v>
      </c>
      <c r="M45" s="262">
        <f t="shared" si="11"/>
        <v>592393.41</v>
      </c>
      <c r="N45" s="262">
        <f t="shared" si="11"/>
        <v>1605284.82</v>
      </c>
      <c r="O45" s="262">
        <f t="shared" si="11"/>
        <v>6585562.2599999998</v>
      </c>
      <c r="P45" s="262">
        <f t="shared" si="11"/>
        <v>523911.54</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4" zoomScale="80" zoomScaleNormal="80" workbookViewId="0">
      <selection activeCell="E29" sqref="E2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Dresden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-953940.58</v>
      </c>
      <c r="D8" s="73">
        <f>'DOE25'!G9</f>
        <v>0</v>
      </c>
      <c r="E8" s="73">
        <f>'DOE25'!H9</f>
        <v>315109.90999999997</v>
      </c>
      <c r="F8" s="73">
        <f>'DOE25'!I9</f>
        <v>0</v>
      </c>
      <c r="G8" s="73">
        <f>'DOE25'!J9</f>
        <v>46895</v>
      </c>
      <c r="H8" s="13">
        <f>SUM(C8:G8)</f>
        <v>-591935.66999999993</v>
      </c>
      <c r="I8" s="90"/>
    </row>
    <row r="9" spans="1:9" x14ac:dyDescent="0.2">
      <c r="A9" s="1" t="s">
        <v>140</v>
      </c>
      <c r="B9" s="6">
        <v>110</v>
      </c>
      <c r="C9" s="73">
        <f>'DOE25'!F10</f>
        <v>100319.41</v>
      </c>
      <c r="D9" s="73">
        <f>'DOE25'!G10</f>
        <v>0</v>
      </c>
      <c r="E9" s="73">
        <f>'DOE25'!H10</f>
        <v>0</v>
      </c>
      <c r="F9" s="73">
        <f>'DOE25'!I10</f>
        <v>0</v>
      </c>
      <c r="G9" s="73">
        <f>'DOE25'!J10</f>
        <v>0</v>
      </c>
      <c r="H9" s="13">
        <f t="shared" ref="H9:H18" si="0">SUM(C9:G9)</f>
        <v>100319.41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153183.53</v>
      </c>
      <c r="D12" s="73">
        <f>'DOE25'!G13</f>
        <v>-199728.01</v>
      </c>
      <c r="E12" s="73">
        <f>'DOE25'!H13</f>
        <v>-35414.69</v>
      </c>
      <c r="F12" s="73">
        <f>'DOE25'!I13</f>
        <v>0</v>
      </c>
      <c r="G12" s="73">
        <f>'DOE25'!J13</f>
        <v>0</v>
      </c>
      <c r="H12" s="13">
        <f t="shared" si="0"/>
        <v>-81959.170000000013</v>
      </c>
      <c r="I12" s="90"/>
    </row>
    <row r="13" spans="1:9" x14ac:dyDescent="0.2">
      <c r="A13" s="1" t="s">
        <v>144</v>
      </c>
      <c r="B13" s="6">
        <v>150</v>
      </c>
      <c r="C13" s="73">
        <f>'DOE25'!F14</f>
        <v>52319.42</v>
      </c>
      <c r="D13" s="73">
        <f>'DOE25'!G14</f>
        <v>0</v>
      </c>
      <c r="E13" s="73">
        <f>'DOE25'!H14</f>
        <v>2363.5500000000002</v>
      </c>
      <c r="F13" s="73">
        <f>'DOE25'!I14</f>
        <v>0</v>
      </c>
      <c r="G13" s="73">
        <f>'DOE25'!J14</f>
        <v>0</v>
      </c>
      <c r="H13" s="13">
        <f t="shared" si="0"/>
        <v>54682.97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128513.22</v>
      </c>
      <c r="D16" s="73">
        <f>'DOE25'!G17</f>
        <v>0</v>
      </c>
      <c r="E16" s="73">
        <f>'DOE25'!H17</f>
        <v>0</v>
      </c>
      <c r="F16" s="73">
        <f>'DOE25'!I17</f>
        <v>0</v>
      </c>
      <c r="G16" s="73">
        <f>'DOE25'!J17</f>
        <v>0</v>
      </c>
      <c r="H16" s="13">
        <f t="shared" si="0"/>
        <v>128513.22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-519604.99999999988</v>
      </c>
      <c r="D18" s="38">
        <f>SUM(D8:D17)</f>
        <v>-199728.01</v>
      </c>
      <c r="E18" s="38">
        <f>SUM(E8:E17)</f>
        <v>282058.76999999996</v>
      </c>
      <c r="F18" s="38">
        <f>SUM(F8:F17)</f>
        <v>0</v>
      </c>
      <c r="G18" s="38">
        <f>SUM(G8:G17)</f>
        <v>46895</v>
      </c>
      <c r="H18" s="38">
        <f t="shared" si="0"/>
        <v>-390379.23999999993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-487559.89</v>
      </c>
      <c r="D21" s="73">
        <f>'DOE25'!G22</f>
        <v>-47153.36</v>
      </c>
      <c r="E21" s="73">
        <f>'DOE25'!H22</f>
        <v>-283554.84999999998</v>
      </c>
      <c r="F21" s="73">
        <f>'DOE25'!I22</f>
        <v>261817.95000000007</v>
      </c>
      <c r="G21" s="73">
        <f>'DOE25'!J22</f>
        <v>0</v>
      </c>
      <c r="H21" s="13">
        <f t="shared" ref="H21:H31" si="1">SUM(C21:G21)</f>
        <v>-556450.14999999991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165425.73000000001</v>
      </c>
      <c r="D23" s="73">
        <f>'DOE25'!G24</f>
        <v>40438.76</v>
      </c>
      <c r="E23" s="73">
        <f>'DOE25'!H24</f>
        <v>70657.649999999994</v>
      </c>
      <c r="F23" s="73">
        <f>'DOE25'!I24</f>
        <v>14349.780000000002</v>
      </c>
      <c r="G23" s="73">
        <f>'DOE25'!J24</f>
        <v>0</v>
      </c>
      <c r="H23" s="13">
        <f t="shared" si="1"/>
        <v>290871.92000000004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77.53</v>
      </c>
      <c r="D27" s="73">
        <f>'DOE25'!G28</f>
        <v>0</v>
      </c>
      <c r="E27" s="73">
        <f>'DOE25'!H28</f>
        <v>0</v>
      </c>
      <c r="F27" s="73">
        <f>'DOE25'!I28</f>
        <v>0</v>
      </c>
      <c r="G27" s="23" t="s">
        <v>288</v>
      </c>
      <c r="H27" s="13">
        <f t="shared" si="1"/>
        <v>77.53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-12608.05</v>
      </c>
      <c r="D29" s="73">
        <f>'DOE25'!G30</f>
        <v>-168593.14</v>
      </c>
      <c r="E29" s="73">
        <f>'DOE25'!H30</f>
        <v>0</v>
      </c>
      <c r="F29" s="73">
        <f>'DOE25'!I30</f>
        <v>0</v>
      </c>
      <c r="G29" s="23" t="s">
        <v>288</v>
      </c>
      <c r="H29" s="13">
        <f t="shared" si="1"/>
        <v>-181201.19</v>
      </c>
      <c r="I29" s="90"/>
    </row>
    <row r="30" spans="1:9" ht="12" thickBot="1" x14ac:dyDescent="0.25">
      <c r="A30" s="1" t="s">
        <v>159</v>
      </c>
      <c r="B30" s="56">
        <v>490</v>
      </c>
      <c r="C30" s="73">
        <f>'DOE25'!F31</f>
        <v>-1057747.2</v>
      </c>
      <c r="D30" s="73">
        <f>'DOE25'!G31</f>
        <v>0</v>
      </c>
      <c r="E30" s="73">
        <f>'DOE25'!H31</f>
        <v>0</v>
      </c>
      <c r="F30" s="73">
        <f>'DOE25'!I31</f>
        <v>0</v>
      </c>
      <c r="G30" s="73">
        <f>'DOE25'!J31</f>
        <v>0</v>
      </c>
      <c r="H30" s="13">
        <f t="shared" si="1"/>
        <v>-1057747.2</v>
      </c>
      <c r="I30" s="90"/>
    </row>
    <row r="31" spans="1:9" ht="12" thickTop="1" x14ac:dyDescent="0.2">
      <c r="A31" s="35" t="s">
        <v>160</v>
      </c>
      <c r="B31" s="2"/>
      <c r="C31" s="38">
        <f>SUM(C21:C30)</f>
        <v>-1392411.88</v>
      </c>
      <c r="D31" s="38">
        <f>SUM(D21:D30)</f>
        <v>-175307.74000000002</v>
      </c>
      <c r="E31" s="38">
        <f>SUM(E21:E30)</f>
        <v>-212897.19999999998</v>
      </c>
      <c r="F31" s="38">
        <f>SUM(F21:F30)</f>
        <v>276167.7300000001</v>
      </c>
      <c r="G31" s="38">
        <f>SUM(G21:G30)</f>
        <v>0</v>
      </c>
      <c r="H31" s="38">
        <f t="shared" si="1"/>
        <v>-1504449.0899999999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26012.06</v>
      </c>
      <c r="D35" s="73">
        <f>'DOE25'!G36</f>
        <v>0</v>
      </c>
      <c r="E35" s="73">
        <f>'DOE25'!H36</f>
        <v>0</v>
      </c>
      <c r="F35" s="73">
        <f>'DOE25'!I36</f>
        <v>0</v>
      </c>
      <c r="G35" s="23" t="s">
        <v>288</v>
      </c>
      <c r="H35" s="13">
        <f t="shared" si="2"/>
        <v>26012.06</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494955.97</v>
      </c>
      <c r="F42" s="73">
        <f>'DOE25'!I43</f>
        <v>0</v>
      </c>
      <c r="G42" s="73">
        <f>'DOE25'!J43</f>
        <v>0</v>
      </c>
      <c r="H42" s="13">
        <f t="shared" si="2"/>
        <v>494955.97</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60917</v>
      </c>
      <c r="D44" s="73">
        <f>'DOE25'!G45</f>
        <v>0</v>
      </c>
      <c r="E44" s="73">
        <f>'DOE25'!H45</f>
        <v>0</v>
      </c>
      <c r="F44" s="73">
        <f>'DOE25'!I45</f>
        <v>0</v>
      </c>
      <c r="G44" s="73">
        <f>'DOE25'!J45</f>
        <v>0</v>
      </c>
      <c r="H44" s="13">
        <f t="shared" si="2"/>
        <v>60917</v>
      </c>
      <c r="I44" s="90"/>
    </row>
    <row r="45" spans="1:9" x14ac:dyDescent="0.2">
      <c r="A45" s="1" t="s">
        <v>876</v>
      </c>
      <c r="B45" s="6"/>
      <c r="C45" s="73">
        <f>'DOE25'!F46</f>
        <v>385877.82</v>
      </c>
      <c r="D45" s="23" t="s">
        <v>288</v>
      </c>
      <c r="E45" s="23" t="s">
        <v>288</v>
      </c>
      <c r="F45" s="23" t="s">
        <v>288</v>
      </c>
      <c r="G45" s="23" t="s">
        <v>288</v>
      </c>
      <c r="H45" s="13">
        <f t="shared" si="2"/>
        <v>385877.82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46895</v>
      </c>
      <c r="H47" s="13">
        <f t="shared" si="2"/>
        <v>46895</v>
      </c>
      <c r="I47" s="90"/>
    </row>
    <row r="48" spans="1:9" x14ac:dyDescent="0.2">
      <c r="A48" s="1" t="s">
        <v>878</v>
      </c>
      <c r="B48" s="6">
        <v>753</v>
      </c>
      <c r="C48" s="73">
        <f>'DOE25'!F49</f>
        <v>0</v>
      </c>
      <c r="D48" s="73">
        <f>'DOE25'!G49</f>
        <v>-24420.27</v>
      </c>
      <c r="E48" s="73">
        <f>'DOE25'!H43</f>
        <v>494955.97</v>
      </c>
      <c r="F48" s="73">
        <f>'DOE25'!I49</f>
        <v>-276167.73</v>
      </c>
      <c r="G48" s="73">
        <f>'DOE25'!J49</f>
        <v>0</v>
      </c>
      <c r="H48" s="13">
        <f t="shared" si="2"/>
        <v>194367.96999999997</v>
      </c>
      <c r="I48" s="90"/>
    </row>
    <row r="49" spans="1:9" ht="12" thickBot="1" x14ac:dyDescent="0.25">
      <c r="A49" s="28" t="s">
        <v>879</v>
      </c>
      <c r="B49" s="56">
        <v>770</v>
      </c>
      <c r="C49" s="73">
        <f>'DOE25'!F50</f>
        <v>400000</v>
      </c>
      <c r="D49" s="23" t="s">
        <v>288</v>
      </c>
      <c r="E49" s="23" t="s">
        <v>288</v>
      </c>
      <c r="F49" s="23" t="s">
        <v>288</v>
      </c>
      <c r="G49" s="23" t="s">
        <v>288</v>
      </c>
      <c r="H49" s="13">
        <f t="shared" si="2"/>
        <v>400000</v>
      </c>
      <c r="I49" s="90"/>
    </row>
    <row r="50" spans="1:9" ht="12.75" thickTop="1" thickBot="1" x14ac:dyDescent="0.25">
      <c r="A50" s="35" t="s">
        <v>880</v>
      </c>
      <c r="B50" s="44"/>
      <c r="C50" s="38">
        <f>SUM(C34:C49)</f>
        <v>872806.88</v>
      </c>
      <c r="D50" s="38">
        <f>SUM(D34:D49)</f>
        <v>-24420.27</v>
      </c>
      <c r="E50" s="38">
        <f>SUM(E34:E49)</f>
        <v>989911.94</v>
      </c>
      <c r="F50" s="38">
        <f>SUM(F34:F49)</f>
        <v>-276167.73</v>
      </c>
      <c r="G50" s="38">
        <f>SUM(G34:G49)</f>
        <v>46895</v>
      </c>
      <c r="H50" s="38">
        <f t="shared" si="2"/>
        <v>1609025.8199999998</v>
      </c>
      <c r="I50" s="90"/>
    </row>
    <row r="51" spans="1:9" ht="12" thickTop="1" x14ac:dyDescent="0.2">
      <c r="A51" s="35" t="s">
        <v>881</v>
      </c>
      <c r="B51" s="2"/>
      <c r="C51" s="38">
        <f>C50+C31</f>
        <v>-519604.99999999988</v>
      </c>
      <c r="D51" s="38">
        <f>D50+D31</f>
        <v>-199728.01</v>
      </c>
      <c r="E51" s="38">
        <f>E50+E31</f>
        <v>777014.74</v>
      </c>
      <c r="F51" s="38">
        <f>F50+F31</f>
        <v>0</v>
      </c>
      <c r="G51" s="38">
        <f>G50+G31</f>
        <v>46895</v>
      </c>
      <c r="H51" s="38">
        <f t="shared" si="2"/>
        <v>104576.7300000001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27066560</v>
      </c>
      <c r="D56" s="73">
        <f>'DOE25'!G60</f>
        <v>0</v>
      </c>
      <c r="E56" s="73">
        <f>'DOE25'!H60</f>
        <v>0</v>
      </c>
      <c r="F56" s="73">
        <f>'DOE25'!I60</f>
        <v>0</v>
      </c>
      <c r="G56" s="73">
        <f>'DOE25'!J60</f>
        <v>0</v>
      </c>
      <c r="H56" s="13">
        <f t="shared" ref="H56:H63" si="3">SUM(C56:G56)</f>
        <v>27066560</v>
      </c>
      <c r="I56"/>
    </row>
    <row r="57" spans="1:9" x14ac:dyDescent="0.2">
      <c r="A57" s="1" t="s">
        <v>164</v>
      </c>
      <c r="B57" s="6" t="s">
        <v>165</v>
      </c>
      <c r="C57" s="73">
        <f>'DOE25'!F79</f>
        <v>3159533.8600000003</v>
      </c>
      <c r="D57" s="23" t="s">
        <v>288</v>
      </c>
      <c r="E57" s="73">
        <f>'DOE25'!H79</f>
        <v>0</v>
      </c>
      <c r="F57" s="23" t="s">
        <v>288</v>
      </c>
      <c r="G57" s="23" t="s">
        <v>288</v>
      </c>
      <c r="H57" s="13">
        <f t="shared" si="3"/>
        <v>3159533.8600000003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81730.48</v>
      </c>
      <c r="D59" s="73">
        <f>'DOE25'!G96</f>
        <v>0</v>
      </c>
      <c r="E59" s="73">
        <f>'DOE25'!H96</f>
        <v>3328.62</v>
      </c>
      <c r="F59" s="73">
        <f>'DOE25'!I96</f>
        <v>0</v>
      </c>
      <c r="G59" s="73">
        <f>'DOE25'!J96</f>
        <v>-493</v>
      </c>
      <c r="H59" s="13">
        <f t="shared" si="3"/>
        <v>84566.099999999991</v>
      </c>
      <c r="I59"/>
    </row>
    <row r="60" spans="1:9" x14ac:dyDescent="0.2">
      <c r="A60" s="1" t="s">
        <v>170</v>
      </c>
      <c r="B60" s="22" t="s">
        <v>171</v>
      </c>
      <c r="C60" s="23" t="s">
        <v>288</v>
      </c>
      <c r="D60" s="73">
        <f>'DOE25'!G97</f>
        <v>706892.35</v>
      </c>
      <c r="E60" s="23" t="s">
        <v>288</v>
      </c>
      <c r="F60" s="23" t="s">
        <v>288</v>
      </c>
      <c r="G60" s="23" t="s">
        <v>288</v>
      </c>
      <c r="H60" s="13">
        <f t="shared" si="3"/>
        <v>706892.35</v>
      </c>
      <c r="I60"/>
    </row>
    <row r="61" spans="1:9" ht="12" thickBot="1" x14ac:dyDescent="0.25">
      <c r="A61" s="1" t="s">
        <v>172</v>
      </c>
      <c r="B61" s="22" t="s">
        <v>173</v>
      </c>
      <c r="C61" s="73">
        <f>SUM('DOE25'!F98:F110)</f>
        <v>381228.05000000005</v>
      </c>
      <c r="D61" s="73">
        <f>SUM('DOE25'!G98:G110)</f>
        <v>98549.77</v>
      </c>
      <c r="E61" s="73">
        <f>SUM('DOE25'!H98:H110)</f>
        <v>911866.05</v>
      </c>
      <c r="F61" s="73">
        <f>SUM('DOE25'!I98:I110)</f>
        <v>33000</v>
      </c>
      <c r="G61" s="73">
        <f>SUM('DOE25'!J98:J110)</f>
        <v>5226</v>
      </c>
      <c r="H61" s="13">
        <f t="shared" si="3"/>
        <v>1429869.87</v>
      </c>
      <c r="I61"/>
    </row>
    <row r="62" spans="1:9" ht="12.75" thickTop="1" thickBot="1" x14ac:dyDescent="0.25">
      <c r="A62" s="28" t="s">
        <v>174</v>
      </c>
      <c r="B62" s="6"/>
      <c r="C62" s="93">
        <f>SUM(C57:C61)</f>
        <v>3622492.3900000006</v>
      </c>
      <c r="D62" s="93">
        <f>SUM(D57:D61)</f>
        <v>805442.12</v>
      </c>
      <c r="E62" s="93">
        <f>SUM(E57:E61)</f>
        <v>915194.67</v>
      </c>
      <c r="F62" s="93">
        <f>SUM(F57:F61)</f>
        <v>33000</v>
      </c>
      <c r="G62" s="93">
        <f>SUM(G57:G61)</f>
        <v>4733</v>
      </c>
      <c r="H62" s="13">
        <f t="shared" si="3"/>
        <v>5380862.1800000006</v>
      </c>
      <c r="I62"/>
    </row>
    <row r="63" spans="1:9" ht="12" thickTop="1" x14ac:dyDescent="0.2">
      <c r="A63" s="28" t="s">
        <v>175</v>
      </c>
      <c r="B63" s="6"/>
      <c r="C63" s="21">
        <f>C56+C62</f>
        <v>30689052.390000001</v>
      </c>
      <c r="D63" s="21">
        <f>D56+D62</f>
        <v>805442.12</v>
      </c>
      <c r="E63" s="21">
        <f>E56+E62</f>
        <v>915194.67</v>
      </c>
      <c r="F63" s="21">
        <f>F56+F62</f>
        <v>33000</v>
      </c>
      <c r="G63" s="21">
        <f>G56+G62</f>
        <v>4733</v>
      </c>
      <c r="H63" s="13">
        <f t="shared" si="3"/>
        <v>32447422.180000003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0</v>
      </c>
      <c r="D67" s="23"/>
      <c r="E67" s="23"/>
      <c r="F67" s="23"/>
      <c r="G67" s="23"/>
      <c r="H67" s="13">
        <f t="shared" si="4"/>
        <v>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2050</v>
      </c>
      <c r="D69" s="73">
        <f>'DOE25'!G120</f>
        <v>0</v>
      </c>
      <c r="E69" s="73">
        <f>'DOE25'!H120</f>
        <v>0</v>
      </c>
      <c r="F69" s="73">
        <f>'DOE25'!I120</f>
        <v>0</v>
      </c>
      <c r="G69" s="73">
        <f>'DOE25'!J120</f>
        <v>0</v>
      </c>
      <c r="H69" s="13">
        <f t="shared" si="4"/>
        <v>2050</v>
      </c>
      <c r="I69"/>
    </row>
    <row r="70" spans="1:9" ht="12" thickTop="1" x14ac:dyDescent="0.2">
      <c r="A70" s="28" t="s">
        <v>252</v>
      </c>
      <c r="B70" s="2"/>
      <c r="C70" s="97">
        <f>SUM(C66:C69)</f>
        <v>2050</v>
      </c>
      <c r="D70" s="97">
        <f>D69</f>
        <v>0</v>
      </c>
      <c r="E70" s="97">
        <f>E69</f>
        <v>0</v>
      </c>
      <c r="F70" s="97">
        <f>F69</f>
        <v>0</v>
      </c>
      <c r="G70" s="97">
        <f>G69</f>
        <v>0</v>
      </c>
      <c r="H70" s="13">
        <f t="shared" si="4"/>
        <v>2050</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315903.69</v>
      </c>
      <c r="D72" s="23" t="s">
        <v>288</v>
      </c>
      <c r="E72" s="23" t="s">
        <v>288</v>
      </c>
      <c r="F72" s="73">
        <f>'DOE25'!I123</f>
        <v>0</v>
      </c>
      <c r="G72" s="23" t="s">
        <v>288</v>
      </c>
      <c r="H72" s="13">
        <f t="shared" si="4"/>
        <v>315903.69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37878.519999999997</v>
      </c>
      <c r="D76" s="23" t="s">
        <v>288</v>
      </c>
      <c r="E76" s="73">
        <f>SUM('DOE25'!H127:H130)</f>
        <v>0</v>
      </c>
      <c r="F76" s="73">
        <f>SUM('DOE25'!I127:I130)</f>
        <v>0</v>
      </c>
      <c r="G76" s="23" t="s">
        <v>288</v>
      </c>
      <c r="H76" s="13">
        <f t="shared" si="4"/>
        <v>37878.519999999997</v>
      </c>
      <c r="I76"/>
    </row>
    <row r="77" spans="1:9" ht="12" thickBot="1" x14ac:dyDescent="0.25">
      <c r="A77" s="1" t="s">
        <v>258</v>
      </c>
      <c r="B77" s="6" t="s">
        <v>180</v>
      </c>
      <c r="C77" s="73">
        <f>SUM('DOE25'!F131:F135)</f>
        <v>0</v>
      </c>
      <c r="D77" s="73">
        <f>SUM('DOE25'!G131:G135)</f>
        <v>0</v>
      </c>
      <c r="E77" s="73">
        <f>SUM('DOE25'!H131:H135)</f>
        <v>114753</v>
      </c>
      <c r="F77" s="73">
        <f>SUM('DOE25'!I131:I135)</f>
        <v>0</v>
      </c>
      <c r="G77" s="73">
        <f>SUM('DOE25'!J131:J135)</f>
        <v>0</v>
      </c>
      <c r="H77" s="13">
        <f t="shared" si="4"/>
        <v>114753</v>
      </c>
      <c r="I77"/>
    </row>
    <row r="78" spans="1:9" ht="12.75" thickTop="1" thickBot="1" x14ac:dyDescent="0.25">
      <c r="A78" s="28" t="s">
        <v>259</v>
      </c>
      <c r="B78" s="6"/>
      <c r="C78" s="93">
        <f>SUM(C72:C77)</f>
        <v>353782.21</v>
      </c>
      <c r="D78" s="93">
        <f>SUM(D72:D77)</f>
        <v>0</v>
      </c>
      <c r="E78" s="93">
        <f>SUM(E72:E77)</f>
        <v>114753</v>
      </c>
      <c r="F78" s="93">
        <f>SUM(F72:F77)</f>
        <v>0</v>
      </c>
      <c r="G78" s="93">
        <f>SUM(G72:G77)</f>
        <v>0</v>
      </c>
      <c r="H78" s="13">
        <f t="shared" si="4"/>
        <v>468535.21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355832.21</v>
      </c>
      <c r="D81" s="93">
        <f>SUM(D79:D80)+D78+D70</f>
        <v>0</v>
      </c>
      <c r="E81" s="93">
        <f>SUM(E79:E80)+E78+E70</f>
        <v>114753</v>
      </c>
      <c r="F81" s="93">
        <f>SUM(F79:F80)+F78+F70</f>
        <v>0</v>
      </c>
      <c r="G81" s="93">
        <f>SUM(G79:G80)+G78+G70</f>
        <v>0</v>
      </c>
      <c r="H81" s="93">
        <f t="shared" si="4"/>
        <v>470585.21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243918.72999999998</v>
      </c>
      <c r="F88" s="252">
        <f>SUM('DOE25'!I153:I162)</f>
        <v>0</v>
      </c>
      <c r="G88" s="23" t="s">
        <v>288</v>
      </c>
      <c r="H88" s="13">
        <f t="shared" si="5"/>
        <v>243918.72999999998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243918.72999999998</v>
      </c>
      <c r="F91" s="94">
        <f>SUM(F85:F90)</f>
        <v>0</v>
      </c>
      <c r="G91" s="23" t="s">
        <v>288</v>
      </c>
      <c r="H91" s="13">
        <f t="shared" si="5"/>
        <v>243918.72999999998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89502.28</v>
      </c>
      <c r="E96" s="73">
        <f>'DOE25'!H180</f>
        <v>0</v>
      </c>
      <c r="F96" s="73">
        <f>'DOE25'!I180</f>
        <v>0</v>
      </c>
      <c r="G96" s="73">
        <f>'DOE25'!J180</f>
        <v>0</v>
      </c>
      <c r="H96" s="13">
        <f t="shared" si="5"/>
        <v>89502.28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89502.28</v>
      </c>
      <c r="E103" s="68">
        <f>SUM(E93:E102)</f>
        <v>0</v>
      </c>
      <c r="F103" s="68">
        <f>SUM(F93:F102)</f>
        <v>0</v>
      </c>
      <c r="G103" s="68">
        <f>SUM(G93:G102)</f>
        <v>0</v>
      </c>
      <c r="H103" s="68">
        <f t="shared" si="5"/>
        <v>89502.28</v>
      </c>
    </row>
    <row r="104" spans="1:8" ht="12.75" thickTop="1" thickBot="1" x14ac:dyDescent="0.25">
      <c r="A104" s="32" t="s">
        <v>758</v>
      </c>
      <c r="C104" s="68">
        <f>C63+C81+C91+C103</f>
        <v>31044884.600000001</v>
      </c>
      <c r="D104" s="68">
        <f>D63+D81+D91+D103</f>
        <v>894944.4</v>
      </c>
      <c r="E104" s="68">
        <f>E63+E81+E91+E103</f>
        <v>1273866.3999999999</v>
      </c>
      <c r="F104" s="68">
        <f>F63+F81+F91+F103</f>
        <v>33000</v>
      </c>
      <c r="G104" s="68">
        <f>G63+G81+G103</f>
        <v>4733</v>
      </c>
      <c r="H104" s="68">
        <f t="shared" si="5"/>
        <v>33251428.399999999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13286832.989999998</v>
      </c>
      <c r="D109" s="23" t="s">
        <v>288</v>
      </c>
      <c r="E109" s="73">
        <f>('DOE25'!L277)+('DOE25'!L296)+('DOE25'!L315)</f>
        <v>400960.12</v>
      </c>
      <c r="F109" s="23" t="s">
        <v>288</v>
      </c>
      <c r="G109" s="23" t="s">
        <v>288</v>
      </c>
      <c r="H109" s="13">
        <f t="shared" ref="H109:H115" si="6">SUM(C109:G109)</f>
        <v>13687793.109999998</v>
      </c>
    </row>
    <row r="110" spans="1:8" x14ac:dyDescent="0.2">
      <c r="A110" t="s">
        <v>198</v>
      </c>
      <c r="B110" s="31" t="s">
        <v>199</v>
      </c>
      <c r="C110" s="73">
        <f>('DOE25'!L199)+('DOE25'!L217)+('DOE25'!L235)</f>
        <v>3310578.5600000005</v>
      </c>
      <c r="D110" s="23" t="s">
        <v>288</v>
      </c>
      <c r="E110" s="73">
        <f>('DOE25'!L278)+('DOE25'!L297)+('DOE25'!L316)</f>
        <v>191195.4</v>
      </c>
      <c r="F110" s="23" t="s">
        <v>288</v>
      </c>
      <c r="G110" s="23" t="s">
        <v>288</v>
      </c>
      <c r="H110" s="13">
        <f t="shared" si="6"/>
        <v>3501773.9600000004</v>
      </c>
    </row>
    <row r="111" spans="1:8" x14ac:dyDescent="0.2">
      <c r="A111" t="s">
        <v>200</v>
      </c>
      <c r="B111" s="31" t="s">
        <v>165</v>
      </c>
      <c r="C111" s="73">
        <f>('DOE25'!L200)+('DOE25'!L218)+('DOE25'!L236)</f>
        <v>188612.81</v>
      </c>
      <c r="D111" s="23" t="s">
        <v>288</v>
      </c>
      <c r="E111" s="73">
        <f>('DOE25'!L279)+('DOE25'!L298)+('DOE25'!L317)</f>
        <v>0</v>
      </c>
      <c r="F111" s="23" t="s">
        <v>288</v>
      </c>
      <c r="G111" s="23" t="s">
        <v>288</v>
      </c>
      <c r="H111" s="13">
        <f t="shared" si="6"/>
        <v>188612.81</v>
      </c>
    </row>
    <row r="112" spans="1:8" x14ac:dyDescent="0.2">
      <c r="A112" t="s">
        <v>201</v>
      </c>
      <c r="B112" s="31" t="s">
        <v>167</v>
      </c>
      <c r="C112" s="73">
        <f>('DOE25'!L201)+('DOE25'!L219)+('DOE25'!L237)</f>
        <v>1090745.56</v>
      </c>
      <c r="D112" s="23" t="s">
        <v>288</v>
      </c>
      <c r="E112" s="73">
        <f>+('DOE25'!L280)+('DOE25'!L299)+('DOE25'!L318)</f>
        <v>659104.06999999995</v>
      </c>
      <c r="F112" s="23" t="s">
        <v>288</v>
      </c>
      <c r="G112" s="23" t="s">
        <v>288</v>
      </c>
      <c r="H112" s="13">
        <f t="shared" si="6"/>
        <v>1749849.63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17876769.919999998</v>
      </c>
      <c r="D115" s="68">
        <f>SUM(D109:D114)</f>
        <v>0</v>
      </c>
      <c r="E115" s="68">
        <f>SUM(E109:E114)</f>
        <v>1251259.5899999999</v>
      </c>
      <c r="F115" s="68">
        <f>SUM(F109:F114)</f>
        <v>0</v>
      </c>
      <c r="G115" s="68">
        <f>SUM(G109:G114)</f>
        <v>0</v>
      </c>
      <c r="H115" s="68">
        <f t="shared" si="6"/>
        <v>19128029.509999998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1796559.9899999998</v>
      </c>
      <c r="D118" s="23" t="s">
        <v>288</v>
      </c>
      <c r="E118" s="73">
        <f>+('DOE25'!L282)+('DOE25'!L301)+('DOE25'!L320)</f>
        <v>0</v>
      </c>
      <c r="F118" s="23" t="s">
        <v>288</v>
      </c>
      <c r="G118" s="23" t="s">
        <v>288</v>
      </c>
      <c r="H118" s="13">
        <f t="shared" ref="H118:H145" si="7">SUM(C118:G118)</f>
        <v>1796559.9899999998</v>
      </c>
    </row>
    <row r="119" spans="1:8" x14ac:dyDescent="0.2">
      <c r="A119" t="s">
        <v>208</v>
      </c>
      <c r="B119" s="31" t="s">
        <v>209</v>
      </c>
      <c r="C119" s="73">
        <f>('DOE25'!L204)+('DOE25'!L222)+('DOE25'!L240)</f>
        <v>854434.63000000012</v>
      </c>
      <c r="D119" s="23" t="s">
        <v>288</v>
      </c>
      <c r="E119" s="73">
        <f>+('DOE25'!L283)+('DOE25'!L302)+('DOE25'!L321)</f>
        <v>22061.26</v>
      </c>
      <c r="F119" s="23" t="s">
        <v>288</v>
      </c>
      <c r="G119" s="23" t="s">
        <v>288</v>
      </c>
      <c r="H119" s="13">
        <f t="shared" si="7"/>
        <v>876495.89000000013</v>
      </c>
    </row>
    <row r="120" spans="1:8" x14ac:dyDescent="0.2">
      <c r="A120" t="s">
        <v>210</v>
      </c>
      <c r="B120" s="31" t="s">
        <v>211</v>
      </c>
      <c r="C120" s="73">
        <f>('DOE25'!L205)+('DOE25'!L223)+('DOE25'!L241)</f>
        <v>1328596.9099999999</v>
      </c>
      <c r="D120" s="23" t="s">
        <v>288</v>
      </c>
      <c r="E120" s="73">
        <f>+('DOE25'!L284)+('DOE25'!L303)+('DOE25'!L322)</f>
        <v>0</v>
      </c>
      <c r="F120" s="23" t="s">
        <v>288</v>
      </c>
      <c r="G120" s="23" t="s">
        <v>288</v>
      </c>
      <c r="H120" s="13">
        <f t="shared" si="7"/>
        <v>1328596.9099999999</v>
      </c>
    </row>
    <row r="121" spans="1:8" x14ac:dyDescent="0.2">
      <c r="A121" t="s">
        <v>212</v>
      </c>
      <c r="B121" s="31" t="s">
        <v>213</v>
      </c>
      <c r="C121" s="73">
        <f>('DOE25'!L206)+('DOE25'!L224)+('DOE25'!L242)</f>
        <v>2271025.6599999997</v>
      </c>
      <c r="D121" s="23" t="s">
        <v>288</v>
      </c>
      <c r="E121" s="73">
        <f>+('DOE25'!L285)+('DOE25'!L304)+('DOE25'!L323)</f>
        <v>0</v>
      </c>
      <c r="F121" s="23" t="s">
        <v>288</v>
      </c>
      <c r="G121" s="23" t="s">
        <v>288</v>
      </c>
      <c r="H121" s="13">
        <f t="shared" si="7"/>
        <v>2271025.6599999997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2466560.36</v>
      </c>
      <c r="D123" s="23" t="s">
        <v>288</v>
      </c>
      <c r="E123" s="73">
        <f>+('DOE25'!L287)+('DOE25'!L306)+('DOE25'!L325)</f>
        <v>0</v>
      </c>
      <c r="F123" s="23" t="s">
        <v>288</v>
      </c>
      <c r="G123" s="23" t="s">
        <v>288</v>
      </c>
      <c r="H123" s="13">
        <f t="shared" si="7"/>
        <v>2466560.36</v>
      </c>
    </row>
    <row r="124" spans="1:8" x14ac:dyDescent="0.2">
      <c r="A124" t="s">
        <v>218</v>
      </c>
      <c r="B124" s="31" t="s">
        <v>219</v>
      </c>
      <c r="C124" s="73">
        <f>('DOE25'!L209)+('DOE25'!L227)+('DOE25'!L245+'DOE25'!L255)</f>
        <v>300226.03999999998</v>
      </c>
      <c r="D124" s="23" t="s">
        <v>288</v>
      </c>
      <c r="E124" s="73">
        <f>+('DOE25'!L288)+('DOE25'!L307)+('DOE25'!L326)</f>
        <v>0</v>
      </c>
      <c r="F124" s="23" t="s">
        <v>288</v>
      </c>
      <c r="G124" s="23" t="s">
        <v>288</v>
      </c>
      <c r="H124" s="13">
        <f t="shared" si="7"/>
        <v>300226.03999999998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930015.52000000014</v>
      </c>
      <c r="E127" s="23" t="s">
        <v>288</v>
      </c>
      <c r="F127" s="23" t="s">
        <v>288</v>
      </c>
      <c r="G127" s="23" t="s">
        <v>288</v>
      </c>
      <c r="H127" s="13">
        <f t="shared" si="7"/>
        <v>930015.52000000014</v>
      </c>
    </row>
    <row r="128" spans="1:8" ht="12.75" thickTop="1" thickBot="1" x14ac:dyDescent="0.25">
      <c r="A128" s="32" t="s">
        <v>226</v>
      </c>
      <c r="C128" s="68">
        <f>SUM(C118:C127)</f>
        <v>9017403.589999998</v>
      </c>
      <c r="D128" s="68">
        <f>SUM(D118:D127)</f>
        <v>930015.52000000014</v>
      </c>
      <c r="E128" s="68">
        <f>SUM(E118:E127)</f>
        <v>22061.26</v>
      </c>
      <c r="F128" s="68">
        <f>SUM(F118:F127)</f>
        <v>0</v>
      </c>
      <c r="G128" s="68">
        <f>SUM(G118:G127)</f>
        <v>0</v>
      </c>
      <c r="H128" s="68">
        <f t="shared" si="7"/>
        <v>9969480.3699999973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205745.61000000002</v>
      </c>
      <c r="D130" s="23" t="s">
        <v>288</v>
      </c>
      <c r="E130" s="92">
        <f>'DOE25'!L337</f>
        <v>0</v>
      </c>
      <c r="F130" s="92">
        <f>SUM('DOE25'!L375:'DOE25'!L381)</f>
        <v>2053604</v>
      </c>
      <c r="G130" s="23" t="s">
        <v>288</v>
      </c>
      <c r="H130" s="13">
        <f t="shared" si="7"/>
        <v>2259349.61</v>
      </c>
    </row>
    <row r="131" spans="1:8" x14ac:dyDescent="0.2">
      <c r="A131" t="s">
        <v>229</v>
      </c>
      <c r="B131" s="31">
        <v>5110</v>
      </c>
      <c r="C131" s="73">
        <f>'DOE25'!L261</f>
        <v>1577329.36</v>
      </c>
      <c r="D131" s="23" t="s">
        <v>288</v>
      </c>
      <c r="E131" s="92">
        <f>'DOE25'!L342</f>
        <v>0</v>
      </c>
      <c r="F131" s="23" t="s">
        <v>288</v>
      </c>
      <c r="G131" s="23" t="s">
        <v>288</v>
      </c>
      <c r="H131" s="13">
        <f t="shared" si="7"/>
        <v>1577329.36</v>
      </c>
    </row>
    <row r="132" spans="1:8" x14ac:dyDescent="0.2">
      <c r="A132" t="s">
        <v>230</v>
      </c>
      <c r="B132" s="31">
        <v>5120</v>
      </c>
      <c r="C132" s="73">
        <f>'DOE25'!L262</f>
        <v>2116459.39</v>
      </c>
      <c r="D132" s="23" t="s">
        <v>288</v>
      </c>
      <c r="E132" s="92">
        <f>'DOE25'!L343</f>
        <v>0</v>
      </c>
      <c r="F132" s="23" t="s">
        <v>288</v>
      </c>
      <c r="G132" s="23" t="s">
        <v>288</v>
      </c>
      <c r="H132" s="13">
        <f t="shared" si="7"/>
        <v>2116459.39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89502.28</v>
      </c>
      <c r="D135" s="23" t="s">
        <v>288</v>
      </c>
      <c r="E135" s="92">
        <f>'DOE25'!L346</f>
        <v>0</v>
      </c>
      <c r="F135" s="23" t="s">
        <v>288</v>
      </c>
      <c r="G135" s="23" t="s">
        <v>288</v>
      </c>
      <c r="H135" s="13">
        <f t="shared" si="7"/>
        <v>89502.28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4733</v>
      </c>
      <c r="D139" s="23" t="s">
        <v>288</v>
      </c>
      <c r="E139" s="23" t="s">
        <v>288</v>
      </c>
      <c r="F139" s="23" t="s">
        <v>288</v>
      </c>
      <c r="G139" s="23" t="s">
        <v>288</v>
      </c>
      <c r="H139" s="13">
        <f t="shared" si="7"/>
        <v>4733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-4733</v>
      </c>
      <c r="D141" s="23" t="s">
        <v>288</v>
      </c>
      <c r="E141" s="23" t="s">
        <v>288</v>
      </c>
      <c r="F141" s="23" t="s">
        <v>288</v>
      </c>
      <c r="G141" s="23" t="s">
        <v>288</v>
      </c>
      <c r="H141" s="13">
        <f t="shared" si="7"/>
        <v>-4733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3989036.64</v>
      </c>
      <c r="D144" s="98">
        <f>SUM(D130:D143)</f>
        <v>0</v>
      </c>
      <c r="E144" s="98">
        <f>SUM(E130:E143)</f>
        <v>0</v>
      </c>
      <c r="F144" s="98">
        <f>SUM(F130:F143)</f>
        <v>2053604</v>
      </c>
      <c r="G144" s="98">
        <f>SUM(G130:G143)</f>
        <v>0</v>
      </c>
      <c r="H144" s="98">
        <f t="shared" si="7"/>
        <v>6042640.6400000006</v>
      </c>
    </row>
    <row r="145" spans="1:9" ht="12.75" thickTop="1" thickBot="1" x14ac:dyDescent="0.25">
      <c r="A145" s="32" t="s">
        <v>244</v>
      </c>
      <c r="C145" s="68">
        <f>(C115+C128+C144)</f>
        <v>30883210.149999999</v>
      </c>
      <c r="D145" s="68">
        <f>(D115+D128+D144)</f>
        <v>930015.52000000014</v>
      </c>
      <c r="E145" s="68">
        <f>(E115+E128+E144)</f>
        <v>1273320.8499999999</v>
      </c>
      <c r="F145" s="68">
        <f>(F115+F128+F144)</f>
        <v>2053604</v>
      </c>
      <c r="G145" s="68">
        <f>(G115+G128+G144)</f>
        <v>0</v>
      </c>
      <c r="H145" s="68">
        <f t="shared" si="7"/>
        <v>35140150.519999996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20</v>
      </c>
      <c r="E151" s="110">
        <f>'DOE25'!I491</f>
        <v>15</v>
      </c>
      <c r="F151" s="110">
        <f>'DOE25'!J491</f>
        <v>5</v>
      </c>
      <c r="G151" s="23" t="s">
        <v>288</v>
      </c>
    </row>
    <row r="152" spans="1:9" x14ac:dyDescent="0.2">
      <c r="A152" s="21" t="s">
        <v>28</v>
      </c>
      <c r="B152" s="109" t="str">
        <f>'DOE25'!F492</f>
        <v>01/15/07</v>
      </c>
      <c r="C152" s="109" t="str">
        <f>'DOE25'!G492</f>
        <v>12/22/04</v>
      </c>
      <c r="D152" s="109">
        <f>'DOE25'!H492</f>
        <v>2.6626726576801463E-4</v>
      </c>
      <c r="E152" s="109">
        <f>'DOE25'!I492</f>
        <v>0.47368421052631576</v>
      </c>
      <c r="F152" s="109">
        <f>'DOE25'!J492</f>
        <v>0.38095238095238093</v>
      </c>
      <c r="G152" s="23" t="s">
        <v>288</v>
      </c>
    </row>
    <row r="153" spans="1:9" x14ac:dyDescent="0.2">
      <c r="A153" s="21" t="s">
        <v>29</v>
      </c>
      <c r="B153" s="109" t="str">
        <f>'DOE25'!F493</f>
        <v>08/27</v>
      </c>
      <c r="C153" s="109" t="str">
        <f>'DOE25'!G493</f>
        <v>01/25</v>
      </c>
      <c r="D153" s="109">
        <f>'DOE25'!H493</f>
        <v>0.33333333333333331</v>
      </c>
      <c r="E153" s="109">
        <f>'DOE25'!I493</f>
        <v>0.26470588235294118</v>
      </c>
      <c r="F153" s="109">
        <f>'DOE25'!J493</f>
        <v>0.30769230769230771</v>
      </c>
      <c r="G153" s="23" t="s">
        <v>288</v>
      </c>
    </row>
    <row r="154" spans="1:9" x14ac:dyDescent="0.2">
      <c r="A154" s="21" t="s">
        <v>30</v>
      </c>
      <c r="B154" s="19">
        <f>'DOE25'!F494</f>
        <v>2532900</v>
      </c>
      <c r="C154" s="19">
        <f>'DOE25'!G494</f>
        <v>4000000</v>
      </c>
      <c r="D154" s="19">
        <f>'DOE25'!H494</f>
        <v>38460936</v>
      </c>
      <c r="E154" s="19">
        <f>'DOE25'!I494</f>
        <v>900000</v>
      </c>
      <c r="F154" s="19">
        <f>'DOE25'!J494</f>
        <v>441958</v>
      </c>
      <c r="G154" s="23" t="s">
        <v>288</v>
      </c>
    </row>
    <row r="155" spans="1:9" x14ac:dyDescent="0.2">
      <c r="A155" s="21" t="s">
        <v>31</v>
      </c>
      <c r="B155" s="19">
        <f>'DOE25'!F495</f>
        <v>4.08</v>
      </c>
      <c r="C155" s="19">
        <f>'DOE25'!G495</f>
        <v>4.47</v>
      </c>
      <c r="D155" s="19">
        <f>'DOE25'!H495</f>
        <v>4.62</v>
      </c>
      <c r="E155" s="19">
        <f>'DOE25'!I495</f>
        <v>2.8</v>
      </c>
      <c r="F155" s="19">
        <f>'DOE25'!J495</f>
        <v>2.5</v>
      </c>
      <c r="G155" s="23" t="s">
        <v>288</v>
      </c>
    </row>
    <row r="156" spans="1:9" x14ac:dyDescent="0.2">
      <c r="A156" s="21" t="s">
        <v>32</v>
      </c>
      <c r="B156" s="19">
        <f>'DOE25'!F496</f>
        <v>346141</v>
      </c>
      <c r="C156" s="19">
        <f>'DOE25'!G496</f>
        <v>258971</v>
      </c>
      <c r="D156" s="19">
        <f>'DOE25'!H496</f>
        <v>1152541</v>
      </c>
      <c r="E156" s="19">
        <f>'DOE25'!I496</f>
        <v>720000</v>
      </c>
      <c r="F156" s="19">
        <f>'DOE25'!J496</f>
        <v>358256</v>
      </c>
      <c r="G156" s="96">
        <f>SUM(B156:F156)</f>
        <v>2835909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93520</v>
      </c>
      <c r="C158" s="19">
        <f>'DOE25'!G498</f>
        <v>132070</v>
      </c>
      <c r="D158" s="19">
        <f>'DOE25'!H498</f>
        <v>1152541</v>
      </c>
      <c r="E158" s="19">
        <f>'DOE25'!I498</f>
        <v>54827</v>
      </c>
      <c r="F158" s="19">
        <f>'DOE25'!J498</f>
        <v>144372</v>
      </c>
      <c r="G158" s="96">
        <f t="shared" si="8"/>
        <v>1577330</v>
      </c>
    </row>
    <row r="159" spans="1:9" x14ac:dyDescent="0.2">
      <c r="A159" s="21" t="s">
        <v>35</v>
      </c>
      <c r="B159" s="19">
        <f>'DOE25'!F499</f>
        <v>252621</v>
      </c>
      <c r="C159" s="19">
        <f>'DOE25'!G499</f>
        <v>126901</v>
      </c>
      <c r="D159" s="19">
        <f>'DOE25'!H499</f>
        <v>0</v>
      </c>
      <c r="E159" s="19">
        <f>'DOE25'!I499</f>
        <v>665173</v>
      </c>
      <c r="F159" s="19">
        <f>'DOE25'!J499</f>
        <v>213884</v>
      </c>
      <c r="G159" s="96">
        <f t="shared" si="8"/>
        <v>1258579</v>
      </c>
    </row>
    <row r="160" spans="1:9" x14ac:dyDescent="0.2">
      <c r="A160" s="21" t="s">
        <v>36</v>
      </c>
      <c r="B160" s="19">
        <f>'DOE25'!F500</f>
        <v>310248</v>
      </c>
      <c r="C160" s="19">
        <f>'DOE25'!G500</f>
        <v>182848</v>
      </c>
      <c r="D160" s="19">
        <f>'DOE25'!H500</f>
        <v>0</v>
      </c>
      <c r="E160" s="19">
        <f>'DOE25'!I500</f>
        <v>2064</v>
      </c>
      <c r="F160" s="19">
        <f>'DOE25'!J500</f>
        <v>11407</v>
      </c>
      <c r="G160" s="96">
        <f t="shared" si="8"/>
        <v>506567</v>
      </c>
    </row>
    <row r="161" spans="1:7" x14ac:dyDescent="0.2">
      <c r="A161" s="21" t="s">
        <v>37</v>
      </c>
      <c r="B161" s="19">
        <f>'DOE25'!F501</f>
        <v>562869</v>
      </c>
      <c r="C161" s="19">
        <f>'DOE25'!G501</f>
        <v>309749</v>
      </c>
      <c r="D161" s="19">
        <f>'DOE25'!H501</f>
        <v>0</v>
      </c>
      <c r="E161" s="19">
        <f>'DOE25'!I501</f>
        <v>667237</v>
      </c>
      <c r="F161" s="19">
        <f>'DOE25'!J501</f>
        <v>225291</v>
      </c>
      <c r="G161" s="96">
        <f t="shared" si="8"/>
        <v>1765146</v>
      </c>
    </row>
    <row r="162" spans="1:7" x14ac:dyDescent="0.2">
      <c r="A162" s="21" t="s">
        <v>38</v>
      </c>
      <c r="B162" s="19">
        <f>'DOE25'!F502</f>
        <v>93520</v>
      </c>
      <c r="C162" s="19">
        <f>'DOE25'!G502</f>
        <v>126901</v>
      </c>
      <c r="D162" s="19">
        <f>'DOE25'!H502</f>
        <v>0</v>
      </c>
      <c r="E162" s="19">
        <f>'DOE25'!I502</f>
        <v>60000</v>
      </c>
      <c r="F162" s="19">
        <f>'DOE25'!J502</f>
        <v>86279</v>
      </c>
      <c r="G162" s="96">
        <f t="shared" si="8"/>
        <v>366700</v>
      </c>
    </row>
    <row r="163" spans="1:7" x14ac:dyDescent="0.2">
      <c r="A163" s="21" t="s">
        <v>39</v>
      </c>
      <c r="B163" s="19">
        <f>'DOE25'!F503</f>
        <v>90386</v>
      </c>
      <c r="C163" s="19">
        <f>'DOE25'!G503</f>
        <v>182848</v>
      </c>
      <c r="D163" s="19">
        <f>'DOE25'!H503</f>
        <v>0</v>
      </c>
      <c r="E163" s="19">
        <f>'DOE25'!I503</f>
        <v>20160</v>
      </c>
      <c r="F163" s="19">
        <f>'DOE25'!J503</f>
        <v>8956</v>
      </c>
      <c r="G163" s="96">
        <f t="shared" si="8"/>
        <v>302350</v>
      </c>
    </row>
    <row r="164" spans="1:7" x14ac:dyDescent="0.2">
      <c r="A164" s="21" t="s">
        <v>246</v>
      </c>
      <c r="B164" s="19">
        <f>'DOE25'!F504</f>
        <v>183906</v>
      </c>
      <c r="C164" s="19">
        <f>'DOE25'!G504</f>
        <v>309749</v>
      </c>
      <c r="D164" s="19">
        <f>'DOE25'!H504</f>
        <v>0</v>
      </c>
      <c r="E164" s="19">
        <f>'DOE25'!I504</f>
        <v>80160</v>
      </c>
      <c r="F164" s="19">
        <f>'DOE25'!J504</f>
        <v>95235</v>
      </c>
      <c r="G164" s="96">
        <f t="shared" si="8"/>
        <v>669050</v>
      </c>
    </row>
  </sheetData>
  <sheetProtection algorithmName="SHA-512" hashValue="W/ivBAWV2yl74SWmwEY+hY+7W3fjUwHWTMa0yd4Bo2MZUleREQF48vfsqQCNKjm9BTVdeQbrnFtFQ19Xe2RhuA==" saltValue="xr0DUaHnQiNTIAhTVxJ+yA=="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N42" sqref="N4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Dresden</v>
      </c>
    </row>
    <row r="3" spans="1:4" x14ac:dyDescent="0.2">
      <c r="B3" s="136" t="s">
        <v>1792</v>
      </c>
    </row>
    <row r="4" spans="1:4" x14ac:dyDescent="0.2">
      <c r="B4" t="s">
        <v>61</v>
      </c>
      <c r="C4" s="128">
        <f>IF('DOE25'!F666+'DOE25'!F671=0,0,ROUND('DOE25'!F673,0))</f>
        <v>25934</v>
      </c>
    </row>
    <row r="5" spans="1:4" x14ac:dyDescent="0.2">
      <c r="B5" t="s">
        <v>700</v>
      </c>
      <c r="C5" s="128">
        <f>IF('DOE25'!G666+'DOE25'!G671=0,0,ROUND('DOE25'!G673,0))</f>
        <v>0</v>
      </c>
    </row>
    <row r="6" spans="1:4" x14ac:dyDescent="0.2">
      <c r="B6" t="s">
        <v>62</v>
      </c>
      <c r="C6" s="128">
        <f>IF('DOE25'!H666+'DOE25'!H671=0,0,ROUND('DOE25'!H673,0))</f>
        <v>25959</v>
      </c>
    </row>
    <row r="7" spans="1:4" x14ac:dyDescent="0.2">
      <c r="B7" t="s">
        <v>701</v>
      </c>
      <c r="C7" s="128">
        <f>IF('DOE25'!I666+'DOE25'!I671=0,0,ROUND('DOE25'!I673,0))</f>
        <v>25950</v>
      </c>
    </row>
    <row r="9" spans="1:4" x14ac:dyDescent="0.2">
      <c r="A9" s="135" t="s">
        <v>94</v>
      </c>
      <c r="B9" s="136" t="s">
        <v>1793</v>
      </c>
      <c r="C9" s="130" t="s">
        <v>720</v>
      </c>
      <c r="D9" s="130" t="s">
        <v>721</v>
      </c>
    </row>
    <row r="10" spans="1:4" x14ac:dyDescent="0.2">
      <c r="A10">
        <v>1100</v>
      </c>
      <c r="B10" t="s">
        <v>702</v>
      </c>
      <c r="C10" s="128">
        <f>ROUND('DOE25'!L198+'DOE25'!L216+'DOE25'!L234+'DOE25'!L277+'DOE25'!L296+'DOE25'!L315,0)</f>
        <v>13687793</v>
      </c>
      <c r="D10" s="131">
        <f>ROUND((C10/$C$28)*100,1)</f>
        <v>45</v>
      </c>
    </row>
    <row r="11" spans="1:4" x14ac:dyDescent="0.2">
      <c r="A11">
        <v>1200</v>
      </c>
      <c r="B11" t="s">
        <v>703</v>
      </c>
      <c r="C11" s="128">
        <f>ROUND('DOE25'!L199+'DOE25'!L217+'DOE25'!L235+'DOE25'!L278+'DOE25'!L297+'DOE25'!L316,0)</f>
        <v>3501774</v>
      </c>
      <c r="D11" s="131">
        <f>ROUND((C11/$C$28)*100,1)</f>
        <v>11.5</v>
      </c>
    </row>
    <row r="12" spans="1:4" x14ac:dyDescent="0.2">
      <c r="A12">
        <v>1300</v>
      </c>
      <c r="B12" t="s">
        <v>704</v>
      </c>
      <c r="C12" s="128">
        <f>ROUND('DOE25'!L200+'DOE25'!L218+'DOE25'!L236+'DOE25'!L279+'DOE25'!L298+'DOE25'!L317,0)</f>
        <v>188613</v>
      </c>
      <c r="D12" s="131">
        <f>ROUND((C12/$C$28)*100,1)</f>
        <v>0.6</v>
      </c>
    </row>
    <row r="13" spans="1:4" x14ac:dyDescent="0.2">
      <c r="A13">
        <v>1400</v>
      </c>
      <c r="B13" t="s">
        <v>705</v>
      </c>
      <c r="C13" s="128">
        <f>ROUND('DOE25'!L201+'DOE25'!L219+'DOE25'!L237+'DOE25'!L280+'DOE25'!L299+'DOE25'!L318,0)</f>
        <v>1749850</v>
      </c>
      <c r="D13" s="131">
        <f>ROUND((C13/$C$28)*100,1)</f>
        <v>5.8</v>
      </c>
    </row>
    <row r="14" spans="1:4" x14ac:dyDescent="0.2">
      <c r="D14" s="131"/>
    </row>
    <row r="15" spans="1:4" x14ac:dyDescent="0.2">
      <c r="A15">
        <v>2100</v>
      </c>
      <c r="B15" t="s">
        <v>706</v>
      </c>
      <c r="C15" s="128">
        <f>ROUND('DOE25'!L203+'DOE25'!L221+'DOE25'!L239+'DOE25'!L282+'DOE25'!L301+'DOE25'!L320,0)</f>
        <v>1796560</v>
      </c>
      <c r="D15" s="131">
        <f t="shared" ref="D15:D27" si="0">ROUND((C15/$C$28)*100,1)</f>
        <v>5.9</v>
      </c>
    </row>
    <row r="16" spans="1:4" x14ac:dyDescent="0.2">
      <c r="A16">
        <v>2200</v>
      </c>
      <c r="B16" t="s">
        <v>707</v>
      </c>
      <c r="C16" s="128">
        <f>ROUND('DOE25'!L204+'DOE25'!L222+'DOE25'!L240+'DOE25'!L283+'DOE25'!L302+'DOE25'!L321,0)</f>
        <v>876496</v>
      </c>
      <c r="D16" s="131">
        <f t="shared" si="0"/>
        <v>2.9</v>
      </c>
    </row>
    <row r="17" spans="1:4" x14ac:dyDescent="0.2">
      <c r="A17" s="132" t="s">
        <v>723</v>
      </c>
      <c r="B17" t="s">
        <v>738</v>
      </c>
      <c r="C17" s="128">
        <f>ROUND('DOE25'!L205+'DOE25'!L210+'DOE25'!L223+'DOE25'!L228+'DOE25'!L241+'DOE25'!L246+'DOE25'!L284+'DOE25'!L289+'DOE25'!L303+'DOE25'!L308+'DOE25'!L322+'DOE25'!L327,0)</f>
        <v>1328597</v>
      </c>
      <c r="D17" s="131">
        <f t="shared" si="0"/>
        <v>4.4000000000000004</v>
      </c>
    </row>
    <row r="18" spans="1:4" x14ac:dyDescent="0.2">
      <c r="A18">
        <v>2400</v>
      </c>
      <c r="B18" t="s">
        <v>711</v>
      </c>
      <c r="C18" s="128">
        <f>ROUND('DOE25'!L206+'DOE25'!L224+'DOE25'!L242+'DOE25'!L285+'DOE25'!L304+'DOE25'!L323,0)</f>
        <v>2271026</v>
      </c>
      <c r="D18" s="131">
        <f t="shared" si="0"/>
        <v>7.5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2466560</v>
      </c>
      <c r="D20" s="131">
        <f t="shared" si="0"/>
        <v>8.1</v>
      </c>
    </row>
    <row r="21" spans="1:4" x14ac:dyDescent="0.2">
      <c r="A21">
        <v>2700</v>
      </c>
      <c r="B21" t="s">
        <v>710</v>
      </c>
      <c r="C21" s="128">
        <f>ROUND('DOE25'!L209+'DOE25'!L227+'DOE25'!L245+'DOE25'!L288+'DOE25'!L307+'DOE25'!L326,0)</f>
        <v>300226</v>
      </c>
      <c r="D21" s="131">
        <f t="shared" si="0"/>
        <v>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2116459</v>
      </c>
      <c r="D25" s="131">
        <f t="shared" si="0"/>
        <v>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124573.88</v>
      </c>
      <c r="D27" s="131">
        <f t="shared" si="0"/>
        <v>0.4</v>
      </c>
    </row>
    <row r="28" spans="1:4" x14ac:dyDescent="0.2">
      <c r="B28" s="135" t="s">
        <v>719</v>
      </c>
      <c r="C28" s="129">
        <f>SUM(C10:C27)</f>
        <v>30408527.879999999</v>
      </c>
      <c r="D28" s="133">
        <f>ROUND(SUM(D10:D27),0)</f>
        <v>100</v>
      </c>
    </row>
    <row r="29" spans="1:4" x14ac:dyDescent="0.2">
      <c r="A29">
        <v>4000</v>
      </c>
      <c r="B29" t="s">
        <v>724</v>
      </c>
      <c r="C29" s="128">
        <f>ROUND('DOE25'!L256+'DOE25'!L337+'DOE25'!L375+'DOE25'!L376+'DOE25'!L377+'DOE25'!L378+'DOE25'!L379+'DOE25'!L380+'DOE25'!L381,0)</f>
        <v>2259350</v>
      </c>
    </row>
    <row r="30" spans="1:4" x14ac:dyDescent="0.2">
      <c r="B30" s="135" t="s">
        <v>725</v>
      </c>
      <c r="C30" s="129">
        <f>SUM(C28:C29)</f>
        <v>32667877.879999999</v>
      </c>
    </row>
    <row r="31" spans="1:4" x14ac:dyDescent="0.2">
      <c r="B31" s="32"/>
      <c r="C31" s="129"/>
    </row>
    <row r="32" spans="1:4" x14ac:dyDescent="0.2">
      <c r="A32">
        <v>5100</v>
      </c>
      <c r="B32" s="32" t="s">
        <v>726</v>
      </c>
      <c r="C32" s="129">
        <f>ROUND('DOE25'!L261+'DOE25'!L342,0)</f>
        <v>1577329</v>
      </c>
    </row>
    <row r="34" spans="1:4" x14ac:dyDescent="0.2">
      <c r="A34" s="135" t="s">
        <v>94</v>
      </c>
      <c r="B34" s="136" t="s">
        <v>1794</v>
      </c>
      <c r="C34" s="130" t="s">
        <v>720</v>
      </c>
      <c r="D34" s="130" t="s">
        <v>721</v>
      </c>
    </row>
    <row r="35" spans="1:4" x14ac:dyDescent="0.2">
      <c r="A35">
        <v>1100</v>
      </c>
      <c r="B35" s="71" t="s">
        <v>727</v>
      </c>
      <c r="C35" s="128">
        <f>ROUND('DOE25'!F60+'DOE25'!G60+'DOE25'!H60+'DOE25'!I60+'DOE25'!J60,0)</f>
        <v>27066560</v>
      </c>
      <c r="D35" s="131">
        <f t="shared" ref="D35:D40" si="1">ROUND((C35/$C$41)*100,1)</f>
        <v>83.7</v>
      </c>
    </row>
    <row r="36" spans="1:4" x14ac:dyDescent="0.2">
      <c r="B36" s="71" t="s">
        <v>739</v>
      </c>
      <c r="C36" s="128">
        <f>SUM('DOE25'!F112:J112)-SUM('DOE25'!G97:G110)+('DOE25'!F175+'DOE25'!F176+'DOE25'!I175+'DOE25'!I176)-C35</f>
        <v>4575420.0600000024</v>
      </c>
      <c r="D36" s="131">
        <f t="shared" si="1"/>
        <v>14.1</v>
      </c>
    </row>
    <row r="37" spans="1:4" x14ac:dyDescent="0.2">
      <c r="A37" s="132" t="s">
        <v>831</v>
      </c>
      <c r="B37" s="71" t="s">
        <v>728</v>
      </c>
      <c r="C37" s="128">
        <f>ROUND('DOE25'!F117+'DOE25'!F118,0)</f>
        <v>0</v>
      </c>
      <c r="D37" s="131">
        <f t="shared" si="1"/>
        <v>0</v>
      </c>
    </row>
    <row r="38" spans="1:4" x14ac:dyDescent="0.2">
      <c r="A38" s="132" t="s">
        <v>734</v>
      </c>
      <c r="B38" s="71" t="s">
        <v>729</v>
      </c>
      <c r="C38" s="128">
        <f>ROUND(SUM('DOE25'!F140:J140)-SUM('DOE25'!F117:F119),0)</f>
        <v>470585</v>
      </c>
      <c r="D38" s="131">
        <f t="shared" si="1"/>
        <v>1.5</v>
      </c>
    </row>
    <row r="39" spans="1:4" x14ac:dyDescent="0.2">
      <c r="A39">
        <v>4000</v>
      </c>
      <c r="B39" s="71" t="s">
        <v>730</v>
      </c>
      <c r="C39" s="128">
        <f>ROUND('DOE25'!F170+'DOE25'!G170+'DOE25'!H170+'DOE25'!I170,0)</f>
        <v>243919</v>
      </c>
      <c r="D39" s="131">
        <f t="shared" si="1"/>
        <v>0.8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32356484.060000002</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41" sqref="S4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Dresden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v>20</v>
      </c>
      <c r="B5" s="149">
        <v>2</v>
      </c>
      <c r="C5" s="332" t="s">
        <v>1849</v>
      </c>
      <c r="D5" s="332"/>
      <c r="E5" s="332"/>
      <c r="F5" s="332"/>
      <c r="G5" s="332"/>
      <c r="H5" s="332"/>
      <c r="I5" s="332"/>
      <c r="J5" s="332"/>
      <c r="K5" s="332"/>
      <c r="L5" s="332"/>
      <c r="M5" s="333"/>
    </row>
    <row r="6" spans="1:13" x14ac:dyDescent="0.2">
      <c r="A6" s="158"/>
      <c r="B6" s="149"/>
      <c r="C6" s="332" t="s">
        <v>1850</v>
      </c>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v>20</v>
      </c>
      <c r="B8" s="149">
        <v>3</v>
      </c>
      <c r="C8" s="332" t="s">
        <v>1847</v>
      </c>
      <c r="D8" s="332"/>
      <c r="E8" s="332"/>
      <c r="F8" s="332"/>
      <c r="G8" s="332"/>
      <c r="H8" s="332"/>
      <c r="I8" s="332"/>
      <c r="J8" s="332"/>
      <c r="K8" s="332"/>
      <c r="L8" s="332"/>
      <c r="M8" s="333"/>
    </row>
    <row r="9" spans="1:13" x14ac:dyDescent="0.2">
      <c r="A9" s="158"/>
      <c r="B9" s="149"/>
      <c r="C9" s="332" t="s">
        <v>1848</v>
      </c>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88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31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f>IF('School Level Expenditures'!$B$2='School Tables'!W34,'School Tables'!AD34,"")</f>
        <v>31</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f>IF('School Level Expenditures'!$B$2=A91,'School Tables'!H91,"")</f>
        <v>88</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2024-09-23T20:27:46Z</cp:lastPrinted>
  <dcterms:created xsi:type="dcterms:W3CDTF">1997-12-04T19:04:30Z</dcterms:created>
  <dcterms:modified xsi:type="dcterms:W3CDTF">2024-12-20T18:42:10Z</dcterms:modified>
</cp:coreProperties>
</file>