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87356AC0-6C45-4C31-8860-D138AC53FE17}"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44" i="1" l="1"/>
  <c r="H543" i="1"/>
  <c r="Q6" i="14"/>
  <c r="F15" i="13" l="1"/>
  <c r="C20" i="12" l="1"/>
  <c r="B12" i="12"/>
  <c r="H529" i="1" l="1"/>
  <c r="I529" i="1"/>
  <c r="I528" i="1"/>
  <c r="I527" i="1"/>
  <c r="F529" i="1"/>
  <c r="F528" i="1"/>
  <c r="F527" i="1"/>
  <c r="H522" i="1"/>
  <c r="G523" i="1"/>
  <c r="G522" i="1"/>
  <c r="J523" i="1"/>
  <c r="J522" i="1"/>
  <c r="I524" i="1"/>
  <c r="I523" i="1"/>
  <c r="I522" i="1"/>
  <c r="F524" i="1"/>
  <c r="F523" i="1"/>
  <c r="F522" i="1"/>
  <c r="F583" i="1"/>
  <c r="J593" i="1"/>
  <c r="I593" i="1"/>
  <c r="H605" i="1"/>
  <c r="J605" i="1"/>
  <c r="H244" i="1"/>
  <c r="H245" i="1"/>
  <c r="I605" i="1"/>
  <c r="G244" i="1"/>
  <c r="G198" i="1"/>
  <c r="G239" i="1"/>
  <c r="G217" i="1"/>
  <c r="G234" i="1"/>
  <c r="G216" i="1"/>
  <c r="I234" i="1"/>
  <c r="I235" i="1"/>
  <c r="H242" i="1"/>
  <c r="F244" i="1"/>
  <c r="G208" i="1"/>
  <c r="G206" i="1"/>
  <c r="G205" i="1"/>
  <c r="G203" i="1"/>
  <c r="G199" i="1"/>
  <c r="H227" i="1"/>
  <c r="F226" i="1"/>
  <c r="F208" i="1"/>
  <c r="J240" i="1"/>
  <c r="J222" i="1"/>
  <c r="I240" i="1"/>
  <c r="I222" i="1"/>
  <c r="I204" i="1"/>
  <c r="H240" i="1"/>
  <c r="H222" i="1"/>
  <c r="F240" i="1"/>
  <c r="F222" i="1"/>
  <c r="F204" i="1"/>
  <c r="J239" i="1"/>
  <c r="J221" i="1"/>
  <c r="I239" i="1"/>
  <c r="I221" i="1"/>
  <c r="I203" i="1"/>
  <c r="H239" i="1"/>
  <c r="H203" i="1"/>
  <c r="F239" i="1"/>
  <c r="F221" i="1"/>
  <c r="F203" i="1"/>
  <c r="J217" i="1"/>
  <c r="J199" i="1"/>
  <c r="I216" i="1"/>
  <c r="I199" i="1"/>
  <c r="H199" i="1"/>
  <c r="H198" i="1"/>
  <c r="F234" i="1"/>
  <c r="F216" i="1"/>
  <c r="F198" i="1"/>
  <c r="I198" i="1"/>
  <c r="K242" i="1"/>
  <c r="K234" i="1"/>
  <c r="K224" i="1"/>
  <c r="K203" i="1"/>
  <c r="H237" i="1"/>
  <c r="H234" i="1"/>
  <c r="H224" i="1"/>
  <c r="H219" i="1"/>
  <c r="H216" i="1"/>
  <c r="H206" i="1"/>
  <c r="F13" i="1" l="1"/>
  <c r="F14" i="1"/>
  <c r="G278" i="1" l="1"/>
  <c r="F316" i="1"/>
  <c r="F278" i="1"/>
  <c r="H155" i="1"/>
  <c r="F441" i="1"/>
  <c r="F360" i="1" l="1"/>
  <c r="F359" i="1"/>
  <c r="G361" i="1" l="1"/>
  <c r="G360" i="1"/>
  <c r="G359" i="1"/>
  <c r="F361" i="1"/>
  <c r="G132" i="1"/>
  <c r="G97" i="1" l="1"/>
  <c r="G31" i="1"/>
  <c r="G24"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E124" i="2" s="1"/>
  <c r="L308" i="1"/>
  <c r="E125" i="2" s="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F121" i="1"/>
  <c r="F136" i="1"/>
  <c r="G121" i="1"/>
  <c r="G136" i="1"/>
  <c r="H121" i="1"/>
  <c r="H136" i="1"/>
  <c r="I121" i="1"/>
  <c r="I136" i="1"/>
  <c r="J121" i="1"/>
  <c r="J136" i="1"/>
  <c r="F147" i="1"/>
  <c r="C85" i="2"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I112" i="1" l="1"/>
  <c r="H26" i="2"/>
  <c r="H24" i="2"/>
  <c r="H22" i="2"/>
  <c r="F409" i="1"/>
  <c r="H644" i="1" s="1"/>
  <c r="G646" i="1"/>
  <c r="J646" i="1" s="1"/>
  <c r="H143" i="2"/>
  <c r="F170" i="1"/>
  <c r="H38" i="2"/>
  <c r="H43" i="2"/>
  <c r="H135" i="2"/>
  <c r="H80" i="2"/>
  <c r="H140" i="1"/>
  <c r="H96" i="2"/>
  <c r="F85" i="2"/>
  <c r="F91" i="2" s="1"/>
  <c r="H137" i="2"/>
  <c r="G663" i="1"/>
  <c r="J140" i="1"/>
  <c r="I409" i="1"/>
  <c r="J112" i="1"/>
  <c r="H101" i="2"/>
  <c r="H99" i="2"/>
  <c r="H87" i="2"/>
  <c r="H79" i="2"/>
  <c r="H76" i="2"/>
  <c r="H61" i="2"/>
  <c r="H58" i="2"/>
  <c r="H69" i="2"/>
  <c r="H25" i="2"/>
  <c r="H23" i="2"/>
  <c r="H17" i="2"/>
  <c r="H15" i="2"/>
  <c r="D144" i="2"/>
  <c r="H102" i="2"/>
  <c r="H100" i="2"/>
  <c r="H98" i="2"/>
  <c r="H73" i="2"/>
  <c r="H11" i="2"/>
  <c r="D18" i="13"/>
  <c r="C18" i="13" s="1"/>
  <c r="H97" i="2"/>
  <c r="H36" i="2"/>
  <c r="H44" i="2"/>
  <c r="H35" i="2"/>
  <c r="H89" i="2"/>
  <c r="H72" i="2"/>
  <c r="H34" i="2"/>
  <c r="H9" i="2"/>
  <c r="H113" i="2"/>
  <c r="H48" i="2"/>
  <c r="J652" i="1"/>
  <c r="C125" i="2"/>
  <c r="H125" i="2" s="1"/>
  <c r="G651" i="1"/>
  <c r="D15" i="13"/>
  <c r="C15" i="13" s="1"/>
  <c r="E13" i="13"/>
  <c r="C13" i="13" s="1"/>
  <c r="C120" i="2"/>
  <c r="C112" i="2"/>
  <c r="C12" i="10"/>
  <c r="C119" i="2"/>
  <c r="H27" i="2"/>
  <c r="H28" i="2"/>
  <c r="H13" i="2"/>
  <c r="H8" i="2"/>
  <c r="K36" i="14"/>
  <c r="K37" i="14" s="1"/>
  <c r="E120" i="2"/>
  <c r="E112" i="2"/>
  <c r="C13" i="10"/>
  <c r="K2" i="14"/>
  <c r="K3" i="14" s="1"/>
  <c r="H30" i="2"/>
  <c r="H29" i="2"/>
  <c r="H12" i="2"/>
  <c r="H132" i="2"/>
  <c r="C32" i="10"/>
  <c r="G409" i="1"/>
  <c r="H646" i="1" s="1"/>
  <c r="H477" i="1"/>
  <c r="H625" i="1" s="1"/>
  <c r="J625" i="1" s="1"/>
  <c r="G62" i="2"/>
  <c r="H59" i="2"/>
  <c r="H47" i="2"/>
  <c r="G477" i="1"/>
  <c r="H624" i="1" s="1"/>
  <c r="J624" i="1" s="1"/>
  <c r="D29" i="13"/>
  <c r="C29" i="13" s="1"/>
  <c r="G662" i="1"/>
  <c r="D78" i="2"/>
  <c r="D81" i="2" s="1"/>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B33" i="16" l="1"/>
  <c r="J194" i="1"/>
  <c r="G647" i="1" s="1"/>
  <c r="H16" i="2"/>
  <c r="L572" i="1"/>
  <c r="H134" i="2"/>
  <c r="H21" i="2"/>
  <c r="C81" i="2"/>
  <c r="H81" i="2" s="1"/>
  <c r="H57" i="2"/>
  <c r="H42" i="2"/>
  <c r="H85" i="2"/>
  <c r="H112" i="2"/>
  <c r="I663" i="1"/>
  <c r="H120" i="2"/>
  <c r="H119" i="2"/>
  <c r="H123" i="2"/>
  <c r="H103" i="2"/>
  <c r="H78" i="2"/>
  <c r="F194" i="1"/>
  <c r="G628" i="1" s="1"/>
  <c r="J628" i="1" s="1"/>
  <c r="H91" i="2"/>
  <c r="E51" i="2"/>
  <c r="E144" i="2"/>
  <c r="H50" i="2"/>
  <c r="H18" i="2"/>
  <c r="D128" i="2"/>
  <c r="D145" i="2" s="1"/>
  <c r="H127" i="2"/>
  <c r="I662" i="1"/>
  <c r="D63" i="2"/>
  <c r="H62" i="2"/>
  <c r="D51"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194" i="1"/>
  <c r="G629" i="1" s="1"/>
  <c r="J629" i="1" s="1"/>
  <c r="G627" i="1"/>
  <c r="J627" i="1" s="1"/>
  <c r="J52" i="1"/>
  <c r="H622" i="1" s="1"/>
  <c r="J622" i="1" s="1"/>
  <c r="C38" i="10"/>
  <c r="G632" i="1" l="1"/>
  <c r="J632" i="1" s="1"/>
  <c r="C104" i="2"/>
  <c r="H63" i="2"/>
  <c r="H51" i="2"/>
  <c r="C144" i="2"/>
  <c r="H144" i="2" s="1"/>
  <c r="H141" i="2"/>
  <c r="D104"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104" i="2"/>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<sst xmlns="http://schemas.openxmlformats.org/spreadsheetml/2006/main" count="6639" uniqueCount="1841">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</sst>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115" zoomScaleNormal="115"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1009</v>
      </c>
      <c r="B2">
        <f>INDEX('School Tables'!$AH$3:$AH$213,MATCH('DOE25'!A2,'School Tables'!$AJ$3:$AJ$213,0))</f>
        <v>165</v>
      </c>
      <c r="C2">
        <f>INDEX('School Tables'!$AI$3:$AI$213,MATCH('DOE25'!A2,'School Tables'!$AJ$3:$AJ$213,0))</f>
        <v>165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1856843.51</v>
      </c>
      <c r="G9" s="18">
        <v>756526.54</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410162.38</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f>0.11+8211.09</f>
        <v>8211.2000000000007</v>
      </c>
      <c r="G13" s="18">
        <v>-567.34</v>
      </c>
      <c r="H13" s="18">
        <v>191336.81</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-10872.18+250-0.02</f>
        <v>-10622.2</v>
      </c>
      <c r="G14" s="18">
        <v>-0.47</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16209.79</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1854432.51</v>
      </c>
      <c r="G19" s="38">
        <f>SUM(G9:G18)</f>
        <v>772168.52000000014</v>
      </c>
      <c r="H19" s="38">
        <f>SUM(H9:H18)</f>
        <v>191336.81</v>
      </c>
      <c r="I19" s="38">
        <f>SUM(I9:I18)</f>
        <v>0</v>
      </c>
      <c r="J19" s="38">
        <f>SUM(J9:J18)</f>
        <v>410162.38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-806395.72</v>
      </c>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v>204368.36</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f>3076.02+29267.83</f>
        <v>32343.850000000002</v>
      </c>
      <c r="H24" s="18">
        <v>-32.9</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103716.86</v>
      </c>
      <c r="G28" s="18">
        <v>0.44</v>
      </c>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983349.1</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-637.91</v>
      </c>
      <c r="H30" s="18">
        <v>513</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28093.52</v>
      </c>
      <c r="G31" s="18">
        <f>623181.65-0.05+0.29</f>
        <v>623181.89</v>
      </c>
      <c r="H31" s="18">
        <v>-13511.65</v>
      </c>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308763.76</v>
      </c>
      <c r="G32" s="38">
        <f>SUM(G22:G31)</f>
        <v>654888.27</v>
      </c>
      <c r="H32" s="38">
        <f>SUM(H22:H31)</f>
        <v>191336.81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93189.25</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350000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276008.28000000003</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440763</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24091</v>
      </c>
      <c r="H48" s="18"/>
      <c r="I48" s="18"/>
      <c r="J48" s="13">
        <f>SUM(I460)</f>
        <v>410162.38</v>
      </c>
      <c r="K48" s="23" t="s">
        <v>288</v>
      </c>
      <c r="L48" s="23" t="s">
        <v>288</v>
      </c>
      <c r="M48" s="8"/>
      <c r="N48" s="164"/>
    </row>
    <row r="49" spans="1:14" s="3" customFormat="1" ht="12.2" customHeight="1" x14ac:dyDescent="0.15">
      <c r="A49" s="1" t="s">
        <v>855</v>
      </c>
      <c r="B49" s="2" t="s">
        <v>289</v>
      </c>
      <c r="C49" s="6">
        <v>34</v>
      </c>
      <c r="D49" s="2"/>
      <c r="E49" s="6">
        <v>753</v>
      </c>
      <c r="F49" s="18">
        <v>0</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478897.47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1545668.75</v>
      </c>
      <c r="G51" s="38">
        <f>SUM(G35:G50)</f>
        <v>117280.25</v>
      </c>
      <c r="H51" s="38">
        <f>SUM(H35:H50)</f>
        <v>0</v>
      </c>
      <c r="I51" s="38">
        <f>SUM(I35:I50)</f>
        <v>0</v>
      </c>
      <c r="J51" s="38">
        <f>SUM(J35:J50)</f>
        <v>410162.38</v>
      </c>
      <c r="K51" s="42" t="s">
        <v>288</v>
      </c>
      <c r="L51" s="42" t="s">
        <v>288</v>
      </c>
      <c r="N51" s="130"/>
    </row>
    <row r="52" spans="1:14" s="3" customFormat="1" ht="12.2" customHeight="1" thickTop="1" x14ac:dyDescent="0.15">
      <c r="A52" s="35" t="s">
        <v>455</v>
      </c>
      <c r="B52" s="36" t="s">
        <v>289</v>
      </c>
      <c r="C52" s="6">
        <v>37</v>
      </c>
      <c r="D52" s="36" t="s">
        <v>653</v>
      </c>
      <c r="E52" s="36"/>
      <c r="F52" s="38">
        <f>F51+F32</f>
        <v>1854432.51</v>
      </c>
      <c r="G52" s="38">
        <f>G51+G32</f>
        <v>772168.52</v>
      </c>
      <c r="H52" s="38">
        <f>H51+H32</f>
        <v>191336.81</v>
      </c>
      <c r="I52" s="38">
        <f>I51+I32</f>
        <v>0</v>
      </c>
      <c r="J52" s="38">
        <f>J51+J32</f>
        <v>410162.38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15909900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15909900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32064.3</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337.5</v>
      </c>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46139.5</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958.15</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79499.45</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v>
      </c>
      <c r="G96" s="18">
        <v>60756.83</v>
      </c>
      <c r="H96" s="18"/>
      <c r="I96" s="18"/>
      <c r="J96" s="18">
        <v>10162.379999999999</v>
      </c>
      <c r="K96" s="23" t="s">
        <v>288</v>
      </c>
      <c r="L96" s="23" t="s">
        <v>288</v>
      </c>
      <c r="M96" s="8"/>
      <c r="N96" s="164"/>
    </row>
    <row r="97" spans="1:14" s="3" customFormat="1" ht="12.2" customHeight="1" x14ac:dyDescent="0.15">
      <c r="A97" s="1" t="s">
        <v>503</v>
      </c>
      <c r="B97" s="2" t="s">
        <v>315</v>
      </c>
      <c r="C97" s="6">
        <v>12</v>
      </c>
      <c r="D97" s="2" t="s">
        <v>430</v>
      </c>
      <c r="E97" s="6">
        <v>1600</v>
      </c>
      <c r="F97" s="23" t="s">
        <v>288</v>
      </c>
      <c r="G97" s="18">
        <f>294397.11+11927.83</f>
        <v>306324.94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500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1275</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189558.97</v>
      </c>
      <c r="G110" s="18">
        <v>637.91</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191335.97</v>
      </c>
      <c r="G111" s="38">
        <f>SUM(G96:G110)</f>
        <v>367719.67999999999</v>
      </c>
      <c r="H111" s="38">
        <f>SUM(H96:H110)</f>
        <v>0</v>
      </c>
      <c r="I111" s="38">
        <f>SUM(I96:I110)</f>
        <v>0</v>
      </c>
      <c r="J111" s="38">
        <f>SUM(J96:J110)</f>
        <v>10162.379999999999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16180735.42</v>
      </c>
      <c r="G112" s="38">
        <f>G60+G111</f>
        <v>367719.67999999999</v>
      </c>
      <c r="H112" s="38">
        <f>H60+H79+H94+H111</f>
        <v>0</v>
      </c>
      <c r="I112" s="38">
        <f>I60+I111</f>
        <v>0</v>
      </c>
      <c r="J112" s="38">
        <f>J60+J111</f>
        <v>10162.379999999999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3186718.33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1720636</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3281.99</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4910636.32</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341874.61</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134298.54999999999</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15504</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f>35111.36</f>
        <v>35111.360000000001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6724.51</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498401.67</v>
      </c>
      <c r="G136" s="38">
        <f>SUM(G123:G135)</f>
        <v>35111.360000000001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5409037.9900000002</v>
      </c>
      <c r="G140" s="38">
        <f>G121+SUM(G136:G137)</f>
        <v>35111.360000000001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148151.57999999999</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18663.13+30955.51+18072.96+11750</f>
        <v>79441.600000000006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98002.43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266928.84999999998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45332.480000000003</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60370.87</v>
      </c>
      <c r="H161" s="18">
        <v>42753</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75590.11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45332.480000000003</v>
      </c>
      <c r="G163" s="38">
        <f>SUM(G150:G162)</f>
        <v>158373.29999999999</v>
      </c>
      <c r="H163" s="38">
        <f>SUM(H150:H162)</f>
        <v>612865.14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45332.480000000003</v>
      </c>
      <c r="G170" s="38">
        <f>G147+G163+SUM(G164:G169)</f>
        <v>158373.29999999999</v>
      </c>
      <c r="H170" s="38">
        <f>H147+H163+SUM(H164:H169)</f>
        <v>612865.14</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400000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301750</v>
      </c>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301750</v>
      </c>
      <c r="G184" s="38">
        <f>SUM(G180:G183)</f>
        <v>0</v>
      </c>
      <c r="H184" s="38">
        <f>SUM(H180:H183)</f>
        <v>0</v>
      </c>
      <c r="I184" s="38">
        <f>SUM(I180:I183)</f>
        <v>0</v>
      </c>
      <c r="J184" s="38">
        <f>SUM(J180:J183)</f>
        <v>400000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301750</v>
      </c>
      <c r="G193" s="38">
        <f>G184+SUM(G189:G192)</f>
        <v>0</v>
      </c>
      <c r="H193" s="38">
        <f>+H184+SUM(H189:H192)</f>
        <v>0</v>
      </c>
      <c r="I193" s="38">
        <f>I178+I184+SUM(I189:I192)</f>
        <v>0</v>
      </c>
      <c r="J193" s="38">
        <f>J184</f>
        <v>400000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21936855.890000001</v>
      </c>
      <c r="G194" s="38">
        <f>G112+G140+G170+G193</f>
        <v>561204.34</v>
      </c>
      <c r="H194" s="38">
        <f>H112+H140+H170+H193</f>
        <v>612865.14</v>
      </c>
      <c r="I194" s="38">
        <f>I112+I140+I170+I193</f>
        <v>0</v>
      </c>
      <c r="J194" s="38">
        <f>J112+J140+J193</f>
        <v>410162.38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2167284.55+61369.7</f>
        <v>2228654.25</v>
      </c>
      <c r="G198" s="18">
        <f>334298.14+601557.48+236633.41+244707.93</f>
        <v>1417196.96</v>
      </c>
      <c r="H198" s="18">
        <f>121</f>
        <v>121</v>
      </c>
      <c r="I198" s="18">
        <f>63284.18+723.4</f>
        <v>64007.58</v>
      </c>
      <c r="J198" s="18">
        <v>8627.3700000000008</v>
      </c>
      <c r="K198" s="18"/>
      <c r="L198" s="13">
        <f>SUM(F198:K198)</f>
        <v>3718607.16</v>
      </c>
      <c r="M198" s="8"/>
      <c r="N198" s="164"/>
    </row>
    <row r="199" spans="1:14" s="3" customFormat="1" ht="12.2" customHeight="1" x14ac:dyDescent="0.15">
      <c r="A199" s="1" t="s">
        <v>439</v>
      </c>
      <c r="B199" s="2" t="s">
        <v>341</v>
      </c>
      <c r="C199" s="2" t="s">
        <v>291</v>
      </c>
      <c r="D199" s="2" t="s">
        <v>431</v>
      </c>
      <c r="E199" s="6">
        <v>1200</v>
      </c>
      <c r="F199" s="18">
        <v>933460.56</v>
      </c>
      <c r="G199" s="18">
        <f>140019.08+375981</f>
        <v>516000.07999999996</v>
      </c>
      <c r="H199" s="18">
        <f>46124+770305.17</f>
        <v>816429.17</v>
      </c>
      <c r="I199" s="18">
        <f>12679.61+140.78</f>
        <v>12820.390000000001</v>
      </c>
      <c r="J199" s="18">
        <f>2219.68+8.52</f>
        <v>2228.1999999999998</v>
      </c>
      <c r="K199" s="18"/>
      <c r="L199" s="13">
        <f>SUM(F199:K199)</f>
        <v>2280938.4000000004</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c r="L200" s="13">
        <f>SUM(F200:K200)</f>
        <v>0</v>
      </c>
      <c r="M200" s="8"/>
      <c r="N200" s="164"/>
    </row>
    <row r="201" spans="1:14" s="3" customFormat="1" ht="12.2" customHeight="1" x14ac:dyDescent="0.15">
      <c r="A201" s="1" t="s">
        <v>441</v>
      </c>
      <c r="B201" s="2" t="s">
        <v>341</v>
      </c>
      <c r="C201" s="2" t="s">
        <v>293</v>
      </c>
      <c r="D201" s="2" t="s">
        <v>431</v>
      </c>
      <c r="E201" s="6">
        <v>1400</v>
      </c>
      <c r="F201" s="18">
        <v>11575</v>
      </c>
      <c r="G201" s="18">
        <v>4736.25</v>
      </c>
      <c r="H201" s="18">
        <v>2500</v>
      </c>
      <c r="I201" s="18">
        <v>852.2</v>
      </c>
      <c r="J201" s="18">
        <v>0</v>
      </c>
      <c r="K201" s="18"/>
      <c r="L201" s="13">
        <f>SUM(F201:K201)</f>
        <v>19663.45</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205203.65+190743.16</f>
        <v>395946.81</v>
      </c>
      <c r="G203" s="18">
        <f>59392.02+98784</f>
        <v>158176.01999999999</v>
      </c>
      <c r="H203" s="18">
        <f>230+189064.22</f>
        <v>189294.22</v>
      </c>
      <c r="I203" s="18">
        <f>4910.85+1891.16</f>
        <v>6802.01</v>
      </c>
      <c r="J203" s="18">
        <v>137.69999999999999</v>
      </c>
      <c r="K203" s="18">
        <f>358+45</f>
        <v>403</v>
      </c>
      <c r="L203" s="13">
        <f t="shared" ref="L203:L209" si="0">SUM(F203:K203)</f>
        <v>750759.75999999989</v>
      </c>
      <c r="M203" s="8"/>
      <c r="N203" s="164"/>
    </row>
    <row r="204" spans="1:14" s="3" customFormat="1" ht="12.2" customHeight="1" x14ac:dyDescent="0.15">
      <c r="A204" s="1" t="s">
        <v>443</v>
      </c>
      <c r="B204" s="2" t="s">
        <v>341</v>
      </c>
      <c r="C204" s="2" t="s">
        <v>295</v>
      </c>
      <c r="D204" s="2" t="s">
        <v>431</v>
      </c>
      <c r="E204" s="6">
        <v>2200</v>
      </c>
      <c r="F204" s="18">
        <f>67288.02+138344.45</f>
        <v>205632.47000000003</v>
      </c>
      <c r="G204" s="18">
        <v>130844.87</v>
      </c>
      <c r="H204" s="18">
        <v>61646.41</v>
      </c>
      <c r="I204" s="18">
        <f>30895.28+82436.38</f>
        <v>113331.66</v>
      </c>
      <c r="J204" s="18">
        <v>62098.13</v>
      </c>
      <c r="K204" s="18">
        <v>188.7</v>
      </c>
      <c r="L204" s="13">
        <f t="shared" si="0"/>
        <v>573742.24</v>
      </c>
      <c r="M204" s="8"/>
      <c r="N204" s="164"/>
    </row>
    <row r="205" spans="1:14" s="3" customFormat="1" ht="12.2" customHeight="1" x14ac:dyDescent="0.15">
      <c r="A205" s="1" t="s">
        <v>444</v>
      </c>
      <c r="B205" s="2" t="s">
        <v>341</v>
      </c>
      <c r="C205" s="2" t="s">
        <v>296</v>
      </c>
      <c r="D205" s="2" t="s">
        <v>431</v>
      </c>
      <c r="E205" s="6">
        <v>2300</v>
      </c>
      <c r="F205" s="18">
        <v>297466.3</v>
      </c>
      <c r="G205" s="18">
        <f>44619.95+75810</f>
        <v>120429.95</v>
      </c>
      <c r="H205" s="18">
        <v>31597.119999999999</v>
      </c>
      <c r="I205" s="18">
        <v>4118.6400000000003</v>
      </c>
      <c r="J205" s="18">
        <v>0</v>
      </c>
      <c r="K205" s="18">
        <v>12367.01</v>
      </c>
      <c r="L205" s="13">
        <f t="shared" si="0"/>
        <v>465979.02</v>
      </c>
      <c r="M205" s="8"/>
      <c r="N205" s="164"/>
    </row>
    <row r="206" spans="1:14" s="3" customFormat="1" ht="12.2" customHeight="1" x14ac:dyDescent="0.15">
      <c r="A206" s="1" t="s">
        <v>445</v>
      </c>
      <c r="B206" s="2" t="s">
        <v>341</v>
      </c>
      <c r="C206" s="2" t="s">
        <v>297</v>
      </c>
      <c r="D206" s="2" t="s">
        <v>431</v>
      </c>
      <c r="E206" s="6">
        <v>2400</v>
      </c>
      <c r="F206" s="18">
        <v>331404.08</v>
      </c>
      <c r="G206" s="18">
        <f>49710.61+59788</f>
        <v>109498.61</v>
      </c>
      <c r="H206" s="18">
        <f>17914.77+1700+1983.48</f>
        <v>21598.25</v>
      </c>
      <c r="I206" s="18">
        <v>4617.49</v>
      </c>
      <c r="J206" s="18">
        <v>682.59</v>
      </c>
      <c r="K206" s="18">
        <v>1886</v>
      </c>
      <c r="L206" s="13">
        <f t="shared" si="0"/>
        <v>469687.02</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c r="L207" s="13">
        <f t="shared" si="0"/>
        <v>0</v>
      </c>
      <c r="M207" s="8"/>
      <c r="N207" s="164"/>
    </row>
    <row r="208" spans="1:14" s="3" customFormat="1" ht="12.2" customHeight="1" x14ac:dyDescent="0.15">
      <c r="A208" s="1" t="s">
        <v>447</v>
      </c>
      <c r="B208" s="2" t="s">
        <v>341</v>
      </c>
      <c r="C208" s="2" t="s">
        <v>299</v>
      </c>
      <c r="D208" s="2" t="s">
        <v>431</v>
      </c>
      <c r="E208" s="6">
        <v>2600</v>
      </c>
      <c r="F208" s="18">
        <f>177301.36+106247.23</f>
        <v>283548.58999999997</v>
      </c>
      <c r="G208" s="18">
        <f>42532.29+75811</f>
        <v>118343.29000000001</v>
      </c>
      <c r="H208" s="18">
        <v>349153.4</v>
      </c>
      <c r="I208" s="18">
        <v>265297.88799999998</v>
      </c>
      <c r="J208" s="18">
        <v>5350.86</v>
      </c>
      <c r="K208" s="18"/>
      <c r="L208" s="13">
        <f t="shared" si="0"/>
        <v>1021694.028</v>
      </c>
      <c r="M208" s="8"/>
      <c r="N208" s="164"/>
    </row>
    <row r="209" spans="1:14" s="3" customFormat="1" ht="12.2" customHeight="1" x14ac:dyDescent="0.15">
      <c r="A209" s="1" t="s">
        <v>448</v>
      </c>
      <c r="B209" s="2" t="s">
        <v>341</v>
      </c>
      <c r="C209" s="2" t="s">
        <v>300</v>
      </c>
      <c r="D209" s="2" t="s">
        <v>431</v>
      </c>
      <c r="E209" s="6">
        <v>2700</v>
      </c>
      <c r="F209" s="18">
        <v>0</v>
      </c>
      <c r="G209" s="18">
        <v>0</v>
      </c>
      <c r="H209" s="18">
        <v>407311.08</v>
      </c>
      <c r="I209" s="18">
        <v>0</v>
      </c>
      <c r="J209" s="18">
        <v>0</v>
      </c>
      <c r="K209" s="18"/>
      <c r="L209" s="13">
        <f t="shared" si="0"/>
        <v>407311.08</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4687688.0599999996</v>
      </c>
      <c r="G212" s="38">
        <f t="shared" si="1"/>
        <v>2575226.0300000003</v>
      </c>
      <c r="H212" s="38">
        <f t="shared" si="1"/>
        <v>1879650.6500000004</v>
      </c>
      <c r="I212" s="38">
        <f t="shared" si="1"/>
        <v>471847.85800000001</v>
      </c>
      <c r="J212" s="38">
        <f t="shared" si="1"/>
        <v>79124.849999999991</v>
      </c>
      <c r="K212" s="38">
        <f t="shared" si="1"/>
        <v>14844.710000000001</v>
      </c>
      <c r="L212" s="38">
        <f t="shared" si="1"/>
        <v>9708382.1580000017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1182010.66+26473.2</f>
        <v>1208483.8599999999</v>
      </c>
      <c r="G216" s="18">
        <f>181272.58+547952.55+102516.21</f>
        <v>831741.34</v>
      </c>
      <c r="H216" s="18">
        <f>1186.64+55.13+2371.8+195.5</f>
        <v>3809.0700000000006</v>
      </c>
      <c r="I216" s="18">
        <f>27626.97+312.05+60.73</f>
        <v>27999.75</v>
      </c>
      <c r="J216" s="18">
        <v>15179.44</v>
      </c>
      <c r="K216" s="18"/>
      <c r="L216" s="13">
        <f>SUM(F216:K216)</f>
        <v>2087213.4599999997</v>
      </c>
      <c r="M216" s="8"/>
      <c r="N216" s="164"/>
    </row>
    <row r="217" spans="1:14" s="3" customFormat="1" ht="12.2" customHeight="1" x14ac:dyDescent="0.15">
      <c r="A217" s="1" t="s">
        <v>439</v>
      </c>
      <c r="B217" s="2" t="s">
        <v>346</v>
      </c>
      <c r="C217" s="2" t="s">
        <v>291</v>
      </c>
      <c r="D217" s="2" t="s">
        <v>431</v>
      </c>
      <c r="E217" s="6">
        <v>1200</v>
      </c>
      <c r="F217" s="18">
        <v>230495.69</v>
      </c>
      <c r="G217" s="18">
        <f>34574.35+34639.97+106014.32</f>
        <v>175228.64</v>
      </c>
      <c r="H217" s="18">
        <v>332288.51</v>
      </c>
      <c r="I217" s="18">
        <v>1680.52</v>
      </c>
      <c r="J217" s="18">
        <f>2872.94+3.68</f>
        <v>2876.62</v>
      </c>
      <c r="K217" s="18"/>
      <c r="L217" s="13">
        <f>SUM(F217:K217)</f>
        <v>742569.9800000001</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c r="L218" s="13">
        <f>SUM(F218:K218)</f>
        <v>0</v>
      </c>
      <c r="M218" s="8"/>
      <c r="N218" s="164"/>
    </row>
    <row r="219" spans="1:14" s="3" customFormat="1" ht="12.2" customHeight="1" x14ac:dyDescent="0.15">
      <c r="A219" s="1" t="s">
        <v>441</v>
      </c>
      <c r="B219" s="2" t="s">
        <v>346</v>
      </c>
      <c r="C219" s="2" t="s">
        <v>293</v>
      </c>
      <c r="D219" s="2" t="s">
        <v>431</v>
      </c>
      <c r="E219" s="6">
        <v>1400</v>
      </c>
      <c r="F219" s="18">
        <v>63675.13</v>
      </c>
      <c r="G219" s="18">
        <v>9551.27</v>
      </c>
      <c r="H219" s="18">
        <f>6240.5+814.91</f>
        <v>7055.41</v>
      </c>
      <c r="I219" s="18">
        <v>1368.74</v>
      </c>
      <c r="J219" s="18">
        <v>6105.9</v>
      </c>
      <c r="K219" s="18">
        <v>65</v>
      </c>
      <c r="L219" s="13">
        <f>SUM(F219:K219)</f>
        <v>87821.45</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111547.82+82281.36</f>
        <v>193829.18</v>
      </c>
      <c r="G221" s="18">
        <v>29074.38</v>
      </c>
      <c r="H221" s="18">
        <v>81557.11</v>
      </c>
      <c r="I221" s="18">
        <f>1579.71+815.79</f>
        <v>2395.5</v>
      </c>
      <c r="J221" s="18">
        <f>260.15+59.4</f>
        <v>319.54999999999995</v>
      </c>
      <c r="K221" s="18"/>
      <c r="L221" s="13">
        <f t="shared" ref="L221:L227" si="2">SUM(F221:K221)</f>
        <v>307175.71999999997</v>
      </c>
      <c r="M221" s="8"/>
      <c r="N221" s="164"/>
    </row>
    <row r="222" spans="1:14" s="3" customFormat="1" ht="12.2" customHeight="1" x14ac:dyDescent="0.15">
      <c r="A222" s="1" t="s">
        <v>443</v>
      </c>
      <c r="B222" s="2" t="s">
        <v>346</v>
      </c>
      <c r="C222" s="2" t="s">
        <v>295</v>
      </c>
      <c r="D222" s="2" t="s">
        <v>431</v>
      </c>
      <c r="E222" s="6">
        <v>2200</v>
      </c>
      <c r="F222" s="18">
        <f>51053.96+59678.05</f>
        <v>110732.01000000001</v>
      </c>
      <c r="G222" s="18">
        <v>16609.8</v>
      </c>
      <c r="H222" s="18">
        <f>1750+26592.57</f>
        <v>28342.57</v>
      </c>
      <c r="I222" s="18">
        <f>9972.81+35560.79</f>
        <v>45533.599999999999</v>
      </c>
      <c r="J222" s="18">
        <f>2169+26787.43</f>
        <v>28956.43</v>
      </c>
      <c r="K222" s="18">
        <v>81.400000000000006</v>
      </c>
      <c r="L222" s="13">
        <f t="shared" si="2"/>
        <v>230255.81</v>
      </c>
      <c r="M222" s="8"/>
      <c r="N222" s="164"/>
    </row>
    <row r="223" spans="1:14" s="3" customFormat="1" ht="12.2" customHeight="1" x14ac:dyDescent="0.15">
      <c r="A223" s="1" t="s">
        <v>444</v>
      </c>
      <c r="B223" s="2" t="s">
        <v>346</v>
      </c>
      <c r="C223" s="2" t="s">
        <v>296</v>
      </c>
      <c r="D223" s="2" t="s">
        <v>431</v>
      </c>
      <c r="E223" s="6">
        <v>2300</v>
      </c>
      <c r="F223" s="18">
        <v>128318.8</v>
      </c>
      <c r="G223" s="18">
        <v>19247.82</v>
      </c>
      <c r="H223" s="18">
        <v>13630.13</v>
      </c>
      <c r="I223" s="18">
        <v>1776.67</v>
      </c>
      <c r="J223" s="18">
        <v>0</v>
      </c>
      <c r="K223" s="18">
        <v>5334.79</v>
      </c>
      <c r="L223" s="13">
        <f t="shared" si="2"/>
        <v>168308.21000000002</v>
      </c>
      <c r="M223" s="8"/>
      <c r="N223" s="164"/>
    </row>
    <row r="224" spans="1:14" s="3" customFormat="1" ht="12.2" customHeight="1" x14ac:dyDescent="0.15">
      <c r="A224" s="1" t="s">
        <v>445</v>
      </c>
      <c r="B224" s="2" t="s">
        <v>346</v>
      </c>
      <c r="C224" s="2" t="s">
        <v>297</v>
      </c>
      <c r="D224" s="2" t="s">
        <v>431</v>
      </c>
      <c r="E224" s="6">
        <v>2400</v>
      </c>
      <c r="F224" s="18">
        <v>234159.38</v>
      </c>
      <c r="G224" s="18">
        <v>35123.910000000003</v>
      </c>
      <c r="H224" s="18">
        <f>12465.69+1600</f>
        <v>14065.69</v>
      </c>
      <c r="I224" s="18">
        <v>401.45</v>
      </c>
      <c r="J224" s="18">
        <v>0</v>
      </c>
      <c r="K224" s="18">
        <f>1278+1759.15</f>
        <v>3037.15</v>
      </c>
      <c r="L224" s="13">
        <f t="shared" si="2"/>
        <v>286787.58000000007</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c r="L225" s="13">
        <f t="shared" si="2"/>
        <v>0</v>
      </c>
      <c r="M225" s="8"/>
      <c r="N225" s="164"/>
    </row>
    <row r="226" spans="1:14" s="3" customFormat="1" ht="12.2" customHeight="1" x14ac:dyDescent="0.15">
      <c r="A226" s="1" t="s">
        <v>447</v>
      </c>
      <c r="B226" s="2" t="s">
        <v>346</v>
      </c>
      <c r="C226" s="2" t="s">
        <v>299</v>
      </c>
      <c r="D226" s="2" t="s">
        <v>431</v>
      </c>
      <c r="E226" s="6">
        <v>2600</v>
      </c>
      <c r="F226" s="18">
        <f>104447.81+45832.14</f>
        <v>150279.95000000001</v>
      </c>
      <c r="G226" s="18">
        <v>22541.99</v>
      </c>
      <c r="H226" s="18">
        <v>151263.01999999999</v>
      </c>
      <c r="I226" s="18">
        <v>114934.46</v>
      </c>
      <c r="J226" s="18">
        <v>2308.21</v>
      </c>
      <c r="K226" s="18"/>
      <c r="L226" s="13">
        <f t="shared" si="2"/>
        <v>441327.63</v>
      </c>
      <c r="M226" s="8"/>
      <c r="N226" s="164"/>
    </row>
    <row r="227" spans="1:14" s="3" customFormat="1" ht="12.2" customHeight="1" x14ac:dyDescent="0.15">
      <c r="A227" s="1" t="s">
        <v>448</v>
      </c>
      <c r="B227" s="2" t="s">
        <v>346</v>
      </c>
      <c r="C227" s="2" t="s">
        <v>300</v>
      </c>
      <c r="D227" s="2" t="s">
        <v>431</v>
      </c>
      <c r="E227" s="6">
        <v>2700</v>
      </c>
      <c r="F227" s="18">
        <v>0</v>
      </c>
      <c r="G227" s="18">
        <v>0</v>
      </c>
      <c r="H227" s="18">
        <f>2890.9+1411.9+175702.82</f>
        <v>180005.62</v>
      </c>
      <c r="I227" s="18">
        <v>0</v>
      </c>
      <c r="J227" s="18">
        <v>0</v>
      </c>
      <c r="K227" s="18"/>
      <c r="L227" s="13">
        <f t="shared" si="2"/>
        <v>180005.62</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2319974</v>
      </c>
      <c r="G230" s="38">
        <f>SUM(G216:G229)</f>
        <v>1139119.1499999999</v>
      </c>
      <c r="H230" s="38">
        <f>SUM(H216:H229)</f>
        <v>812017.13</v>
      </c>
      <c r="I230" s="38">
        <f>SUM(I216:I229)</f>
        <v>196090.69</v>
      </c>
      <c r="J230" s="38">
        <f>SUM(J216:J229)</f>
        <v>55746.15</v>
      </c>
      <c r="K230" s="38">
        <f t="shared" si="3"/>
        <v>8518.34</v>
      </c>
      <c r="L230" s="38">
        <f t="shared" si="3"/>
        <v>4531465.4600000009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1268973.42+32489.84</f>
        <v>1301463.26</v>
      </c>
      <c r="G234" s="18">
        <f>347996.1+412939.36+128320.57</f>
        <v>889256.03</v>
      </c>
      <c r="H234" s="18">
        <f>1600+748.74+1000+28936.22+495.14+3700</f>
        <v>36480.1</v>
      </c>
      <c r="I234" s="18">
        <f>40657.86+382.98</f>
        <v>41040.840000000004</v>
      </c>
      <c r="J234" s="18">
        <v>6269.45</v>
      </c>
      <c r="K234" s="18">
        <f>1062.7+50+14</f>
        <v>1126.7</v>
      </c>
      <c r="L234" s="13">
        <f>SUM(F234:K234)</f>
        <v>2275636.3800000004</v>
      </c>
      <c r="M234" s="8"/>
      <c r="N234" s="164"/>
    </row>
    <row r="235" spans="1:14" s="3" customFormat="1" ht="12.2" customHeight="1" x14ac:dyDescent="0.15">
      <c r="A235" s="1" t="s">
        <v>439</v>
      </c>
      <c r="B235" s="2" t="s">
        <v>350</v>
      </c>
      <c r="C235" s="2" t="s">
        <v>291</v>
      </c>
      <c r="D235" s="2" t="s">
        <v>431</v>
      </c>
      <c r="E235" s="6">
        <v>1200</v>
      </c>
      <c r="F235" s="18">
        <v>258786.75</v>
      </c>
      <c r="G235" s="18">
        <v>195219.49</v>
      </c>
      <c r="H235" s="18">
        <v>407808.62</v>
      </c>
      <c r="I235" s="18">
        <f>2160.95+74.51</f>
        <v>2235.46</v>
      </c>
      <c r="J235" s="18">
        <v>4.51</v>
      </c>
      <c r="K235" s="18"/>
      <c r="L235" s="13">
        <f>SUM(F235:K235)</f>
        <v>864054.83</v>
      </c>
      <c r="M235" s="8"/>
      <c r="N235" s="164"/>
    </row>
    <row r="236" spans="1:14" s="3" customFormat="1" ht="12.2" customHeight="1" x14ac:dyDescent="0.15">
      <c r="A236" s="1" t="s">
        <v>440</v>
      </c>
      <c r="B236" s="2" t="s">
        <v>350</v>
      </c>
      <c r="C236" s="2" t="s">
        <v>292</v>
      </c>
      <c r="D236" s="2" t="s">
        <v>431</v>
      </c>
      <c r="E236" s="6">
        <v>1300</v>
      </c>
      <c r="F236" s="18">
        <v>0</v>
      </c>
      <c r="G236" s="18">
        <v>0</v>
      </c>
      <c r="H236" s="18">
        <v>255349.73</v>
      </c>
      <c r="I236" s="18">
        <v>0</v>
      </c>
      <c r="J236" s="18">
        <v>0</v>
      </c>
      <c r="K236" s="18"/>
      <c r="L236" s="13">
        <f>SUM(F236:K236)</f>
        <v>255349.73</v>
      </c>
      <c r="M236" s="8"/>
      <c r="N236" s="164"/>
    </row>
    <row r="237" spans="1:14" s="3" customFormat="1" ht="12.2" customHeight="1" x14ac:dyDescent="0.15">
      <c r="A237" s="1" t="s">
        <v>441</v>
      </c>
      <c r="B237" s="2" t="s">
        <v>350</v>
      </c>
      <c r="C237" s="2" t="s">
        <v>293</v>
      </c>
      <c r="D237" s="2" t="s">
        <v>431</v>
      </c>
      <c r="E237" s="6">
        <v>1400</v>
      </c>
      <c r="F237" s="18">
        <v>162771.72</v>
      </c>
      <c r="G237" s="18">
        <v>38818.01</v>
      </c>
      <c r="H237" s="18">
        <f>22142.54+7109.04+4724.53+600+1618.29</f>
        <v>36194.400000000001</v>
      </c>
      <c r="I237" s="18">
        <v>22464.080000000002</v>
      </c>
      <c r="J237" s="18">
        <v>11677.38</v>
      </c>
      <c r="K237" s="18">
        <v>8884.25</v>
      </c>
      <c r="L237" s="13">
        <f>SUM(F237:K237)</f>
        <v>280809.84000000003</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195001.07+100981.67</f>
        <v>295982.74</v>
      </c>
      <c r="G239" s="18">
        <f>44397.41+132699.19</f>
        <v>177096.6</v>
      </c>
      <c r="H239" s="18">
        <f>1750+240+100092.82</f>
        <v>102082.82</v>
      </c>
      <c r="I239" s="18">
        <f>3295.02+1001.2</f>
        <v>4296.22</v>
      </c>
      <c r="J239" s="18">
        <f>239.17+72.9</f>
        <v>312.07</v>
      </c>
      <c r="K239" s="18">
        <v>45</v>
      </c>
      <c r="L239" s="13">
        <f t="shared" ref="L239:L245" si="4">SUM(F239:K239)</f>
        <v>579815.44999999984</v>
      </c>
      <c r="M239" s="8"/>
      <c r="N239" s="164"/>
    </row>
    <row r="240" spans="1:14" s="3" customFormat="1" ht="12.2" customHeight="1" x14ac:dyDescent="0.15">
      <c r="A240" s="1" t="s">
        <v>443</v>
      </c>
      <c r="B240" s="2" t="s">
        <v>350</v>
      </c>
      <c r="C240" s="2" t="s">
        <v>295</v>
      </c>
      <c r="D240" s="2" t="s">
        <v>431</v>
      </c>
      <c r="E240" s="6">
        <v>2200</v>
      </c>
      <c r="F240" s="18">
        <f>37941.48+73241.24</f>
        <v>111182.72</v>
      </c>
      <c r="G240" s="18">
        <v>16677.41</v>
      </c>
      <c r="H240" s="18">
        <f>314.9+32636.34</f>
        <v>32951.24</v>
      </c>
      <c r="I240" s="18">
        <f>10364.52+43642.79</f>
        <v>54007.31</v>
      </c>
      <c r="J240" s="18">
        <f>-1633.38+32875.48</f>
        <v>31242.100000000002</v>
      </c>
      <c r="K240" s="18">
        <v>99.9</v>
      </c>
      <c r="L240" s="13">
        <f t="shared" si="4"/>
        <v>246160.68</v>
      </c>
      <c r="M240" s="8"/>
      <c r="N240" s="164"/>
    </row>
    <row r="241" spans="1:14" s="3" customFormat="1" ht="12.2" customHeight="1" x14ac:dyDescent="0.15">
      <c r="A241" s="1" t="s">
        <v>444</v>
      </c>
      <c r="B241" s="2" t="s">
        <v>350</v>
      </c>
      <c r="C241" s="2" t="s">
        <v>296</v>
      </c>
      <c r="D241" s="2" t="s">
        <v>431</v>
      </c>
      <c r="E241" s="6">
        <v>2300</v>
      </c>
      <c r="F241" s="18">
        <v>157482.16</v>
      </c>
      <c r="G241" s="18">
        <v>23622.23</v>
      </c>
      <c r="H241" s="18">
        <v>16727.89</v>
      </c>
      <c r="I241" s="18">
        <v>2180.46</v>
      </c>
      <c r="J241" s="18">
        <v>0</v>
      </c>
      <c r="K241" s="18">
        <v>6547.23</v>
      </c>
      <c r="L241" s="13">
        <f t="shared" si="4"/>
        <v>206559.97000000003</v>
      </c>
      <c r="M241" s="8"/>
      <c r="N241" s="164"/>
    </row>
    <row r="242" spans="1:14" s="3" customFormat="1" ht="12.2" customHeight="1" x14ac:dyDescent="0.15">
      <c r="A242" s="1" t="s">
        <v>445</v>
      </c>
      <c r="B242" s="2" t="s">
        <v>350</v>
      </c>
      <c r="C242" s="2" t="s">
        <v>297</v>
      </c>
      <c r="D242" s="2" t="s">
        <v>431</v>
      </c>
      <c r="E242" s="6">
        <v>2400</v>
      </c>
      <c r="F242" s="18">
        <v>215565.67</v>
      </c>
      <c r="G242" s="18">
        <v>32334.85</v>
      </c>
      <c r="H242" s="18">
        <f>14156.06+1600+5018.91+588.17</f>
        <v>21363.14</v>
      </c>
      <c r="I242" s="18">
        <v>3595.36</v>
      </c>
      <c r="J242" s="18">
        <v>0</v>
      </c>
      <c r="K242" s="18">
        <f>2629+3975+23987</f>
        <v>30591</v>
      </c>
      <c r="L242" s="13">
        <f t="shared" si="4"/>
        <v>303450.02</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c r="L243" s="13">
        <f t="shared" si="4"/>
        <v>0</v>
      </c>
      <c r="M243" s="8"/>
      <c r="N243" s="164"/>
    </row>
    <row r="244" spans="1:14" s="3" customFormat="1" ht="12.2" customHeight="1" x14ac:dyDescent="0.15">
      <c r="A244" s="1" t="s">
        <v>447</v>
      </c>
      <c r="B244" s="2" t="s">
        <v>350</v>
      </c>
      <c r="C244" s="2" t="s">
        <v>299</v>
      </c>
      <c r="D244" s="2" t="s">
        <v>431</v>
      </c>
      <c r="E244" s="6">
        <v>2600</v>
      </c>
      <c r="F244" s="18">
        <f>104447.81+56248.54+27210.95</f>
        <v>187907.30000000002</v>
      </c>
      <c r="G244" s="18">
        <f>24104.25+55049.43</f>
        <v>79153.679999999993</v>
      </c>
      <c r="H244" s="18">
        <f>189337.43-90.5</f>
        <v>189246.93</v>
      </c>
      <c r="I244" s="18">
        <v>143864.60999999999</v>
      </c>
      <c r="J244" s="18">
        <v>2832.81</v>
      </c>
      <c r="K244" s="18"/>
      <c r="L244" s="13">
        <f t="shared" si="4"/>
        <v>603005.33000000007</v>
      </c>
      <c r="M244" s="8"/>
      <c r="N244" s="164"/>
    </row>
    <row r="245" spans="1:14" s="3" customFormat="1" ht="12.2" customHeight="1" x14ac:dyDescent="0.15">
      <c r="A245" s="1" t="s">
        <v>448</v>
      </c>
      <c r="B245" s="2" t="s">
        <v>350</v>
      </c>
      <c r="C245" s="2" t="s">
        <v>300</v>
      </c>
      <c r="D245" s="2" t="s">
        <v>431</v>
      </c>
      <c r="E245" s="6">
        <v>2700</v>
      </c>
      <c r="F245" s="18">
        <v>0</v>
      </c>
      <c r="G245" s="18">
        <v>0</v>
      </c>
      <c r="H245" s="18">
        <f>35431.48+39217.65+2544.36+215635.27</f>
        <v>292828.76</v>
      </c>
      <c r="I245" s="18">
        <v>0</v>
      </c>
      <c r="J245" s="18">
        <v>0</v>
      </c>
      <c r="K245" s="18"/>
      <c r="L245" s="13">
        <f t="shared" si="4"/>
        <v>292828.76</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2691142.32</v>
      </c>
      <c r="G248" s="38">
        <f t="shared" si="5"/>
        <v>1452178.3</v>
      </c>
      <c r="H248" s="38">
        <f t="shared" si="5"/>
        <v>1391033.63</v>
      </c>
      <c r="I248" s="38">
        <f t="shared" si="5"/>
        <v>273684.33999999997</v>
      </c>
      <c r="J248" s="38">
        <f t="shared" si="5"/>
        <v>52338.32</v>
      </c>
      <c r="K248" s="38">
        <f t="shared" si="5"/>
        <v>47294.080000000002</v>
      </c>
      <c r="L248" s="38">
        <f t="shared" si="5"/>
        <v>5907670.9900000002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9698804.379999999</v>
      </c>
      <c r="G258" s="38">
        <f t="shared" si="8"/>
        <v>5166523.4800000004</v>
      </c>
      <c r="H258" s="38">
        <f t="shared" si="8"/>
        <v>4082701.41</v>
      </c>
      <c r="I258" s="38">
        <f t="shared" si="8"/>
        <v>941622.88799999992</v>
      </c>
      <c r="J258" s="38">
        <f t="shared" si="8"/>
        <v>187209.32</v>
      </c>
      <c r="K258" s="38">
        <f t="shared" si="8"/>
        <v>70657.13</v>
      </c>
      <c r="L258" s="38">
        <f t="shared" si="8"/>
        <v>20147518.608000003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1045691</v>
      </c>
      <c r="L261" s="13">
        <f>SUM(F261:K261)</f>
        <v>1045691</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67638</v>
      </c>
      <c r="L262" s="13">
        <f>SUM(F262:K262)</f>
        <v>67638</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400000</v>
      </c>
      <c r="L267" s="13">
        <f t="shared" si="9"/>
        <v>400000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1513329</v>
      </c>
      <c r="L271" s="38">
        <f t="shared" si="9"/>
        <v>1513329</v>
      </c>
      <c r="M271" s="8"/>
      <c r="N271" s="164"/>
    </row>
    <row r="272" spans="1:14" s="33" customFormat="1" ht="12.2" customHeight="1" thickTop="1" x14ac:dyDescent="0.2">
      <c r="A272" s="40" t="s">
        <v>464</v>
      </c>
      <c r="B272" s="37">
        <v>10</v>
      </c>
      <c r="C272" s="37">
        <v>18</v>
      </c>
      <c r="D272" s="36" t="s">
        <v>431</v>
      </c>
      <c r="E272" s="37"/>
      <c r="F272" s="39">
        <f t="shared" ref="F272:L272" si="11">F258+F271</f>
        <v>9698804.379999999</v>
      </c>
      <c r="G272" s="39">
        <f t="shared" si="11"/>
        <v>5166523.4800000004</v>
      </c>
      <c r="H272" s="39">
        <f t="shared" si="11"/>
        <v>4082701.41</v>
      </c>
      <c r="I272" s="39">
        <f t="shared" si="11"/>
        <v>941622.88799999992</v>
      </c>
      <c r="J272" s="39">
        <f t="shared" si="11"/>
        <v>187209.32</v>
      </c>
      <c r="K272" s="39">
        <f t="shared" si="11"/>
        <v>1583986.13</v>
      </c>
      <c r="L272" s="39">
        <f t="shared" si="11"/>
        <v>21660847.608000003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119552.75</v>
      </c>
      <c r="G277" s="18">
        <v>9145.7900000000009</v>
      </c>
      <c r="H277" s="18"/>
      <c r="I277" s="18">
        <v>4672.53</v>
      </c>
      <c r="J277" s="18"/>
      <c r="K277" s="18"/>
      <c r="L277" s="13">
        <f>SUM(F277:K277)</f>
        <v>133371.07</v>
      </c>
      <c r="M277" s="8"/>
      <c r="N277" s="164"/>
    </row>
    <row r="278" spans="1:14" s="3" customFormat="1" ht="12.2" customHeight="1" x14ac:dyDescent="0.15">
      <c r="A278" s="1" t="s">
        <v>439</v>
      </c>
      <c r="B278" s="2" t="s">
        <v>357</v>
      </c>
      <c r="C278" s="2" t="s">
        <v>291</v>
      </c>
      <c r="D278" s="2" t="s">
        <v>431</v>
      </c>
      <c r="E278" s="6">
        <v>1200</v>
      </c>
      <c r="F278" s="18">
        <f>122264.59+30157.07</f>
        <v>152421.66</v>
      </c>
      <c r="G278" s="18">
        <f>11660.26-824.5</f>
        <v>10835.76</v>
      </c>
      <c r="H278" s="18">
        <v>4675.59</v>
      </c>
      <c r="I278" s="18">
        <v>7445.53</v>
      </c>
      <c r="J278" s="18">
        <v>6634.26</v>
      </c>
      <c r="K278" s="18"/>
      <c r="L278" s="13">
        <f>SUM(F278:K278)</f>
        <v>182012.80000000002</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21328.74</v>
      </c>
      <c r="G280" s="18">
        <v>1632.65</v>
      </c>
      <c r="H280" s="18"/>
      <c r="I280" s="18"/>
      <c r="J280" s="18"/>
      <c r="K280" s="18">
        <v>5947.85</v>
      </c>
      <c r="L280" s="13">
        <f>SUM(F280:K280)</f>
        <v>28909.240000000005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9252.7000000000007</v>
      </c>
      <c r="G283" s="18">
        <v>707.8</v>
      </c>
      <c r="H283" s="18">
        <v>35236.86</v>
      </c>
      <c r="I283" s="18">
        <v>3375.54</v>
      </c>
      <c r="J283" s="18">
        <v>9932.15</v>
      </c>
      <c r="K283" s="18"/>
      <c r="L283" s="13">
        <f t="shared" si="12"/>
        <v>58505.05</v>
      </c>
      <c r="M283" s="8"/>
      <c r="N283" s="164"/>
    </row>
    <row r="284" spans="1:14" s="3" customFormat="1" ht="12.2" customHeight="1" x14ac:dyDescent="0.15">
      <c r="A284" s="1" t="s">
        <v>444</v>
      </c>
      <c r="B284" s="2" t="s">
        <v>357</v>
      </c>
      <c r="C284" s="2" t="s">
        <v>296</v>
      </c>
      <c r="D284" s="2" t="s">
        <v>431</v>
      </c>
      <c r="E284" s="6">
        <v>2300</v>
      </c>
      <c r="F284" s="18">
        <v>2503.41</v>
      </c>
      <c r="G284" s="18">
        <v>191.51</v>
      </c>
      <c r="H284" s="18">
        <v>7274.96</v>
      </c>
      <c r="I284" s="18"/>
      <c r="J284" s="18"/>
      <c r="K284" s="18"/>
      <c r="L284" s="13">
        <f t="shared" si="12"/>
        <v>9969.880000000001</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v>11709.42</v>
      </c>
      <c r="K287" s="18"/>
      <c r="L287" s="13">
        <f t="shared" si="12"/>
        <v>11709.42</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305059.26</v>
      </c>
      <c r="G291" s="39">
        <f t="shared" si="13"/>
        <v>22513.510000000002</v>
      </c>
      <c r="H291" s="39">
        <f t="shared" si="13"/>
        <v>47187.409999999996</v>
      </c>
      <c r="I291" s="39">
        <f t="shared" si="13"/>
        <v>15493.599999999999</v>
      </c>
      <c r="J291" s="39">
        <f t="shared" si="13"/>
        <v>28275.83</v>
      </c>
      <c r="K291" s="39">
        <f t="shared" si="13"/>
        <v>5947.85</v>
      </c>
      <c r="L291" s="38">
        <f t="shared" si="13"/>
        <v>424477.45999999996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v>13064.89</v>
      </c>
      <c r="G297" s="18">
        <v>999.46</v>
      </c>
      <c r="H297" s="18">
        <v>2025.6</v>
      </c>
      <c r="I297" s="18"/>
      <c r="J297" s="18">
        <v>2874.14</v>
      </c>
      <c r="K297" s="18"/>
      <c r="L297" s="13">
        <f>SUM(F297:K297)</f>
        <v>18964.09</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9240.2099999999991</v>
      </c>
      <c r="G299" s="18">
        <v>706.88</v>
      </c>
      <c r="H299" s="18"/>
      <c r="I299" s="18"/>
      <c r="J299" s="18"/>
      <c r="K299" s="18">
        <v>2576.7800000000002</v>
      </c>
      <c r="L299" s="13">
        <f>SUM(F299:K299)</f>
        <v>12523.869999999999</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4008.53</v>
      </c>
      <c r="G302" s="18">
        <v>306.64999999999998</v>
      </c>
      <c r="H302" s="18">
        <v>15265.59</v>
      </c>
      <c r="I302" s="18">
        <v>1462.38</v>
      </c>
      <c r="J302" s="18">
        <v>4302.8900000000003</v>
      </c>
      <c r="K302" s="18"/>
      <c r="L302" s="13">
        <f t="shared" si="14"/>
        <v>25346.04</v>
      </c>
      <c r="M302" s="8"/>
      <c r="N302" s="164"/>
    </row>
    <row r="303" spans="1:14" s="3" customFormat="1" ht="12.2" customHeight="1" x14ac:dyDescent="0.15">
      <c r="A303" s="1" t="s">
        <v>444</v>
      </c>
      <c r="B303" s="2" t="s">
        <v>358</v>
      </c>
      <c r="C303" s="2" t="s">
        <v>296</v>
      </c>
      <c r="D303" s="2" t="s">
        <v>431</v>
      </c>
      <c r="E303" s="6">
        <v>2300</v>
      </c>
      <c r="F303" s="18">
        <v>1084.55</v>
      </c>
      <c r="G303" s="18">
        <v>82.97</v>
      </c>
      <c r="H303" s="18">
        <v>3151.72</v>
      </c>
      <c r="I303" s="18"/>
      <c r="J303" s="18"/>
      <c r="K303" s="18"/>
      <c r="L303" s="13">
        <f t="shared" si="14"/>
        <v>4319.24</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v>5072.8500000000004</v>
      </c>
      <c r="K306" s="18"/>
      <c r="L306" s="13">
        <f t="shared" si="14"/>
        <v>5072.8500000000004</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27398.179999999997</v>
      </c>
      <c r="G310" s="39">
        <f t="shared" si="15"/>
        <v>2095.96</v>
      </c>
      <c r="H310" s="39">
        <f t="shared" si="15"/>
        <v>20442.91</v>
      </c>
      <c r="I310" s="39">
        <f t="shared" si="15"/>
        <v>1462.38</v>
      </c>
      <c r="J310" s="39">
        <f t="shared" si="15"/>
        <v>12249.880000000001</v>
      </c>
      <c r="K310" s="39">
        <f t="shared" si="15"/>
        <v>2576.7800000000002</v>
      </c>
      <c r="L310" s="38">
        <f t="shared" si="15"/>
        <v>66226.09</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f>36475.42+16353.45</f>
        <v>52828.869999999995</v>
      </c>
      <c r="G316" s="18">
        <v>4041.41</v>
      </c>
      <c r="H316" s="18">
        <v>2535.46</v>
      </c>
      <c r="I316" s="18"/>
      <c r="J316" s="18">
        <v>3597.6</v>
      </c>
      <c r="K316" s="18"/>
      <c r="L316" s="13">
        <f>SUM(F316:K316)</f>
        <v>63003.34</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11566.06</v>
      </c>
      <c r="G318" s="18">
        <v>884.8</v>
      </c>
      <c r="H318" s="18"/>
      <c r="I318" s="18"/>
      <c r="J318" s="18"/>
      <c r="K318" s="18">
        <v>3225.36</v>
      </c>
      <c r="L318" s="13">
        <f>SUM(F318:K318)</f>
        <v>15676.22</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5017.5200000000004</v>
      </c>
      <c r="G321" s="18">
        <v>383.84</v>
      </c>
      <c r="H321" s="18">
        <v>19108.09</v>
      </c>
      <c r="I321" s="18">
        <v>1830.48</v>
      </c>
      <c r="J321" s="18">
        <v>5385.96</v>
      </c>
      <c r="K321" s="18"/>
      <c r="L321" s="13">
        <f t="shared" si="16"/>
        <v>31725.89</v>
      </c>
      <c r="M321" s="8"/>
      <c r="N321" s="164"/>
    </row>
    <row r="322" spans="1:14" s="3" customFormat="1" ht="12.2" customHeight="1" x14ac:dyDescent="0.15">
      <c r="A322" s="1" t="s">
        <v>444</v>
      </c>
      <c r="B322" s="2" t="s">
        <v>359</v>
      </c>
      <c r="C322" s="2" t="s">
        <v>296</v>
      </c>
      <c r="D322" s="2" t="s">
        <v>431</v>
      </c>
      <c r="E322" s="6">
        <v>2300</v>
      </c>
      <c r="F322" s="18">
        <v>1357.54</v>
      </c>
      <c r="G322" s="18">
        <v>103.85</v>
      </c>
      <c r="H322" s="18">
        <v>3945.02</v>
      </c>
      <c r="I322" s="18"/>
      <c r="J322" s="18"/>
      <c r="K322" s="18"/>
      <c r="L322" s="13">
        <f t="shared" si="16"/>
        <v>5406.41</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v>6349.73</v>
      </c>
      <c r="K325" s="18"/>
      <c r="L325" s="13">
        <f t="shared" si="16"/>
        <v>6349.73</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70769.989999999991</v>
      </c>
      <c r="G329" s="39">
        <f t="shared" si="17"/>
        <v>5413.9000000000005</v>
      </c>
      <c r="H329" s="39">
        <f t="shared" si="17"/>
        <v>25588.57</v>
      </c>
      <c r="I329" s="39">
        <f t="shared" si="17"/>
        <v>1830.48</v>
      </c>
      <c r="J329" s="39">
        <f t="shared" si="17"/>
        <v>15333.289999999999</v>
      </c>
      <c r="K329" s="39">
        <f t="shared" si="17"/>
        <v>3225.36</v>
      </c>
      <c r="L329" s="38">
        <f t="shared" si="17"/>
        <v>122161.59</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403227.43</v>
      </c>
      <c r="G339" s="38">
        <f t="shared" si="20"/>
        <v>30023.370000000003</v>
      </c>
      <c r="H339" s="38">
        <f t="shared" si="20"/>
        <v>93218.889999999985</v>
      </c>
      <c r="I339" s="38">
        <f t="shared" si="20"/>
        <v>18786.46</v>
      </c>
      <c r="J339" s="38">
        <f t="shared" si="20"/>
        <v>55859.000000000007</v>
      </c>
      <c r="K339" s="38">
        <f t="shared" si="20"/>
        <v>11749.990000000002</v>
      </c>
      <c r="L339" s="38">
        <f t="shared" si="20"/>
        <v>612865.1399999999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403227.43</v>
      </c>
      <c r="G353" s="38">
        <f>G339</f>
        <v>30023.370000000003</v>
      </c>
      <c r="H353" s="38">
        <f>H339</f>
        <v>93218.889999999985</v>
      </c>
      <c r="I353" s="38">
        <f>I339</f>
        <v>18786.46</v>
      </c>
      <c r="J353" s="38">
        <f>J339</f>
        <v>55859.000000000007</v>
      </c>
      <c r="K353" s="38">
        <f>K339+K352</f>
        <v>11749.990000000002</v>
      </c>
      <c r="L353" s="38">
        <f>L339+L352</f>
        <v>612865.1399999999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86465.22+25857.75</f>
        <v>112322.97</v>
      </c>
      <c r="G359" s="18">
        <f>6761.99+2493.84</f>
        <v>9255.83</v>
      </c>
      <c r="H359" s="18">
        <v>0</v>
      </c>
      <c r="I359" s="18">
        <v>162874.95000000001</v>
      </c>
      <c r="J359" s="18">
        <v>10321.44</v>
      </c>
      <c r="K359" s="18">
        <v>4496.21</v>
      </c>
      <c r="L359" s="13">
        <f>SUM(F359:K359)</f>
        <v>299271.40000000002</v>
      </c>
      <c r="M359" s="8"/>
      <c r="N359" s="164"/>
    </row>
    <row r="360" spans="1:22" s="3" customFormat="1" ht="12.2" customHeight="1" x14ac:dyDescent="0.15">
      <c r="A360" s="1" t="s">
        <v>542</v>
      </c>
      <c r="B360" s="2" t="s">
        <v>366</v>
      </c>
      <c r="C360" s="6">
        <v>2</v>
      </c>
      <c r="D360" s="2" t="s">
        <v>431</v>
      </c>
      <c r="E360" s="6"/>
      <c r="F360" s="18">
        <f>25551.98+25857.76</f>
        <v>51409.74</v>
      </c>
      <c r="G360" s="18">
        <f>2071.39+2493.84</f>
        <v>4565.2299999999996</v>
      </c>
      <c r="H360" s="18">
        <v>0</v>
      </c>
      <c r="I360" s="18">
        <v>70561.98</v>
      </c>
      <c r="J360" s="18">
        <v>4471.54</v>
      </c>
      <c r="K360" s="18">
        <v>1947.88</v>
      </c>
      <c r="L360" s="13">
        <f>SUM(F360:K360)</f>
        <v>132956.37</v>
      </c>
      <c r="M360" s="8"/>
      <c r="N360" s="164"/>
    </row>
    <row r="361" spans="1:22" s="3" customFormat="1" ht="12.2" customHeight="1" x14ac:dyDescent="0.15">
      <c r="A361" s="3" t="s">
        <v>543</v>
      </c>
      <c r="B361" s="2" t="s">
        <v>366</v>
      </c>
      <c r="C361" s="6">
        <v>3</v>
      </c>
      <c r="D361" s="2" t="s">
        <v>431</v>
      </c>
      <c r="E361" s="6"/>
      <c r="F361" s="18">
        <f>21628.15+25757.75</f>
        <v>47385.9</v>
      </c>
      <c r="G361" s="18">
        <f>2070.55+2493.84</f>
        <v>4564.3900000000003</v>
      </c>
      <c r="H361" s="18">
        <v>0</v>
      </c>
      <c r="I361" s="18">
        <v>88323.14</v>
      </c>
      <c r="J361" s="18">
        <v>5597.07</v>
      </c>
      <c r="K361" s="18">
        <v>2438.1799999999998</v>
      </c>
      <c r="L361" s="13">
        <f>SUM(F361:K361)</f>
        <v>148308.68</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211118.61</v>
      </c>
      <c r="G363" s="38">
        <f t="shared" si="22"/>
        <v>18385.45</v>
      </c>
      <c r="H363" s="38">
        <f t="shared" si="22"/>
        <v>0</v>
      </c>
      <c r="I363" s="38">
        <f t="shared" si="22"/>
        <v>321760.07</v>
      </c>
      <c r="J363" s="38">
        <f t="shared" si="22"/>
        <v>20390.05</v>
      </c>
      <c r="K363" s="38">
        <f t="shared" si="22"/>
        <v>8882.27</v>
      </c>
      <c r="L363" s="38">
        <f t="shared" si="22"/>
        <v>580536.44999999995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141786.60999999999</v>
      </c>
      <c r="G368" s="18">
        <v>61425.93</v>
      </c>
      <c r="H368" s="18">
        <v>76887.45</v>
      </c>
      <c r="I368" s="13">
        <f>SUM(F368:H368)</f>
        <v>280099.99</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21088.33</v>
      </c>
      <c r="G369" s="53">
        <v>9136.06</v>
      </c>
      <c r="H369" s="53">
        <v>11435.69</v>
      </c>
      <c r="I369" s="13">
        <f>SUM(F369:H369)</f>
        <v>41660.080000000002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162874.94</v>
      </c>
      <c r="G370" s="38">
        <f>SUM(G368:G369)</f>
        <v>70561.990000000005</v>
      </c>
      <c r="H370" s="38">
        <f>SUM(H368:H369)</f>
        <v>88323.14</v>
      </c>
      <c r="I370" s="38">
        <f>SUM(I368:I369)</f>
        <v>321760.07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v>165002</v>
      </c>
      <c r="K376" s="18"/>
      <c r="L376" s="13">
        <f t="shared" ref="L376:L382" si="23">SUM(F376:K376)</f>
        <v>165002</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165002</v>
      </c>
      <c r="K383" s="38">
        <f t="shared" si="24"/>
        <v>0</v>
      </c>
      <c r="L383" s="38">
        <f t="shared" si="24"/>
        <v>165002</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v>350000</v>
      </c>
      <c r="H389" s="18">
        <v>7549.86</v>
      </c>
      <c r="I389" s="18"/>
      <c r="J389" s="23" t="s">
        <v>288</v>
      </c>
      <c r="K389" s="23" t="s">
        <v>288</v>
      </c>
      <c r="L389" s="13">
        <f t="shared" si="25"/>
        <v>357549.86</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350000</v>
      </c>
      <c r="H394" s="97">
        <f>SUM(H388:H393)</f>
        <v>7549.86</v>
      </c>
      <c r="I394" s="54">
        <f>SUM(I388:I393)</f>
        <v>0</v>
      </c>
      <c r="J394" s="42" t="s">
        <v>288</v>
      </c>
      <c r="K394" s="42" t="s">
        <v>288</v>
      </c>
      <c r="L394" s="38">
        <f>SUM(L388:L393)</f>
        <v>357549.86</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50000</v>
      </c>
      <c r="H398" s="18">
        <v>2612.52</v>
      </c>
      <c r="I398" s="18"/>
      <c r="J398" s="23" t="s">
        <v>288</v>
      </c>
      <c r="K398" s="23" t="s">
        <v>288</v>
      </c>
      <c r="L398" s="13">
        <f t="shared" si="26"/>
        <v>52612.52</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50000</v>
      </c>
      <c r="H402" s="38">
        <f>SUM(H396:H401)</f>
        <v>2612.52</v>
      </c>
      <c r="I402" s="38">
        <f>SUM(I396:I401)</f>
        <v>0</v>
      </c>
      <c r="J402" s="42" t="s">
        <v>288</v>
      </c>
      <c r="K402" s="42" t="s">
        <v>288</v>
      </c>
      <c r="L402" s="38">
        <f>SUM(L396:L401)</f>
        <v>52612.52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400000</v>
      </c>
      <c r="H409" s="38">
        <f>H394+H402+H408</f>
        <v>10162.379999999999</v>
      </c>
      <c r="I409" s="38">
        <f>I394+I402+I408</f>
        <v>0</v>
      </c>
      <c r="J409" s="23" t="s">
        <v>288</v>
      </c>
      <c r="K409" s="23" t="s">
        <v>288</v>
      </c>
      <c r="L409" s="38">
        <f>L394+L402+L408</f>
        <v>410162.38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v>310996.44</v>
      </c>
      <c r="L423" s="13">
        <f t="shared" si="29"/>
        <v>310996.44</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310996.44</v>
      </c>
      <c r="L428" s="38">
        <f t="shared" si="30"/>
        <v>310996.44</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310996.44</v>
      </c>
      <c r="L435" s="38">
        <f t="shared" si="32"/>
        <v>310996.44</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f>400000+7549.86+2612.52</f>
        <v>410162.38</v>
      </c>
      <c r="G441" s="18"/>
      <c r="H441" s="18"/>
      <c r="I441" s="13">
        <f t="shared" si="33"/>
        <v>410162.38</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410162.38</v>
      </c>
      <c r="G447" s="13">
        <f>SUM(G440:G446)</f>
        <v>0</v>
      </c>
      <c r="H447" s="13">
        <f>SUM(H440:H446)</f>
        <v>0</v>
      </c>
      <c r="I447" s="13">
        <f>SUM(I440:I446)</f>
        <v>410162.38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410162.38</v>
      </c>
      <c r="G460" s="18"/>
      <c r="H460" s="18"/>
      <c r="I460" s="13">
        <f t="shared" si="34"/>
        <v>410162.38</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410162.38</v>
      </c>
      <c r="G461" s="65">
        <f>SUM(G455:G460)</f>
        <v>0</v>
      </c>
      <c r="H461" s="65">
        <f>SUM(H455:H460)</f>
        <v>0</v>
      </c>
      <c r="I461" s="65">
        <f>SUM(I455:I460)</f>
        <v>410162.38</v>
      </c>
      <c r="J461" s="23" t="s">
        <v>288</v>
      </c>
      <c r="K461" s="23" t="s">
        <v>288</v>
      </c>
      <c r="L461" s="23" t="s">
        <v>288</v>
      </c>
      <c r="N461" s="130"/>
    </row>
    <row r="462" spans="1:86" ht="12.2" customHeight="1" thickTop="1" x14ac:dyDescent="0.2">
      <c r="A462" s="40" t="s">
        <v>424</v>
      </c>
      <c r="B462" s="41">
        <v>18</v>
      </c>
      <c r="C462" s="64">
        <v>21</v>
      </c>
      <c r="D462" s="114" t="s">
        <v>432</v>
      </c>
      <c r="E462" s="64"/>
      <c r="F462" s="39">
        <f>F453+F461</f>
        <v>410162.38</v>
      </c>
      <c r="G462" s="39">
        <f>G453+G461</f>
        <v>0</v>
      </c>
      <c r="H462" s="39">
        <f>H453+H461</f>
        <v>0</v>
      </c>
      <c r="I462" s="39">
        <f>I453+I461</f>
        <v>410162.38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1253272.47</v>
      </c>
      <c r="G466" s="18">
        <v>136612.35999999999</v>
      </c>
      <c r="H466" s="18">
        <v>0</v>
      </c>
      <c r="I466" s="18">
        <v>165002</v>
      </c>
      <c r="J466" s="18">
        <v>310996.44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21936855.890000001</v>
      </c>
      <c r="G469" s="18">
        <v>561204.34</v>
      </c>
      <c r="H469" s="18">
        <v>612865.14</v>
      </c>
      <c r="I469" s="18">
        <v>0</v>
      </c>
      <c r="J469" s="18">
        <v>410162.38</v>
      </c>
      <c r="K469" s="23" t="s">
        <v>288</v>
      </c>
      <c r="L469" s="23" t="s">
        <v>288</v>
      </c>
      <c r="N469" s="130"/>
    </row>
    <row r="470" spans="1:14" ht="12.2" customHeight="1" x14ac:dyDescent="0.2">
      <c r="A470" s="71" t="s">
        <v>611</v>
      </c>
      <c r="B470" s="22">
        <v>19</v>
      </c>
      <c r="C470" s="31">
        <v>3</v>
      </c>
      <c r="D470" s="2" t="s">
        <v>432</v>
      </c>
      <c r="E470" s="31"/>
      <c r="F470" s="18">
        <v>16388</v>
      </c>
      <c r="G470" s="18">
        <v>0</v>
      </c>
      <c r="H470" s="18"/>
      <c r="I470" s="18"/>
      <c r="J470" s="18"/>
      <c r="K470" s="23" t="s">
        <v>288</v>
      </c>
      <c r="L470" s="23" t="s">
        <v>288</v>
      </c>
      <c r="N470" s="130"/>
    </row>
    <row r="471" spans="1:14" ht="12.2" customHeight="1" x14ac:dyDescent="0.2">
      <c r="A471" s="32" t="s">
        <v>425</v>
      </c>
      <c r="B471" s="22">
        <v>19</v>
      </c>
      <c r="C471" s="31">
        <v>4</v>
      </c>
      <c r="D471" s="2" t="s">
        <v>432</v>
      </c>
      <c r="E471" s="31"/>
      <c r="F471" s="19">
        <f>SUM(F469:F470)</f>
        <v>21953243.890000001</v>
      </c>
      <c r="G471" s="19">
        <f>SUM(G469:G470)</f>
        <v>561204.34</v>
      </c>
      <c r="H471" s="19">
        <f>SUM(H469:H470)</f>
        <v>612865.14</v>
      </c>
      <c r="I471" s="19">
        <f>SUM(I469:I470)</f>
        <v>0</v>
      </c>
      <c r="J471" s="19">
        <f>SUM(J469:J470)</f>
        <v>410162.38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21660847.609999999</v>
      </c>
      <c r="G473" s="18">
        <v>580536.44999999995</v>
      </c>
      <c r="H473" s="18">
        <v>612865.14</v>
      </c>
      <c r="I473" s="18">
        <v>165002</v>
      </c>
      <c r="J473" s="18">
        <v>310996.44</v>
      </c>
      <c r="K473" s="23" t="s">
        <v>288</v>
      </c>
      <c r="L473" s="23" t="s">
        <v>288</v>
      </c>
      <c r="N473" s="130"/>
    </row>
    <row r="474" spans="1:14" ht="12.2" customHeight="1" x14ac:dyDescent="0.2">
      <c r="A474" s="71" t="s">
        <v>613</v>
      </c>
      <c r="B474" s="22">
        <v>19</v>
      </c>
      <c r="C474" s="31">
        <v>6</v>
      </c>
      <c r="D474" s="2" t="s">
        <v>432</v>
      </c>
      <c r="E474" s="31"/>
      <c r="F474" s="18">
        <v>0</v>
      </c>
      <c r="G474" s="18">
        <v>0</v>
      </c>
      <c r="H474" s="18"/>
      <c r="I474" s="18"/>
      <c r="J474" s="18"/>
      <c r="K474" s="23" t="s">
        <v>288</v>
      </c>
      <c r="L474" s="23" t="s">
        <v>288</v>
      </c>
      <c r="N474" s="130"/>
    </row>
    <row r="475" spans="1:14" ht="12.2" customHeight="1" x14ac:dyDescent="0.2">
      <c r="A475" s="32" t="s">
        <v>426</v>
      </c>
      <c r="B475" s="22">
        <v>19</v>
      </c>
      <c r="C475" s="31">
        <v>7</v>
      </c>
      <c r="D475" s="2" t="s">
        <v>432</v>
      </c>
      <c r="E475" s="31"/>
      <c r="F475" s="19">
        <f>SUM(F473:F474)</f>
        <v>21660847.609999999</v>
      </c>
      <c r="G475" s="19">
        <f>SUM(G473:G474)</f>
        <v>580536.44999999995</v>
      </c>
      <c r="H475" s="19">
        <f>SUM(H473:H474)</f>
        <v>612865.14</v>
      </c>
      <c r="I475" s="19">
        <f>SUM(I473:I474)</f>
        <v>165002</v>
      </c>
      <c r="J475" s="19">
        <f>SUM(J473:J474)</f>
        <v>310996.44</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1545668.75</v>
      </c>
      <c r="G477" s="19">
        <f>(G466+G471)- G475</f>
        <v>117280.25</v>
      </c>
      <c r="H477" s="19">
        <f>(H466+H471)- H475</f>
        <v>0</v>
      </c>
      <c r="I477" s="19">
        <f>(I466+I471)- I475</f>
        <v>0</v>
      </c>
      <c r="J477" s="19">
        <f>(J466+J471)- J475</f>
        <v>410162.38000000006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1055725.15+91069.51</f>
        <v>1146794.6599999999</v>
      </c>
      <c r="G522" s="18">
        <f>140019.08+375981</f>
        <v>516000.07999999996</v>
      </c>
      <c r="H522" s="18">
        <f>46124+349366.5</f>
        <v>395490.5</v>
      </c>
      <c r="I522" s="18">
        <f>14992.82+2737.71</f>
        <v>17730.53</v>
      </c>
      <c r="J522" s="18">
        <f>2219.68+6642.72</f>
        <v>8862.4</v>
      </c>
      <c r="K522" s="18"/>
      <c r="L522" s="69">
        <f>SUM(F522:K522)</f>
        <v>2084878.1699999997</v>
      </c>
      <c r="N522" s="130"/>
    </row>
    <row r="523" spans="1:14" ht="12.2" customHeight="1" x14ac:dyDescent="0.2">
      <c r="A523" s="21" t="s">
        <v>634</v>
      </c>
      <c r="B523" s="22">
        <v>21</v>
      </c>
      <c r="C523" s="22">
        <v>2</v>
      </c>
      <c r="D523" s="2" t="s">
        <v>432</v>
      </c>
      <c r="E523" s="22"/>
      <c r="F523" s="18">
        <f>230495.69+39453.86</f>
        <v>269949.55</v>
      </c>
      <c r="G523" s="18">
        <f>34574.35+34639.97+106014.32</f>
        <v>175228.64</v>
      </c>
      <c r="H523" s="18">
        <v>151355.34</v>
      </c>
      <c r="I523" s="18">
        <f>1680.52+1186.05</f>
        <v>2866.5699999999997</v>
      </c>
      <c r="J523" s="18">
        <f>2872.94+2877.81</f>
        <v>5750.75</v>
      </c>
      <c r="K523" s="18"/>
      <c r="L523" s="69">
        <f>SUM(F523:K523)</f>
        <v>605150.85</v>
      </c>
      <c r="N523" s="130"/>
    </row>
    <row r="524" spans="1:14" ht="12.2" customHeight="1" thickBot="1" x14ac:dyDescent="0.25">
      <c r="A524" s="21" t="s">
        <v>635</v>
      </c>
      <c r="B524" s="22">
        <v>21</v>
      </c>
      <c r="C524" s="22">
        <v>3</v>
      </c>
      <c r="D524" s="2" t="s">
        <v>432</v>
      </c>
      <c r="E524" s="22"/>
      <c r="F524" s="18">
        <f>295262.17+49384.78</f>
        <v>344646.94999999995</v>
      </c>
      <c r="G524" s="18">
        <v>195219.49</v>
      </c>
      <c r="H524" s="18">
        <v>189452.99</v>
      </c>
      <c r="I524" s="18">
        <f>2160.95+1484.59</f>
        <v>3645.54</v>
      </c>
      <c r="J524" s="18">
        <v>3602.18</v>
      </c>
      <c r="K524" s="18"/>
      <c r="L524" s="69">
        <f>SUM(F524:K524)</f>
        <v>736567.15</v>
      </c>
      <c r="N524" s="130"/>
    </row>
    <row r="525" spans="1:14" ht="12.2" customHeight="1" thickTop="1" x14ac:dyDescent="0.2">
      <c r="A525" s="97" t="s">
        <v>63</v>
      </c>
      <c r="B525" s="41">
        <v>21</v>
      </c>
      <c r="C525" s="41">
        <v>4</v>
      </c>
      <c r="D525" s="115" t="s">
        <v>432</v>
      </c>
      <c r="E525" s="41"/>
      <c r="F525" s="81">
        <f>SUM(F522:F524)</f>
        <v>1761391.16</v>
      </c>
      <c r="G525" s="81">
        <f t="shared" ref="G525:L525" si="36">SUM(G522:G524)</f>
        <v>886448.21</v>
      </c>
      <c r="H525" s="81">
        <f t="shared" si="36"/>
        <v>736298.83</v>
      </c>
      <c r="I525" s="81">
        <f t="shared" si="36"/>
        <v>24242.639999999999</v>
      </c>
      <c r="J525" s="81">
        <f t="shared" si="36"/>
        <v>18215.329999999998</v>
      </c>
      <c r="K525" s="81">
        <f t="shared" si="36"/>
        <v>0</v>
      </c>
      <c r="L525" s="70">
        <f t="shared" si="36"/>
        <v>3426596.1699999995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189321.94+205203.65</f>
        <v>394525.58999999997</v>
      </c>
      <c r="G527" s="18">
        <v>30181.21</v>
      </c>
      <c r="H527" s="18">
        <v>187655.5</v>
      </c>
      <c r="I527" s="18">
        <f>4910.85+1877.07</f>
        <v>6787.92</v>
      </c>
      <c r="J527" s="18">
        <v>769.32</v>
      </c>
      <c r="K527" s="18">
        <v>448</v>
      </c>
      <c r="L527" s="69">
        <f>SUM(F527:K527)</f>
        <v>620367.54</v>
      </c>
      <c r="M527" s="8"/>
      <c r="N527" s="164"/>
    </row>
    <row r="528" spans="1:14" s="3" customFormat="1" ht="12.2" customHeight="1" x14ac:dyDescent="0.15">
      <c r="A528" s="21" t="s">
        <v>634</v>
      </c>
      <c r="B528" s="22">
        <v>21</v>
      </c>
      <c r="C528" s="22">
        <v>6</v>
      </c>
      <c r="D528" s="2" t="s">
        <v>432</v>
      </c>
      <c r="E528" s="22"/>
      <c r="F528" s="18">
        <f>82019.56+111547.82</f>
        <v>193567.38</v>
      </c>
      <c r="G528" s="18">
        <v>14807.91</v>
      </c>
      <c r="H528" s="18">
        <v>81297.61</v>
      </c>
      <c r="I528" s="18">
        <f>1579.71+813.2</f>
        <v>2392.91</v>
      </c>
      <c r="J528" s="18"/>
      <c r="K528" s="18"/>
      <c r="L528" s="69">
        <f>SUM(F528:K528)</f>
        <v>292065.81</v>
      </c>
      <c r="M528" s="8"/>
      <c r="N528" s="164"/>
    </row>
    <row r="529" spans="1:14" s="3" customFormat="1" ht="12.2" customHeight="1" thickBot="1" x14ac:dyDescent="0.2">
      <c r="A529" s="21" t="s">
        <v>635</v>
      </c>
      <c r="B529" s="22">
        <v>21</v>
      </c>
      <c r="C529" s="22">
        <v>7</v>
      </c>
      <c r="D529" s="2" t="s">
        <v>432</v>
      </c>
      <c r="E529" s="22"/>
      <c r="F529" s="18">
        <f>102664.7+195001.07</f>
        <v>297665.77</v>
      </c>
      <c r="G529" s="18">
        <v>22771.43</v>
      </c>
      <c r="H529" s="18">
        <f>1750+101761.03</f>
        <v>103511.03</v>
      </c>
      <c r="I529" s="18">
        <f>3295.02+1017.89</f>
        <v>4312.91</v>
      </c>
      <c r="J529" s="18"/>
      <c r="K529" s="18"/>
      <c r="L529" s="69">
        <f>SUM(F529:K529)</f>
        <v>428261.13999999996</v>
      </c>
      <c r="M529" s="8"/>
      <c r="N529" s="164"/>
    </row>
    <row r="530" spans="1:14" s="3" customFormat="1" ht="12.2" customHeight="1" thickTop="1" x14ac:dyDescent="0.15">
      <c r="A530" s="97" t="s">
        <v>65</v>
      </c>
      <c r="B530" s="41">
        <v>21</v>
      </c>
      <c r="C530" s="41">
        <v>8</v>
      </c>
      <c r="D530" s="115" t="s">
        <v>432</v>
      </c>
      <c r="E530" s="41"/>
      <c r="F530" s="70">
        <f>SUM(F527:F529)</f>
        <v>885758.74</v>
      </c>
      <c r="G530" s="70">
        <f t="shared" ref="G530:L530" si="37">SUM(G527:G529)</f>
        <v>67760.549999999988</v>
      </c>
      <c r="H530" s="70">
        <f t="shared" si="37"/>
        <v>372464.14</v>
      </c>
      <c r="I530" s="70">
        <f t="shared" si="37"/>
        <v>13493.74</v>
      </c>
      <c r="J530" s="70">
        <f t="shared" si="37"/>
        <v>769.32</v>
      </c>
      <c r="K530" s="70">
        <f t="shared" si="37"/>
        <v>448</v>
      </c>
      <c r="L530" s="70">
        <f t="shared" si="37"/>
        <v>1340694.49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89136.320000000007</v>
      </c>
      <c r="G532" s="18">
        <v>13370.44</v>
      </c>
      <c r="H532" s="18">
        <v>4077.45</v>
      </c>
      <c r="I532" s="18">
        <v>544.37</v>
      </c>
      <c r="J532" s="18"/>
      <c r="K532" s="18"/>
      <c r="L532" s="69">
        <f>SUM(F532:K532)</f>
        <v>107128.58</v>
      </c>
      <c r="M532" s="8"/>
      <c r="N532" s="164"/>
    </row>
    <row r="533" spans="1:14" s="3" customFormat="1" ht="12.2" customHeight="1" x14ac:dyDescent="0.15">
      <c r="A533" s="21" t="s">
        <v>634</v>
      </c>
      <c r="B533" s="22">
        <v>21</v>
      </c>
      <c r="C533" s="22">
        <v>10</v>
      </c>
      <c r="D533" s="2" t="s">
        <v>432</v>
      </c>
      <c r="E533" s="22"/>
      <c r="F533" s="18">
        <v>38616.35</v>
      </c>
      <c r="G533" s="18">
        <v>5492.45</v>
      </c>
      <c r="H533" s="18">
        <v>1766.46</v>
      </c>
      <c r="I533" s="18">
        <v>235.84</v>
      </c>
      <c r="J533" s="18"/>
      <c r="K533" s="18"/>
      <c r="L533" s="69">
        <f>SUM(F533:K533)</f>
        <v>46111.099999999991</v>
      </c>
      <c r="M533" s="8"/>
      <c r="N533" s="164"/>
    </row>
    <row r="534" spans="1:14" s="3" customFormat="1" ht="12.2" customHeight="1" thickBot="1" x14ac:dyDescent="0.2">
      <c r="A534" s="21" t="s">
        <v>635</v>
      </c>
      <c r="B534" s="22">
        <v>21</v>
      </c>
      <c r="C534" s="22">
        <v>11</v>
      </c>
      <c r="D534" s="2" t="s">
        <v>432</v>
      </c>
      <c r="E534" s="22"/>
      <c r="F534" s="18">
        <v>48336.47</v>
      </c>
      <c r="G534" s="18">
        <v>7250.48</v>
      </c>
      <c r="H534" s="18">
        <v>2211.1</v>
      </c>
      <c r="I534" s="18">
        <v>295.2</v>
      </c>
      <c r="J534" s="18"/>
      <c r="K534" s="18"/>
      <c r="L534" s="69">
        <f>SUM(F534:K534)</f>
        <v>58093.249999999993</v>
      </c>
      <c r="M534" s="8"/>
      <c r="N534" s="164"/>
    </row>
    <row r="535" spans="1:14" s="3" customFormat="1" ht="12.2" customHeight="1" thickTop="1" x14ac:dyDescent="0.15">
      <c r="A535" s="97" t="s">
        <v>67</v>
      </c>
      <c r="B535" s="41">
        <v>21</v>
      </c>
      <c r="C535" s="41">
        <v>12</v>
      </c>
      <c r="D535" s="115" t="s">
        <v>432</v>
      </c>
      <c r="E535" s="41"/>
      <c r="F535" s="70">
        <f>SUM(F532:F534)</f>
        <v>176089.14</v>
      </c>
      <c r="G535" s="70">
        <f t="shared" ref="G535:L535" si="38">SUM(G532:G534)</f>
        <v>26113.37</v>
      </c>
      <c r="H535" s="70">
        <f t="shared" si="38"/>
        <v>8055.01</v>
      </c>
      <c r="I535" s="70">
        <f t="shared" si="38"/>
        <v>1075.4100000000001</v>
      </c>
      <c r="J535" s="70">
        <f t="shared" si="38"/>
        <v>0</v>
      </c>
      <c r="K535" s="70">
        <f t="shared" si="38"/>
        <v>0</v>
      </c>
      <c r="L535" s="70">
        <f t="shared" si="38"/>
        <v>211332.93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160252.29</v>
      </c>
      <c r="I542" s="18"/>
      <c r="J542" s="18"/>
      <c r="K542" s="18"/>
      <c r="L542" s="69">
        <f>SUM(F542:K542)</f>
        <v>160252.29</v>
      </c>
      <c r="M542" s="8"/>
      <c r="N542" s="164"/>
    </row>
    <row r="543" spans="1:14" s="3" customFormat="1" ht="12.2" customHeight="1" x14ac:dyDescent="0.15">
      <c r="A543" s="21" t="s">
        <v>634</v>
      </c>
      <c r="B543" s="22">
        <v>21</v>
      </c>
      <c r="C543" s="22">
        <v>18</v>
      </c>
      <c r="D543" s="2" t="s">
        <v>432</v>
      </c>
      <c r="E543" s="22"/>
      <c r="F543" s="18"/>
      <c r="G543" s="18"/>
      <c r="H543" s="18">
        <f>69425.77+14624.11</f>
        <v>84049.88</v>
      </c>
      <c r="I543" s="18"/>
      <c r="J543" s="18"/>
      <c r="K543" s="18"/>
      <c r="L543" s="69">
        <f>SUM(F543:K543)</f>
        <v>84049.88</v>
      </c>
      <c r="M543" s="8"/>
      <c r="N543" s="164"/>
    </row>
    <row r="544" spans="1:14" s="3" customFormat="1" ht="12.2" customHeight="1" thickBot="1" x14ac:dyDescent="0.2">
      <c r="A544" s="21" t="s">
        <v>635</v>
      </c>
      <c r="B544" s="22">
        <v>21</v>
      </c>
      <c r="C544" s="22">
        <v>19</v>
      </c>
      <c r="D544" s="2" t="s">
        <v>432</v>
      </c>
      <c r="E544" s="22"/>
      <c r="F544" s="18"/>
      <c r="G544" s="18"/>
      <c r="H544" s="18">
        <f>86900.94-14624.11</f>
        <v>72276.83</v>
      </c>
      <c r="I544" s="18"/>
      <c r="J544" s="18"/>
      <c r="K544" s="18"/>
      <c r="L544" s="69">
        <f>SUM(F544:K544)</f>
        <v>72276.83</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316579</v>
      </c>
      <c r="I545" s="140">
        <f t="shared" si="40"/>
        <v>0</v>
      </c>
      <c r="J545" s="140">
        <f t="shared" si="40"/>
        <v>0</v>
      </c>
      <c r="K545" s="140">
        <f t="shared" si="40"/>
        <v>0</v>
      </c>
      <c r="L545" s="140">
        <f t="shared" si="40"/>
        <v>316579</v>
      </c>
      <c r="M545" s="8"/>
      <c r="N545" s="164"/>
    </row>
    <row r="546" spans="1:14" s="3" customFormat="1" ht="12.2" customHeight="1" thickTop="1" x14ac:dyDescent="0.15">
      <c r="A546" s="75" t="s">
        <v>72</v>
      </c>
      <c r="B546" s="41">
        <v>21</v>
      </c>
      <c r="C546" s="41">
        <v>21</v>
      </c>
      <c r="D546" s="115" t="s">
        <v>432</v>
      </c>
      <c r="E546" s="41"/>
      <c r="F546" s="70">
        <f>F525+F530+F535+F540+F545</f>
        <v>2823239.04</v>
      </c>
      <c r="G546" s="70">
        <f t="shared" ref="G546:L546" si="41">G525+G530+G535+G540+G545</f>
        <v>980322.13</v>
      </c>
      <c r="H546" s="70">
        <f t="shared" si="41"/>
        <v>1433396.98</v>
      </c>
      <c r="I546" s="70">
        <f t="shared" si="41"/>
        <v>38811.79</v>
      </c>
      <c r="J546" s="70">
        <f t="shared" si="41"/>
        <v>18984.649999999998</v>
      </c>
      <c r="K546" s="70">
        <f t="shared" si="41"/>
        <v>448</v>
      </c>
      <c r="L546" s="70">
        <f t="shared" si="41"/>
        <v>5295202.5899999989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2084878.1699999997</v>
      </c>
      <c r="G550" s="69">
        <f>L527</f>
        <v>620367.54</v>
      </c>
      <c r="H550" s="69">
        <f>L532</f>
        <v>107128.58</v>
      </c>
      <c r="I550" s="69">
        <f>L537</f>
        <v>0</v>
      </c>
      <c r="J550" s="69">
        <f>L542</f>
        <v>160252.29</v>
      </c>
      <c r="K550" s="69">
        <f>SUM(F550:J550)</f>
        <v>2972626.58</v>
      </c>
      <c r="L550" s="23" t="s">
        <v>288</v>
      </c>
      <c r="M550" s="8"/>
      <c r="N550" s="164"/>
    </row>
    <row r="551" spans="1:14" s="3" customFormat="1" ht="12.2" customHeight="1" x14ac:dyDescent="0.15">
      <c r="A551" s="21" t="s">
        <v>634</v>
      </c>
      <c r="B551" s="22">
        <v>21</v>
      </c>
      <c r="C551" s="22">
        <v>23</v>
      </c>
      <c r="D551" s="2" t="s">
        <v>432</v>
      </c>
      <c r="E551" s="22"/>
      <c r="F551" s="69">
        <f>L523</f>
        <v>605150.85</v>
      </c>
      <c r="G551" s="69">
        <f>L528</f>
        <v>292065.81</v>
      </c>
      <c r="H551" s="69">
        <f>L533</f>
        <v>46111.099999999991</v>
      </c>
      <c r="I551" s="69">
        <f>L538</f>
        <v>0</v>
      </c>
      <c r="J551" s="69">
        <f>L543</f>
        <v>84049.88</v>
      </c>
      <c r="K551" s="69">
        <f>SUM(F551:J551)</f>
        <v>1027377.6399999999</v>
      </c>
      <c r="L551" s="23" t="s">
        <v>288</v>
      </c>
      <c r="M551" s="8"/>
      <c r="N551" s="164"/>
    </row>
    <row r="552" spans="1:14" s="3" customFormat="1" ht="12.2" customHeight="1" thickBot="1" x14ac:dyDescent="0.2">
      <c r="A552" s="21" t="s">
        <v>635</v>
      </c>
      <c r="B552" s="22">
        <v>21</v>
      </c>
      <c r="C552" s="22">
        <v>24</v>
      </c>
      <c r="D552" s="2" t="s">
        <v>432</v>
      </c>
      <c r="E552" s="22"/>
      <c r="F552" s="69">
        <f>L524</f>
        <v>736567.15</v>
      </c>
      <c r="G552" s="69">
        <f>L529</f>
        <v>428261.13999999996</v>
      </c>
      <c r="H552" s="69">
        <f>L534</f>
        <v>58093.249999999993</v>
      </c>
      <c r="I552" s="69">
        <f>L539</f>
        <v>0</v>
      </c>
      <c r="J552" s="69">
        <f>L544</f>
        <v>72276.83</v>
      </c>
      <c r="K552" s="69">
        <f>SUM(F552:J552)</f>
        <v>1295198.3700000001</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3426596.1699999995</v>
      </c>
      <c r="G553" s="70">
        <f t="shared" si="42"/>
        <v>1340694.49</v>
      </c>
      <c r="H553" s="70">
        <f t="shared" si="42"/>
        <v>211332.93</v>
      </c>
      <c r="I553" s="70">
        <f t="shared" si="42"/>
        <v>0</v>
      </c>
      <c r="J553" s="70">
        <f t="shared" si="42"/>
        <v>316579</v>
      </c>
      <c r="K553" s="70">
        <f t="shared" si="42"/>
        <v>5295202.59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35367.69</v>
      </c>
      <c r="G563" s="18">
        <v>2726.28</v>
      </c>
      <c r="H563" s="18"/>
      <c r="I563" s="18">
        <v>1224</v>
      </c>
      <c r="J563" s="18"/>
      <c r="K563" s="18"/>
      <c r="L563" s="69">
        <f>SUM(F563:K563)</f>
        <v>39317.97</v>
      </c>
      <c r="M563" s="8"/>
      <c r="N563" s="164"/>
    </row>
    <row r="564" spans="1:14" s="3" customFormat="1" ht="12.2" customHeight="1" x14ac:dyDescent="0.15">
      <c r="A564" s="21" t="s">
        <v>634</v>
      </c>
      <c r="B564" s="22">
        <v>22</v>
      </c>
      <c r="C564" s="22">
        <v>6</v>
      </c>
      <c r="D564" s="2" t="s">
        <v>432</v>
      </c>
      <c r="E564" s="22"/>
      <c r="F564" s="18">
        <v>15322.27</v>
      </c>
      <c r="G564" s="18">
        <v>116.45</v>
      </c>
      <c r="H564" s="18"/>
      <c r="I564" s="18">
        <v>1224</v>
      </c>
      <c r="J564" s="18"/>
      <c r="K564" s="18"/>
      <c r="L564" s="69">
        <f>SUM(F564:K564)</f>
        <v>16662.72</v>
      </c>
      <c r="M564" s="8"/>
      <c r="N564" s="164"/>
    </row>
    <row r="565" spans="1:14" s="3" customFormat="1" ht="12.2" customHeight="1" thickBot="1" x14ac:dyDescent="0.2">
      <c r="A565" s="21" t="s">
        <v>635</v>
      </c>
      <c r="B565" s="22">
        <v>22</v>
      </c>
      <c r="C565" s="22">
        <v>7</v>
      </c>
      <c r="D565" s="2" t="s">
        <v>432</v>
      </c>
      <c r="E565" s="22"/>
      <c r="F565" s="18">
        <v>19179.04</v>
      </c>
      <c r="G565" s="18">
        <v>1467.2</v>
      </c>
      <c r="H565" s="18"/>
      <c r="I565" s="18">
        <v>1224</v>
      </c>
      <c r="J565" s="18"/>
      <c r="K565" s="18"/>
      <c r="L565" s="69">
        <f>SUM(F565:K565)</f>
        <v>21870.240000000002</v>
      </c>
      <c r="M565" s="8"/>
      <c r="N565" s="164"/>
    </row>
    <row r="566" spans="1:14" s="3" customFormat="1" ht="12.2" customHeight="1" thickTop="1" x14ac:dyDescent="0.15">
      <c r="A566" s="97" t="s">
        <v>65</v>
      </c>
      <c r="B566" s="41">
        <v>22</v>
      </c>
      <c r="C566" s="41">
        <v>8</v>
      </c>
      <c r="D566" s="115" t="s">
        <v>432</v>
      </c>
      <c r="E566" s="41"/>
      <c r="F566" s="70">
        <f>SUM(F563:F565)</f>
        <v>69869</v>
      </c>
      <c r="G566" s="70">
        <f t="shared" ref="G566:L566" si="44">SUM(G563:G565)</f>
        <v>4309.93</v>
      </c>
      <c r="H566" s="70">
        <f t="shared" si="44"/>
        <v>0</v>
      </c>
      <c r="I566" s="70">
        <f t="shared" si="44"/>
        <v>3672</v>
      </c>
      <c r="J566" s="70">
        <f t="shared" si="44"/>
        <v>0</v>
      </c>
      <c r="K566" s="70">
        <f t="shared" si="44"/>
        <v>0</v>
      </c>
      <c r="L566" s="70">
        <f t="shared" si="44"/>
        <v>77850.930000000008</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69869</v>
      </c>
      <c r="G572" s="70">
        <f t="shared" ref="G572:L572" si="46">G561+G566+G571</f>
        <v>4309.93</v>
      </c>
      <c r="H572" s="70">
        <f t="shared" si="46"/>
        <v>0</v>
      </c>
      <c r="I572" s="70">
        <f t="shared" si="46"/>
        <v>3672</v>
      </c>
      <c r="J572" s="70">
        <f t="shared" si="46"/>
        <v>0</v>
      </c>
      <c r="K572" s="70">
        <f t="shared" si="46"/>
        <v>0</v>
      </c>
      <c r="L572" s="70">
        <f t="shared" si="46"/>
        <v>77850.930000000008</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28936.22</v>
      </c>
      <c r="I576" s="69">
        <f>SUM(F576:H576)</f>
        <v>28936.22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258495.35+280866.05</f>
        <v>539361.4</v>
      </c>
      <c r="G583" s="18"/>
      <c r="H583" s="18">
        <v>280866.06</v>
      </c>
      <c r="I583" s="69">
        <f t="shared" si="47"/>
        <v>820227.46</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255349.73</v>
      </c>
      <c r="I585" s="69">
        <f t="shared" si="47"/>
        <v>255349.73</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539361.4</v>
      </c>
      <c r="G589" s="79">
        <f t="shared" ref="G589:I589" si="48">SUM(G576:G588)</f>
        <v>0</v>
      </c>
      <c r="H589" s="79">
        <f t="shared" si="48"/>
        <v>565152.01</v>
      </c>
      <c r="I589" s="79">
        <f t="shared" si="48"/>
        <v>1104513.4099999999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211558.23</v>
      </c>
      <c r="I592" s="18">
        <v>91652.94</v>
      </c>
      <c r="J592" s="18">
        <v>114722.9</v>
      </c>
      <c r="K592" s="80">
        <f t="shared" ref="K592:K598" si="49">SUM(H592:J592)</f>
        <v>417934.07000000007</v>
      </c>
      <c r="L592" s="23" t="s">
        <v>288</v>
      </c>
      <c r="M592" s="8"/>
      <c r="N592" s="164"/>
    </row>
    <row r="593" spans="1:14" s="3" customFormat="1" ht="12.2" customHeight="1" x14ac:dyDescent="0.15">
      <c r="A593" s="3" t="s">
        <v>638</v>
      </c>
      <c r="B593" s="22">
        <v>23</v>
      </c>
      <c r="C593" s="22">
        <v>2</v>
      </c>
      <c r="D593" s="2" t="s">
        <v>432</v>
      </c>
      <c r="E593" s="22"/>
      <c r="F593" s="78">
        <v>2722</v>
      </c>
      <c r="G593" s="79" t="s">
        <v>97</v>
      </c>
      <c r="H593" s="18">
        <v>160252.29</v>
      </c>
      <c r="I593" s="18">
        <f>69425.77+14624.11</f>
        <v>84049.88</v>
      </c>
      <c r="J593" s="18">
        <f>86900.94-14624.11</f>
        <v>72276.83</v>
      </c>
      <c r="K593" s="80">
        <f t="shared" si="49"/>
        <v>316579</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39217.65</v>
      </c>
      <c r="K594" s="80">
        <f t="shared" si="49"/>
        <v>39217.65</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2890.9</v>
      </c>
      <c r="J595" s="18">
        <v>35431.480000000003</v>
      </c>
      <c r="K595" s="80">
        <f t="shared" si="49"/>
        <v>38322.380000000005</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v>1411.9</v>
      </c>
      <c r="J596" s="18">
        <v>2544.36</v>
      </c>
      <c r="K596" s="80">
        <f t="shared" si="49"/>
        <v>3956.26</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35500.559999999998</v>
      </c>
      <c r="I598" s="18"/>
      <c r="J598" s="18">
        <v>28635.54</v>
      </c>
      <c r="K598" s="80">
        <f t="shared" si="49"/>
        <v>64136.1</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407311.08</v>
      </c>
      <c r="I599" s="81">
        <f>SUM(I592:I598)</f>
        <v>180005.62</v>
      </c>
      <c r="J599" s="81">
        <f>SUM(J592:J598)</f>
        <v>292828.75999999995</v>
      </c>
      <c r="K599" s="81">
        <f>SUM(K592:K598)</f>
        <v>880145.46000000008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11529.64+67091.56+28275.82</f>
        <v>106897.01999999999</v>
      </c>
      <c r="I605" s="18">
        <f>26587.43+29065.94+12249.88</f>
        <v>67903.25</v>
      </c>
      <c r="J605" s="18">
        <f>16552.62+36382.13+15333.3</f>
        <v>68268.05</v>
      </c>
      <c r="K605" s="80">
        <f>SUM(H605:J605)</f>
        <v>243068.32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106897.01999999999</v>
      </c>
      <c r="I606" s="81">
        <f>SUM(I603:I605)</f>
        <v>67903.25</v>
      </c>
      <c r="J606" s="81">
        <f>SUM(J603:J605)</f>
        <v>68268.05</v>
      </c>
      <c r="K606" s="81">
        <f>SUM(K603:K605)</f>
        <v>243068.32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47210.74</v>
      </c>
      <c r="G612" s="18">
        <v>3611.62</v>
      </c>
      <c r="H612" s="18"/>
      <c r="I612" s="18">
        <v>574.57000000000005</v>
      </c>
      <c r="J612" s="18"/>
      <c r="K612" s="18"/>
      <c r="L612" s="69">
        <f>SUM(F612:K612)</f>
        <v>51396.93</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10000</v>
      </c>
      <c r="G614" s="18"/>
      <c r="H614" s="18"/>
      <c r="I614" s="18"/>
      <c r="J614" s="18"/>
      <c r="K614" s="18"/>
      <c r="L614" s="69">
        <f>SUM(F614:K614)</f>
        <v>10000</v>
      </c>
      <c r="M614" s="8"/>
      <c r="N614" s="164"/>
    </row>
    <row r="615" spans="1:14" s="3" customFormat="1" ht="12.2" customHeight="1" thickTop="1" x14ac:dyDescent="0.15">
      <c r="A615" s="75" t="s">
        <v>340</v>
      </c>
      <c r="B615" s="41">
        <v>23</v>
      </c>
      <c r="C615" s="41">
        <v>16</v>
      </c>
      <c r="D615" s="36" t="s">
        <v>432</v>
      </c>
      <c r="E615" s="41"/>
      <c r="F615" s="81">
        <f t="shared" ref="F615:L615" si="50">SUM(F612:F614)</f>
        <v>57210.74</v>
      </c>
      <c r="G615" s="81">
        <f t="shared" si="50"/>
        <v>3611.62</v>
      </c>
      <c r="H615" s="81">
        <f t="shared" si="50"/>
        <v>0</v>
      </c>
      <c r="I615" s="81">
        <f t="shared" si="50"/>
        <v>574.57000000000005</v>
      </c>
      <c r="J615" s="81">
        <f t="shared" si="50"/>
        <v>0</v>
      </c>
      <c r="K615" s="81">
        <f t="shared" si="50"/>
        <v>0</v>
      </c>
      <c r="L615" s="70">
        <f t="shared" si="50"/>
        <v>61396.93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1854432.51</v>
      </c>
      <c r="H618" s="80">
        <f>SUM(F52)</f>
        <v>1854432.51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772168.52000000014</v>
      </c>
      <c r="H619" s="80">
        <f>SUM(G52)</f>
        <v>772168.52</v>
      </c>
      <c r="I619" s="87" t="s">
        <v>872</v>
      </c>
      <c r="J619" s="80">
        <f>G619-H619</f>
        <v>0</v>
      </c>
      <c r="K619" s="80"/>
      <c r="L619" s="80"/>
      <c r="M619" s="8"/>
    </row>
    <row r="620" spans="1:14" s="3" customFormat="1" ht="12.2" customHeight="1" x14ac:dyDescent="0.15">
      <c r="A620" s="74"/>
      <c r="B620" s="22"/>
      <c r="C620" s="22"/>
      <c r="D620" s="22"/>
      <c r="E620" s="22"/>
      <c r="F620" s="87" t="s">
        <v>685</v>
      </c>
      <c r="G620" s="80">
        <f>SUM(H19)</f>
        <v>191336.81</v>
      </c>
      <c r="H620" s="80">
        <f>SUM(H52)</f>
        <v>191336.81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410162.38</v>
      </c>
      <c r="H622" s="80">
        <f>SUM(J52)</f>
        <v>410162.38</v>
      </c>
      <c r="I622" s="87" t="s">
        <v>875</v>
      </c>
      <c r="J622" s="80">
        <f>G622-H622</f>
        <v>0</v>
      </c>
      <c r="K622" s="80"/>
      <c r="L622" s="80"/>
      <c r="M622" s="8"/>
    </row>
    <row r="623" spans="1:14" s="3" customFormat="1" ht="12.2" customHeight="1" x14ac:dyDescent="0.15">
      <c r="A623" s="74"/>
      <c r="B623" s="22"/>
      <c r="C623" s="22"/>
      <c r="D623" s="22"/>
      <c r="E623" s="22"/>
      <c r="F623" s="87" t="s">
        <v>861</v>
      </c>
      <c r="G623" s="80">
        <f>F51</f>
        <v>1545668.75</v>
      </c>
      <c r="H623" s="80">
        <f>F477</f>
        <v>1545668.75</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117280.25</v>
      </c>
      <c r="H624" s="80">
        <f>G477</f>
        <v>117280.25</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410162.38</v>
      </c>
      <c r="H627" s="80">
        <f>J477</f>
        <v>410162.38000000006</v>
      </c>
      <c r="I627" s="87" t="s">
        <v>105</v>
      </c>
      <c r="J627" s="80">
        <f t="shared" si="51"/>
        <v>0</v>
      </c>
      <c r="K627" s="67"/>
      <c r="L627" s="69"/>
      <c r="M627" s="8"/>
    </row>
    <row r="628" spans="1:13" s="3" customFormat="1" ht="12.2" customHeight="1" x14ac:dyDescent="0.15">
      <c r="A628" s="21"/>
      <c r="B628" s="22"/>
      <c r="C628" s="22"/>
      <c r="D628" s="22"/>
      <c r="E628" s="22"/>
      <c r="F628" s="86" t="s">
        <v>658</v>
      </c>
      <c r="G628" s="80">
        <f>F194</f>
        <v>21936855.890000001</v>
      </c>
      <c r="H628" s="80">
        <f>SUM(F469)</f>
        <v>21936855.890000001</v>
      </c>
      <c r="I628" s="87" t="s">
        <v>106</v>
      </c>
      <c r="J628" s="80">
        <f>G628-H628</f>
        <v>0</v>
      </c>
      <c r="K628" s="67"/>
      <c r="L628" s="69"/>
      <c r="M628" s="8"/>
    </row>
    <row r="629" spans="1:13" s="3" customFormat="1" ht="12.2" customHeight="1" x14ac:dyDescent="0.15">
      <c r="A629" s="21"/>
      <c r="B629" s="22"/>
      <c r="C629" s="22"/>
      <c r="D629" s="22"/>
      <c r="E629" s="22"/>
      <c r="F629" s="86" t="s">
        <v>659</v>
      </c>
      <c r="G629" s="80">
        <f>G194</f>
        <v>561204.34</v>
      </c>
      <c r="H629" s="80">
        <f>SUM(G469)</f>
        <v>561204.34</v>
      </c>
      <c r="I629" s="87" t="s">
        <v>107</v>
      </c>
      <c r="J629" s="80">
        <f>G629-H629</f>
        <v>0</v>
      </c>
      <c r="K629" s="67"/>
      <c r="L629" s="69"/>
      <c r="M629" s="8"/>
    </row>
    <row r="630" spans="1:13" s="3" customFormat="1" ht="12.2" customHeight="1" x14ac:dyDescent="0.15">
      <c r="A630" s="21"/>
      <c r="B630" s="22"/>
      <c r="C630" s="22"/>
      <c r="D630" s="22"/>
      <c r="E630" s="22"/>
      <c r="F630" s="86" t="s">
        <v>660</v>
      </c>
      <c r="G630" s="80">
        <f>H194</f>
        <v>612865.14</v>
      </c>
      <c r="H630" s="80">
        <f>SUM(H469)</f>
        <v>612865.14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410162.38</v>
      </c>
      <c r="H632" s="80">
        <f>SUM(J469)</f>
        <v>410162.38</v>
      </c>
      <c r="I632" s="87" t="s">
        <v>110</v>
      </c>
      <c r="J632" s="80">
        <f>G632-H632</f>
        <v>0</v>
      </c>
      <c r="K632" s="67"/>
      <c r="L632" s="69"/>
      <c r="M632" s="8"/>
    </row>
    <row r="633" spans="1:13" s="3" customFormat="1" ht="12.2" customHeight="1" x14ac:dyDescent="0.15">
      <c r="A633" s="21"/>
      <c r="B633" s="22"/>
      <c r="C633" s="22"/>
      <c r="D633" s="22"/>
      <c r="E633" s="22"/>
      <c r="F633" s="86" t="s">
        <v>394</v>
      </c>
      <c r="G633" s="80">
        <f>SUM(L272)</f>
        <v>21660847.608000003</v>
      </c>
      <c r="H633" s="80">
        <f>SUM(F473)</f>
        <v>21660847.609999999</v>
      </c>
      <c r="I633" s="87" t="s">
        <v>111</v>
      </c>
      <c r="J633" s="80">
        <f t="shared" si="51"/>
        <v>-1.9999966025352478E-3</v>
      </c>
      <c r="K633" s="67"/>
      <c r="L633" s="69"/>
      <c r="M633" s="8"/>
    </row>
    <row r="634" spans="1:13" s="3" customFormat="1" ht="12.2" customHeight="1" x14ac:dyDescent="0.15">
      <c r="A634" s="21"/>
      <c r="B634" s="22"/>
      <c r="C634" s="22"/>
      <c r="D634" s="22"/>
      <c r="E634" s="22"/>
      <c r="F634" s="86" t="s">
        <v>395</v>
      </c>
      <c r="G634" s="80">
        <f>SUM(L353)</f>
        <v>612865.1399999999</v>
      </c>
      <c r="H634" s="80">
        <f>SUM(H473)</f>
        <v>612865.14</v>
      </c>
      <c r="I634" s="87" t="s">
        <v>112</v>
      </c>
      <c r="J634" s="80">
        <f>G634-H634</f>
        <v>0</v>
      </c>
      <c r="K634" s="67"/>
      <c r="L634" s="69"/>
      <c r="M634" s="8"/>
    </row>
    <row r="635" spans="1:13" s="124" customFormat="1" ht="12.2" customHeight="1" x14ac:dyDescent="0.15">
      <c r="A635" s="21"/>
      <c r="B635" s="22"/>
      <c r="C635" s="22"/>
      <c r="D635" s="22"/>
      <c r="E635" s="22"/>
      <c r="F635" s="99" t="s">
        <v>247</v>
      </c>
      <c r="G635" s="80">
        <f>I363</f>
        <v>321760.07</v>
      </c>
      <c r="H635" s="80">
        <f>I370</f>
        <v>321760.07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580536.44999999995</v>
      </c>
      <c r="H636" s="80">
        <f>SUM(G473)</f>
        <v>580536.44999999995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165002</v>
      </c>
      <c r="H637" s="80">
        <f>SUM(I473)</f>
        <v>165002</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410162.38</v>
      </c>
      <c r="H638" s="108">
        <f>SUM(J469)</f>
        <v>410162.38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310996.44</v>
      </c>
      <c r="H639" s="108">
        <f>SUM(J473)</f>
        <v>310996.44</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410162.38</v>
      </c>
      <c r="H640" s="80">
        <f>SUM(F462)</f>
        <v>410162.38</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410162.38</v>
      </c>
      <c r="H643" s="80">
        <f>SUM(I462)</f>
        <v>410162.38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10162.379999999999</v>
      </c>
      <c r="H645" s="80">
        <f>H409</f>
        <v>10162.379999999999</v>
      </c>
      <c r="I645" s="87" t="s">
        <v>480</v>
      </c>
      <c r="J645" s="80">
        <f t="shared" si="51"/>
        <v>0</v>
      </c>
      <c r="K645" s="67"/>
      <c r="L645" s="69"/>
      <c r="M645" s="8"/>
    </row>
    <row r="646" spans="1:13" s="3" customFormat="1" ht="12.2" customHeight="1" x14ac:dyDescent="0.15">
      <c r="A646" s="21"/>
      <c r="B646" s="22"/>
      <c r="C646" s="22"/>
      <c r="D646" s="22"/>
      <c r="E646" s="22"/>
      <c r="F646" s="86" t="s">
        <v>664</v>
      </c>
      <c r="G646" s="80">
        <f>J184</f>
        <v>400000</v>
      </c>
      <c r="H646" s="80">
        <f>G409</f>
        <v>400000</v>
      </c>
      <c r="I646" s="87" t="s">
        <v>481</v>
      </c>
      <c r="J646" s="80">
        <f t="shared" si="51"/>
        <v>0</v>
      </c>
      <c r="K646" s="67"/>
      <c r="L646" s="69"/>
      <c r="M646" s="8"/>
    </row>
    <row r="647" spans="1:13" s="3" customFormat="1" ht="12.2" customHeight="1" x14ac:dyDescent="0.15">
      <c r="A647" s="21"/>
      <c r="B647" s="22"/>
      <c r="C647" s="22"/>
      <c r="D647" s="22"/>
      <c r="E647" s="22"/>
      <c r="F647" s="86" t="s">
        <v>662</v>
      </c>
      <c r="G647" s="80">
        <f>J194</f>
        <v>410162.38</v>
      </c>
      <c r="H647" s="80">
        <f>L409</f>
        <v>410162.38</v>
      </c>
      <c r="I647" s="87" t="s">
        <v>477</v>
      </c>
      <c r="J647" s="80">
        <f t="shared" si="51"/>
        <v>0</v>
      </c>
      <c r="K647" s="67"/>
      <c r="L647" s="69"/>
      <c r="M647" s="8"/>
    </row>
    <row r="648" spans="1:13" s="3" customFormat="1" ht="12.2" customHeight="1" x14ac:dyDescent="0.15">
      <c r="A648" s="21"/>
      <c r="B648" s="22"/>
      <c r="C648" s="22"/>
      <c r="D648" s="22"/>
      <c r="E648" s="22"/>
      <c r="F648" s="86" t="s">
        <v>51</v>
      </c>
      <c r="G648" s="80">
        <f>K599</f>
        <v>880145.46000000008</v>
      </c>
      <c r="H648" s="80">
        <f>L209+L227+L245</f>
        <v>880145.46</v>
      </c>
      <c r="I648" s="87" t="s">
        <v>396</v>
      </c>
      <c r="J648" s="80">
        <f t="shared" si="51"/>
        <v>0</v>
      </c>
      <c r="K648" s="67"/>
      <c r="L648" s="69"/>
      <c r="M648" s="8"/>
    </row>
    <row r="649" spans="1:13" s="3" customFormat="1" ht="12.2" customHeight="1" x14ac:dyDescent="0.15">
      <c r="A649" s="21"/>
      <c r="B649" s="22"/>
      <c r="C649" s="22"/>
      <c r="D649" s="22"/>
      <c r="E649" s="22"/>
      <c r="F649" s="86" t="s">
        <v>52</v>
      </c>
      <c r="G649" s="80">
        <f>K606</f>
        <v>243068.32</v>
      </c>
      <c r="H649" s="80">
        <f>(J258+J339)-(J256+J337)</f>
        <v>243068.32</v>
      </c>
      <c r="I649" s="87" t="s">
        <v>699</v>
      </c>
      <c r="J649" s="80">
        <f t="shared" si="51"/>
        <v>0</v>
      </c>
      <c r="K649" s="67"/>
      <c r="L649" s="69"/>
      <c r="M649" s="8"/>
    </row>
    <row r="650" spans="1:13" s="3" customFormat="1" ht="12.2" customHeight="1" x14ac:dyDescent="0.15">
      <c r="A650" s="21"/>
      <c r="B650" s="22"/>
      <c r="C650" s="22"/>
      <c r="D650" s="22"/>
      <c r="E650" s="22"/>
      <c r="F650" s="86" t="s">
        <v>387</v>
      </c>
      <c r="G650" s="80">
        <f>L209</f>
        <v>407311.08</v>
      </c>
      <c r="H650" s="80">
        <f>H599</f>
        <v>407311.08</v>
      </c>
      <c r="I650" s="87" t="s">
        <v>388</v>
      </c>
      <c r="J650" s="80">
        <f t="shared" si="51"/>
        <v>0</v>
      </c>
      <c r="K650" s="67"/>
      <c r="L650" s="69"/>
      <c r="M650" s="8"/>
    </row>
    <row r="651" spans="1:13" s="3" customFormat="1" ht="12.2" customHeight="1" x14ac:dyDescent="0.15">
      <c r="A651" s="21"/>
      <c r="B651" s="22"/>
      <c r="C651" s="22"/>
      <c r="D651" s="22"/>
      <c r="E651" s="22"/>
      <c r="F651" s="86" t="s">
        <v>392</v>
      </c>
      <c r="G651" s="80">
        <f>L227</f>
        <v>180005.62</v>
      </c>
      <c r="H651" s="80">
        <f>I599</f>
        <v>180005.62</v>
      </c>
      <c r="I651" s="87" t="s">
        <v>389</v>
      </c>
      <c r="J651" s="80">
        <f t="shared" si="51"/>
        <v>0</v>
      </c>
      <c r="K651" s="67"/>
      <c r="L651" s="69"/>
      <c r="M651" s="8"/>
    </row>
    <row r="652" spans="1:13" s="3" customFormat="1" ht="12.2" customHeight="1" x14ac:dyDescent="0.15">
      <c r="A652" s="21"/>
      <c r="B652" s="22"/>
      <c r="C652" s="22"/>
      <c r="D652" s="22"/>
      <c r="E652" s="22"/>
      <c r="F652" s="86" t="s">
        <v>393</v>
      </c>
      <c r="G652" s="80">
        <f>L245</f>
        <v>292828.76</v>
      </c>
      <c r="H652" s="80">
        <f>J599</f>
        <v>292828.75999999995</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400000</v>
      </c>
      <c r="H656" s="80">
        <f>K267+K348</f>
        <v>400000</v>
      </c>
      <c r="I656" s="87" t="s">
        <v>400</v>
      </c>
      <c r="J656" s="80">
        <f t="shared" si="51"/>
        <v>0</v>
      </c>
      <c r="K656" s="67"/>
      <c r="L656" s="69"/>
      <c r="M656" s="9"/>
    </row>
    <row r="657" spans="1:13" s="3" customFormat="1" ht="12.2" customHeight="1" x14ac:dyDescent="0.15">
      <c r="F657" s="25" t="s">
        <v>122</v>
      </c>
      <c r="G657" s="13"/>
      <c r="H657" s="80">
        <f>SUM(G618:G656)-SUM(H618:H656)</f>
        <v>-1.9999966025352478E-3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10432131.018000001</v>
      </c>
      <c r="G661" s="13">
        <f>(L230+L310+L360)</f>
        <v>4730647.9200000009</v>
      </c>
      <c r="H661" s="13">
        <f>(L248+L329+L361)</f>
        <v>6178141.2599999998</v>
      </c>
      <c r="I661" s="13">
        <f>SUM(F661:H661)</f>
        <v>21340920.197999999</v>
      </c>
      <c r="J661" s="13"/>
      <c r="K661" s="13"/>
      <c r="L661" s="13"/>
      <c r="M661" s="9"/>
    </row>
    <row r="662" spans="1:13" s="3" customFormat="1" ht="12.2" customHeight="1" x14ac:dyDescent="0.2">
      <c r="A662" s="1" t="s">
        <v>127</v>
      </c>
      <c r="F662" s="13">
        <f>(L359/IF(SUM(L359:L361)=0,1,SUM(L359:L361))*(SUM(G97:G110)))</f>
        <v>158241.91894839678</v>
      </c>
      <c r="G662" s="13">
        <f>(L360/IF(SUM(L359:L361)=0,1,SUM(L359:L361))*(SUM(G97:G110)))</f>
        <v>70301.64300769486</v>
      </c>
      <c r="H662" s="13">
        <f>(L361/IF(SUM(L359:L361)=0,1,SUM(L359:L361))*(SUM(G97:G110)))</f>
        <v>78419.288043908353</v>
      </c>
      <c r="I662" s="13">
        <f>SUM(F662:H662)</f>
        <v>306962.84999999998</v>
      </c>
      <c r="J662"/>
      <c r="K662" s="13"/>
      <c r="L662" s="13"/>
      <c r="M662" s="8"/>
    </row>
    <row r="663" spans="1:13" s="3" customFormat="1" ht="12.2" customHeight="1" x14ac:dyDescent="0.2">
      <c r="A663" s="1" t="s">
        <v>128</v>
      </c>
      <c r="F663" s="13">
        <f>(L209+L288)-(J209+J288)</f>
        <v>407311.08</v>
      </c>
      <c r="G663" s="13">
        <f>(L227+L307)-(J227+J307)</f>
        <v>180005.62</v>
      </c>
      <c r="H663" s="13">
        <f>(L245+L326)-(J245+J326)</f>
        <v>292828.76</v>
      </c>
      <c r="I663" s="13">
        <f>SUM(F663:H663)</f>
        <v>880145.46</v>
      </c>
      <c r="J663"/>
      <c r="K663" s="13"/>
      <c r="L663" s="13"/>
      <c r="M663" s="9"/>
    </row>
    <row r="664" spans="1:13" s="3" customFormat="1" ht="12.2" customHeight="1" x14ac:dyDescent="0.15">
      <c r="A664" s="141" t="s">
        <v>129</v>
      </c>
      <c r="B664" s="124"/>
      <c r="C664" s="124"/>
      <c r="D664" s="124"/>
      <c r="E664" s="124"/>
      <c r="F664" s="142">
        <f>SUM(F576:F588)+SUM(H603:H605)+SUM(L612)</f>
        <v>697655.35000000009</v>
      </c>
      <c r="G664" s="142">
        <f>SUM(G576:G588)+SUM(I603:I605)+L613</f>
        <v>67903.25</v>
      </c>
      <c r="H664" s="142">
        <f>SUM(H576:H588)+SUM(J603:J605)+L614</f>
        <v>643420.06000000006</v>
      </c>
      <c r="I664" s="13">
        <f>SUM(F664:H664)</f>
        <v>1408978.6600000001</v>
      </c>
      <c r="J664" s="13"/>
      <c r="K664" s="13"/>
      <c r="L664" s="13"/>
      <c r="M664" s="9"/>
    </row>
    <row r="665" spans="1:13" s="3" customFormat="1" ht="12.2" customHeight="1" x14ac:dyDescent="0.15">
      <c r="A665" s="1" t="s">
        <v>130</v>
      </c>
      <c r="F665" s="13">
        <f>F661-SUM(F662:F664)</f>
        <v>9168922.6690516043</v>
      </c>
      <c r="G665" s="13">
        <f>G661-SUM(G662:G664)</f>
        <v>4412437.406992306</v>
      </c>
      <c r="H665" s="13">
        <f>H661-SUM(H662:H664)</f>
        <v>5163473.1519560916</v>
      </c>
      <c r="I665" s="13">
        <f>I661-SUM(I662:I664)</f>
        <v>18744833.228</v>
      </c>
      <c r="J665" s="13"/>
      <c r="K665" s="13"/>
      <c r="L665" s="13"/>
      <c r="M665" s="8"/>
    </row>
    <row r="666" spans="1:13" s="3" customFormat="1" ht="12.2" customHeight="1" x14ac:dyDescent="0.2">
      <c r="A666" s="1" t="s">
        <v>131</v>
      </c>
      <c r="F666" s="182">
        <v>448.45</v>
      </c>
      <c r="G666" s="183">
        <v>182.81</v>
      </c>
      <c r="H666" s="183">
        <v>214.27</v>
      </c>
      <c r="I666" s="13">
        <f>SUM(F666:H666)</f>
        <v>845.53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20445.810000000001</v>
      </c>
      <c r="G668" s="13">
        <f>ROUND(G665/G666,2)</f>
        <v>24136.74</v>
      </c>
      <c r="H668" s="13">
        <f>ROUND(H665/H666,2)</f>
        <v>24097.98</v>
      </c>
      <c r="I668" s="13">
        <f>ROUND(I665/I666,2)</f>
        <v>22169.33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-20.55</v>
      </c>
      <c r="I671" s="13">
        <f>SUM(F671:H671)</f>
        <v>-20.55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20445.810000000001</v>
      </c>
      <c r="G673" s="13">
        <f>ROUND((G665+G670)/(G666+G671),2)</f>
        <v>24136.74</v>
      </c>
      <c r="H673" s="13">
        <f>ROUND((H665+H670)/(H666+H671),2)</f>
        <v>26654.31</v>
      </c>
      <c r="I673" s="13">
        <f>ROUND((I665+I670)/(I666+I671),2)</f>
        <v>22721.56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0" sqref="C30"/>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79441.600000000006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49618.64</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29822.959999999999</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Epping</v>
      </c>
      <c r="C5" s="321"/>
      <c r="D5" s="321"/>
      <c r="E5" s="321"/>
      <c r="F5" s="321"/>
    </row>
    <row r="8" spans="1:9" ht="18" x14ac:dyDescent="0.25">
      <c r="A8" s="239" t="s">
        <v>1548</v>
      </c>
      <c r="F8" s="246" t="s">
        <v>1566</v>
      </c>
    </row>
    <row r="9" spans="1:9" ht="15" x14ac:dyDescent="0.2">
      <c r="A9" s="237" t="s">
        <v>1549</v>
      </c>
      <c r="B9" s="240">
        <f>'DOE25'!G97</f>
        <v>306324.94</v>
      </c>
      <c r="F9" s="237" t="s">
        <v>1562</v>
      </c>
    </row>
    <row r="10" spans="1:9" ht="15" x14ac:dyDescent="0.2">
      <c r="A10" s="237" t="s">
        <v>1550</v>
      </c>
      <c r="B10" s="240">
        <f>'DOE25'!G112-'DOE25'!G97</f>
        <v>61394.739999999991</v>
      </c>
      <c r="F10" s="237" t="s">
        <v>1563</v>
      </c>
    </row>
    <row r="11" spans="1:9" ht="15" x14ac:dyDescent="0.2">
      <c r="A11" s="237" t="s">
        <v>1551</v>
      </c>
      <c r="B11" s="240">
        <f>'DOE25'!G140</f>
        <v>35111.360000000001</v>
      </c>
      <c r="F11" s="237" t="s">
        <v>1564</v>
      </c>
    </row>
    <row r="12" spans="1:9" ht="15" x14ac:dyDescent="0.2">
      <c r="A12" s="237" t="s">
        <v>1552</v>
      </c>
      <c r="B12" s="240">
        <f>'DOE25'!G170</f>
        <v>158373.29999999999</v>
      </c>
      <c r="F12" s="237" t="s">
        <v>1565</v>
      </c>
    </row>
    <row r="13" spans="1:9" ht="15" x14ac:dyDescent="0.2">
      <c r="A13" s="237" t="s">
        <v>1553</v>
      </c>
      <c r="B13" s="240">
        <f>'DOE25'!G193-'DOE25'!G180</f>
        <v>0</v>
      </c>
      <c r="F13" s="237" t="s">
        <v>1575</v>
      </c>
    </row>
    <row r="14" spans="1:9" ht="18" x14ac:dyDescent="0.25">
      <c r="A14" s="239" t="s">
        <v>732</v>
      </c>
      <c r="B14" s="241">
        <f>SUM(B9:B13)</f>
        <v>561204.34</v>
      </c>
    </row>
    <row r="16" spans="1:9" ht="18" x14ac:dyDescent="0.25">
      <c r="A16" s="239" t="s">
        <v>783</v>
      </c>
      <c r="F16" s="246" t="s">
        <v>1567</v>
      </c>
    </row>
    <row r="17" spans="1:6" ht="15" x14ac:dyDescent="0.2">
      <c r="A17" s="237" t="s">
        <v>1554</v>
      </c>
      <c r="B17" s="240">
        <f>'DOE25'!L363-'DOE25'!L362</f>
        <v>580536.44999999995</v>
      </c>
      <c r="F17" s="237" t="s">
        <v>1568</v>
      </c>
    </row>
    <row r="18" spans="1:6" ht="15" x14ac:dyDescent="0.2">
      <c r="A18" s="237" t="s">
        <v>1555</v>
      </c>
      <c r="B18" s="250">
        <v>0</v>
      </c>
      <c r="F18" s="246" t="s">
        <v>1592</v>
      </c>
    </row>
    <row r="19" spans="1:6" ht="18" x14ac:dyDescent="0.25">
      <c r="A19" s="239" t="s">
        <v>725</v>
      </c>
      <c r="B19" s="241">
        <f>SUM(B17:B18)</f>
        <v>580536.44999999995</v>
      </c>
    </row>
    <row r="21" spans="1:6" ht="18.75" thickBot="1" x14ac:dyDescent="0.3">
      <c r="A21" s="239" t="s">
        <v>1556</v>
      </c>
    </row>
    <row r="22" spans="1:6" ht="18.75" thickTop="1" x14ac:dyDescent="0.25">
      <c r="A22" s="239" t="s">
        <v>1557</v>
      </c>
      <c r="B22" s="245">
        <f>B14-B19</f>
        <v>-19332.109999999986</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136612.35999999999</v>
      </c>
      <c r="F31" s="237" t="s">
        <v>1572</v>
      </c>
    </row>
    <row r="33" spans="1:6" ht="15" x14ac:dyDescent="0.2">
      <c r="A33" s="237" t="s">
        <v>1790</v>
      </c>
      <c r="B33" s="240">
        <f>'DOE25'!G477</f>
        <v>117280.25</v>
      </c>
      <c r="F33" s="237" t="s">
        <v>1573</v>
      </c>
    </row>
    <row r="36" spans="1:6" ht="15" x14ac:dyDescent="0.2">
      <c r="A36" s="237" t="s">
        <v>1559</v>
      </c>
      <c r="B36" s="251">
        <v>37551.31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Epping</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4858154.12</v>
      </c>
      <c r="C9" s="166">
        <f>'DOE25'!G198+'DOE25'!G216+'DOE25'!G234+'DOE25'!G277+'DOE25'!G296+'DOE25'!G315</f>
        <v>3147340.12</v>
      </c>
    </row>
    <row r="10" spans="1:3" x14ac:dyDescent="0.2">
      <c r="A10" t="s">
        <v>772</v>
      </c>
      <c r="B10" s="176">
        <v>4330570.53</v>
      </c>
      <c r="C10" s="176">
        <v>2952725.52</v>
      </c>
    </row>
    <row r="11" spans="1:3" x14ac:dyDescent="0.2">
      <c r="A11" t="s">
        <v>773</v>
      </c>
      <c r="B11" s="176">
        <v>134063.37</v>
      </c>
      <c r="C11" s="176">
        <v>99493.95</v>
      </c>
    </row>
    <row r="12" spans="1:3" x14ac:dyDescent="0.2">
      <c r="A12" t="s">
        <v>774</v>
      </c>
      <c r="B12" s="176">
        <f>153634.73+239885.49</f>
        <v>393520.22</v>
      </c>
      <c r="C12" s="176">
        <v>95120.65</v>
      </c>
    </row>
    <row r="13" spans="1:3" x14ac:dyDescent="0.2">
      <c r="A13" t="str">
        <f>IF(B9=B13,IF(C9=C13,"Check Total OK","Check Total Error"),"Check Total Error")</f>
        <v>Check Total OK</v>
      </c>
      <c r="B13" s="168">
        <f>SUM(B10:B12)</f>
        <v>4858154.12</v>
      </c>
      <c r="C13" s="168">
        <f>SUM(C10:C12)</f>
        <v>3147340.12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1641058.42</v>
      </c>
      <c r="C18" s="166">
        <f>'DOE25'!G199+'DOE25'!G217+'DOE25'!G235+'DOE25'!G278+'DOE25'!G297+'DOE25'!G316</f>
        <v>902324.84</v>
      </c>
    </row>
    <row r="19" spans="1:3" x14ac:dyDescent="0.2">
      <c r="A19" t="s">
        <v>772</v>
      </c>
      <c r="B19" s="176">
        <v>979902.78</v>
      </c>
      <c r="C19" s="176">
        <v>515578.62</v>
      </c>
    </row>
    <row r="20" spans="1:3" x14ac:dyDescent="0.2">
      <c r="A20" t="s">
        <v>773</v>
      </c>
      <c r="B20" s="176">
        <v>451995.08</v>
      </c>
      <c r="C20" s="176">
        <f>299438.92+40695.98</f>
        <v>340134.89999999997</v>
      </c>
    </row>
    <row r="21" spans="1:3" x14ac:dyDescent="0.2">
      <c r="A21" t="s">
        <v>774</v>
      </c>
      <c r="B21" s="176">
        <v>209160.56</v>
      </c>
      <c r="C21" s="176">
        <v>46611.32</v>
      </c>
    </row>
    <row r="22" spans="1:3" x14ac:dyDescent="0.2">
      <c r="A22" t="str">
        <f>IF(B18=B22,IF(C18=C22,"Check Total OK","Check Total Error"),"Check Total Error")</f>
        <v>Check Total OK</v>
      </c>
      <c r="B22" s="168">
        <f>SUM(B19:B21)</f>
        <v>1641058.4200000002</v>
      </c>
      <c r="C22" s="168">
        <f>SUM(C19:C21)</f>
        <v>902324.84</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v>0</v>
      </c>
      <c r="C28" s="176">
        <v>0</v>
      </c>
    </row>
    <row r="29" spans="1:3" x14ac:dyDescent="0.2">
      <c r="A29" t="s">
        <v>773</v>
      </c>
      <c r="B29" s="176">
        <v>0</v>
      </c>
      <c r="C29" s="176">
        <v>0</v>
      </c>
    </row>
    <row r="30" spans="1:3" x14ac:dyDescent="0.2">
      <c r="A30" t="s">
        <v>774</v>
      </c>
      <c r="B30" s="176">
        <v>0</v>
      </c>
      <c r="C30" s="176">
        <v>0</v>
      </c>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280156.86</v>
      </c>
      <c r="C36" s="172">
        <f>'DOE25'!G201+'DOE25'!G219+'DOE25'!G237+'DOE25'!G280+'DOE25'!G299+'DOE25'!G318</f>
        <v>56329.86</v>
      </c>
    </row>
    <row r="37" spans="1:3" x14ac:dyDescent="0.2">
      <c r="A37" t="s">
        <v>772</v>
      </c>
      <c r="B37" s="176">
        <v>105089</v>
      </c>
      <c r="C37" s="176">
        <v>42937.16</v>
      </c>
    </row>
    <row r="38" spans="1:3" x14ac:dyDescent="0.2">
      <c r="A38" t="s">
        <v>773</v>
      </c>
      <c r="B38" s="176">
        <v>0</v>
      </c>
      <c r="C38" s="176"/>
    </row>
    <row r="39" spans="1:3" x14ac:dyDescent="0.2">
      <c r="A39" t="s">
        <v>774</v>
      </c>
      <c r="B39" s="176">
        <v>175067.86</v>
      </c>
      <c r="C39" s="176">
        <v>13392.7</v>
      </c>
    </row>
    <row r="40" spans="1:3" x14ac:dyDescent="0.2">
      <c r="A40" t="str">
        <f>IF(B36=B40,IF(C36=C40,"Check Total OK","Check Total Error"),"Check Total Error")</f>
        <v>Check Total OK</v>
      </c>
      <c r="B40" s="168">
        <f>SUM(B37:B39)</f>
        <v>280156.86</v>
      </c>
      <c r="C40" s="168">
        <f>SUM(C37:C39)</f>
        <v>56329.86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Epping</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12612664.68</v>
      </c>
      <c r="D5" s="19">
        <f>SUM('DOE25'!L198:L201)+SUM('DOE25'!L216:L219)+SUM('DOE25'!L234:L237)-F5-G5-H5</f>
        <v>12549619.860000001</v>
      </c>
      <c r="E5" s="179"/>
      <c r="F5" s="180"/>
      <c r="G5" s="19">
        <f>SUM('DOE25'!J198:J201)+SUM('DOE25'!J216:J219)+SUM('DOE25'!J234:J237)</f>
        <v>52968.869999999995</v>
      </c>
      <c r="H5" s="19">
        <f>SUM('DOE25'!K198:K201)+SUM('DOE25'!K216:K219)+SUM('DOE25'!K234:K237)</f>
        <v>10075.950000000001</v>
      </c>
      <c r="I5" s="191"/>
    </row>
    <row r="6" spans="1:9" x14ac:dyDescent="0.2">
      <c r="A6" s="31">
        <v>2100</v>
      </c>
      <c r="B6" t="s">
        <v>793</v>
      </c>
      <c r="C6" s="205">
        <f t="shared" si="0"/>
        <v>1637750.9299999997</v>
      </c>
      <c r="D6" s="19">
        <f>'DOE25'!L203+'DOE25'!L221+'DOE25'!L239-F6-G6-H6</f>
        <v>1636533.6099999996</v>
      </c>
      <c r="E6" s="179"/>
      <c r="F6" s="180"/>
      <c r="G6" s="19">
        <f>'DOE25'!J203+'DOE25'!J221+'DOE25'!J239</f>
        <v>769.31999999999994</v>
      </c>
      <c r="H6" s="19">
        <f>'DOE25'!K203+'DOE25'!K221+'DOE25'!K239</f>
        <v>448</v>
      </c>
      <c r="I6" s="191"/>
    </row>
    <row r="7" spans="1:9" x14ac:dyDescent="0.2">
      <c r="A7" s="31">
        <v>2200</v>
      </c>
      <c r="B7" t="s">
        <v>817</v>
      </c>
      <c r="C7" s="205">
        <f t="shared" si="0"/>
        <v>1050158.73</v>
      </c>
      <c r="D7" s="19">
        <f>'DOE25'!L204+'DOE25'!L222+'DOE25'!L240-F7-G7-H7</f>
        <v>927492.07</v>
      </c>
      <c r="E7" s="179"/>
      <c r="F7" s="180"/>
      <c r="G7" s="19">
        <f>'DOE25'!J204+'DOE25'!J222+'DOE25'!J240</f>
        <v>122296.66</v>
      </c>
      <c r="H7" s="19">
        <f>'DOE25'!K204+'DOE25'!K222+'DOE25'!K240</f>
        <v>370</v>
      </c>
      <c r="I7" s="191"/>
    </row>
    <row r="8" spans="1:9" x14ac:dyDescent="0.2">
      <c r="A8" s="31">
        <v>2300</v>
      </c>
      <c r="B8" t="s">
        <v>794</v>
      </c>
      <c r="C8" s="205">
        <f t="shared" si="0"/>
        <v>826181.53999999992</v>
      </c>
      <c r="D8" s="179"/>
      <c r="E8" s="19">
        <f>'DOE25'!L205+'DOE25'!L223+'DOE25'!L241-F8-G8-H8-D9-D11</f>
        <v>801932.50999999989</v>
      </c>
      <c r="F8" s="180"/>
      <c r="G8" s="19">
        <f>'DOE25'!J205+'DOE25'!J223+'DOE25'!J241</f>
        <v>0</v>
      </c>
      <c r="H8" s="19">
        <f>'DOE25'!K205+'DOE25'!K223+'DOE25'!K241</f>
        <v>24249.03</v>
      </c>
      <c r="I8" s="191"/>
    </row>
    <row r="9" spans="1:9" ht="14.25" x14ac:dyDescent="0.2">
      <c r="A9" s="31">
        <v>2310</v>
      </c>
      <c r="B9" s="71" t="s">
        <v>884</v>
      </c>
      <c r="C9" s="205">
        <f t="shared" si="0"/>
        <v>14665.66</v>
      </c>
      <c r="D9" s="180">
        <v>14665.66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1059924.6199999999</v>
      </c>
      <c r="D12" s="19">
        <f>'DOE25'!L206+'DOE25'!L224+'DOE25'!L242-F12-G12-H12</f>
        <v>1023727.88</v>
      </c>
      <c r="E12" s="179"/>
      <c r="F12" s="180"/>
      <c r="G12" s="19">
        <f>'DOE25'!J206+'DOE25'!J224+'DOE25'!J242</f>
        <v>682.59</v>
      </c>
      <c r="H12" s="19">
        <f>'DOE25'!K206+'DOE25'!K224+'DOE25'!K242</f>
        <v>35514.15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2066026.9880000001</v>
      </c>
      <c r="D14" s="19">
        <f>'DOE25'!L208+'DOE25'!L226+'DOE25'!L244-F14-G14-H14</f>
        <v>2055535.1080000002</v>
      </c>
      <c r="E14" s="179"/>
      <c r="F14" s="180"/>
      <c r="G14" s="19">
        <f>'DOE25'!J208+'DOE25'!J226+'DOE25'!J244</f>
        <v>10491.88</v>
      </c>
      <c r="H14" s="19">
        <f>'DOE25'!K208+'DOE25'!K226+'DOE25'!K244</f>
        <v>0</v>
      </c>
      <c r="I14" s="191"/>
    </row>
    <row r="15" spans="1:9" x14ac:dyDescent="0.2">
      <c r="A15" s="31">
        <v>2700</v>
      </c>
      <c r="B15" t="s">
        <v>796</v>
      </c>
      <c r="C15" s="205">
        <f t="shared" si="0"/>
        <v>880145.46</v>
      </c>
      <c r="D15" s="19">
        <f>'DOE25'!L209+'DOE25'!L227+'DOE25'!L245-F15-G15-H15</f>
        <v>145632.37999999989</v>
      </c>
      <c r="E15" s="179"/>
      <c r="F15" s="180">
        <f>417934.08+316579</f>
        <v>734513.08000000007</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1113329</v>
      </c>
      <c r="D25" s="179"/>
      <c r="E25" s="179"/>
      <c r="F25" s="190"/>
      <c r="G25" s="179"/>
      <c r="H25" s="179"/>
      <c r="I25" s="189">
        <f>'DOE25'!L261+'DOE25'!L262+'DOE25'!L342+'DOE25'!L343</f>
        <v>1113329</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300436.45999999996</v>
      </c>
      <c r="D29" s="211">
        <f>'DOE25'!L359+'DOE25'!L360+'DOE25'!L361-'DOE25'!I368-F29-G29-H29-F39</f>
        <v>271164.13999999996</v>
      </c>
      <c r="E29" s="179"/>
      <c r="F29" s="179"/>
      <c r="G29" s="19">
        <f>'DOE25'!J359+'DOE25'!J360+'DOE25'!J361</f>
        <v>20390.05</v>
      </c>
      <c r="H29" s="19">
        <f>'DOE25'!K359+'DOE25'!K360+'DOE25'!K361</f>
        <v>8882.27</v>
      </c>
      <c r="I29" s="191"/>
    </row>
    <row r="30" spans="1:9" x14ac:dyDescent="0.2">
      <c r="A30" s="31"/>
      <c r="C30" s="206"/>
      <c r="D30" s="19"/>
      <c r="F30" s="200"/>
      <c r="G30" s="19"/>
      <c r="H30" s="19"/>
      <c r="I30" s="191"/>
    </row>
    <row r="31" spans="1:9" x14ac:dyDescent="0.2">
      <c r="A31" s="31" t="s">
        <v>814</v>
      </c>
      <c r="B31" t="s">
        <v>813</v>
      </c>
      <c r="C31" s="205">
        <f>SUM(D31:I31)</f>
        <v>612865.1399999999</v>
      </c>
      <c r="D31" s="19">
        <f>'DOE25'!L291+'DOE25'!L310+'DOE25'!L329+'DOE25'!L334+'DOE25'!L335+'DOE25'!L336-F31-G31-H31</f>
        <v>545256.14999999991</v>
      </c>
      <c r="E31" s="179"/>
      <c r="F31" s="180"/>
      <c r="G31" s="19">
        <f>'DOE25'!J291+'DOE25'!J310+'DOE25'!J329+'DOE25'!J334+'DOE25'!J335+'DOE25'!J336</f>
        <v>55859.000000000007</v>
      </c>
      <c r="H31" s="19">
        <f>'DOE25'!K291+'DOE25'!K310+'DOE25'!K329+'DOE25'!K334+'DOE25'!K335+'DOE25'!K336</f>
        <v>11749.990000000002</v>
      </c>
      <c r="I31" s="191"/>
    </row>
    <row r="32" spans="1:9" ht="12" thickBot="1" x14ac:dyDescent="0.25">
      <c r="C32" s="206"/>
      <c r="G32" s="187"/>
      <c r="H32" s="187"/>
      <c r="I32" s="193"/>
    </row>
    <row r="33" spans="1:9" ht="12" thickTop="1" x14ac:dyDescent="0.2">
      <c r="B33" t="s">
        <v>806</v>
      </c>
      <c r="D33" s="181">
        <f t="shared" ref="D33:I33" si="1">SUM(D5:D31)</f>
        <v>19169626.857999999</v>
      </c>
      <c r="E33" s="181">
        <f t="shared" si="1"/>
        <v>801932.50999999989</v>
      </c>
      <c r="F33" s="181">
        <f t="shared" si="1"/>
        <v>734513.08000000007</v>
      </c>
      <c r="G33" s="181">
        <f t="shared" si="1"/>
        <v>263458.37</v>
      </c>
      <c r="H33" s="181">
        <f t="shared" si="1"/>
        <v>91289.390000000014</v>
      </c>
      <c r="I33" s="181">
        <f t="shared" si="1"/>
        <v>1113329</v>
      </c>
    </row>
    <row r="34" spans="1:9" ht="12" thickBot="1" x14ac:dyDescent="0.25"/>
    <row r="35" spans="1:9" ht="12" thickBot="1" x14ac:dyDescent="0.25">
      <c r="B35" s="187" t="s">
        <v>827</v>
      </c>
      <c r="D35" s="188">
        <f>E33</f>
        <v>801932.50999999989</v>
      </c>
      <c r="E35" s="184"/>
      <c r="F35" s="294" t="s">
        <v>1596</v>
      </c>
      <c r="G35" s="295"/>
      <c r="H35" s="295"/>
      <c r="I35" s="296"/>
    </row>
    <row r="36" spans="1:9" ht="12" thickTop="1" x14ac:dyDescent="0.2">
      <c r="B36" t="s">
        <v>807</v>
      </c>
      <c r="D36" s="19">
        <f>D33</f>
        <v>19169626.857999999</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108" zoomScaleNormal="75" workbookViewId="0">
      <selection activeCell="A8" sqref="A8"/>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Epping</v>
      </c>
      <c r="B2">
        <f>'DOE25'!B2</f>
        <v>165</v>
      </c>
      <c r="J2" s="223" t="s">
        <v>1799</v>
      </c>
      <c r="K2" s="308">
        <f>SUM('DOE25'!L198:L201)+SUM('DOE25'!L277:L280)</f>
        <v>6363502.120000001</v>
      </c>
      <c r="L2" s="308">
        <f>'DOE25'!L203+'DOE25'!L282</f>
        <v>750759.75999999989</v>
      </c>
      <c r="M2" s="308">
        <f>'DOE25'!L204+'DOE25'!L283</f>
        <v>632247.29</v>
      </c>
      <c r="N2" s="308">
        <f>'DOE25'!L206+'DOE25'!L285</f>
        <v>469687.02</v>
      </c>
      <c r="O2" s="316">
        <f>'Salaries-Benefits'!B10+'Salaries-Benefits'!B12+'Salaries-Benefits'!B19+'Salaries-Benefits'!B21+'Salaries-Benefits'!B28+'Salaries-Benefits'!B30+'Salaries-Benefits'!B37+'Salaries-Benefits'!B39</f>
        <v>6193310.9500000002</v>
      </c>
      <c r="P2" s="316">
        <f>'Salaries-Benefits'!B11+'Salaries-Benefits'!B20+'Salaries-Benefits'!B29+'Salaries-Benefits'!B38</f>
        <v>586058.44999999995</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10132859.620000001</v>
      </c>
      <c r="G4" s="228">
        <f>'DOE25'!L212+'DOE25'!L291</f>
        <v>10132859.618000001</v>
      </c>
      <c r="H4" s="263">
        <f>F4-G4</f>
        <v>2.0000003278255463E-3</v>
      </c>
      <c r="I4" s="313" t="str">
        <f>IF(H4=0,"","ERROR!! Please review pages 7 and 11 totals in comparison with total on this page")</f>
        <v>ERROR!! Please review pages 7 and 11 totals in comparison with total on this page</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539361.4</v>
      </c>
      <c r="E5" s="219">
        <v>0</v>
      </c>
      <c r="F5" s="231">
        <f>D5+E5</f>
        <v>539361.4</v>
      </c>
      <c r="G5" s="222"/>
      <c r="H5" s="222"/>
      <c r="J5" s="71" t="s">
        <v>1840</v>
      </c>
      <c r="K5" s="20">
        <v>539361.4</v>
      </c>
      <c r="L5" s="20">
        <v>0</v>
      </c>
      <c r="M5" s="20">
        <v>0</v>
      </c>
      <c r="N5" s="20"/>
      <c r="O5" s="20"/>
      <c r="P5" s="20"/>
      <c r="Q5" s="20"/>
    </row>
    <row r="6" spans="1:22" x14ac:dyDescent="0.2">
      <c r="A6" t="str" cm="1">
        <f t="array" ref="A6">IFERROR(INDEX('School Tables'!$A$4:$G$365,'School Tables'!$J4,3),"")</f>
        <v>Epping Elementary School</v>
      </c>
      <c r="B6" s="229">
        <f>IFERROR(VLOOKUP(A6,'School Tables'!$C$3:$D$365,2,FALSE),"")</f>
        <v>26510</v>
      </c>
      <c r="C6" s="222" t="str">
        <f>IFERROR(INDEX('School Tables'!$B$3:$B$365,MATCH('School Level Expenditures'!B6,'School Tables'!$D$3:$D$365,0)),"")</f>
        <v>Epping</v>
      </c>
      <c r="D6" s="219">
        <v>9169020.7599999998</v>
      </c>
      <c r="E6" s="219">
        <v>424477.46</v>
      </c>
      <c r="F6" s="231">
        <f>D6+E6</f>
        <v>9593498.2200000007</v>
      </c>
      <c r="G6" s="222"/>
      <c r="H6" s="222"/>
      <c r="J6" t="str">
        <f t="shared" ref="J6:J20" si="2">A6</f>
        <v>Epping Elementary School</v>
      </c>
      <c r="K6" s="20">
        <v>5824140.7199999997</v>
      </c>
      <c r="L6" s="20">
        <v>750759.76</v>
      </c>
      <c r="M6" s="307">
        <v>632247.29</v>
      </c>
      <c r="N6" s="20">
        <v>469687.02</v>
      </c>
      <c r="O6" s="20">
        <v>2925504.77</v>
      </c>
      <c r="P6" s="20">
        <v>405457.91999999998</v>
      </c>
      <c r="Q6" s="20">
        <f>15037.41+189</f>
        <v>15226.41</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ref="F7:F20" si="3">D7+E7</f>
        <v>0</v>
      </c>
      <c r="G7" s="222"/>
      <c r="H7" s="222"/>
      <c r="J7" t="str">
        <f t="shared" si="2"/>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3"/>
        <v>0</v>
      </c>
      <c r="G8" s="222"/>
      <c r="H8" s="222"/>
      <c r="J8" t="str">
        <f t="shared" si="2"/>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3"/>
        <v>0</v>
      </c>
      <c r="G9" s="222"/>
      <c r="H9" s="222"/>
      <c r="J9" t="str">
        <f t="shared" si="2"/>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3"/>
        <v>0</v>
      </c>
      <c r="G10" s="222"/>
      <c r="H10" s="222"/>
      <c r="J10" t="str">
        <f t="shared" si="2"/>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3"/>
        <v>0</v>
      </c>
      <c r="G11" s="222"/>
      <c r="H11" s="222"/>
      <c r="J11" t="str">
        <f t="shared" si="2"/>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3"/>
        <v>0</v>
      </c>
      <c r="G12" s="222"/>
      <c r="H12" s="222"/>
      <c r="J12" t="str">
        <f t="shared" si="2"/>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3"/>
        <v>0</v>
      </c>
      <c r="G13" s="222"/>
      <c r="H13" s="222"/>
      <c r="J13" t="str">
        <f t="shared" si="2"/>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3"/>
        <v>0</v>
      </c>
      <c r="G14" s="222"/>
      <c r="H14" s="222"/>
      <c r="J14" t="str">
        <f t="shared" si="2"/>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3"/>
        <v>0</v>
      </c>
      <c r="G15" s="222"/>
      <c r="H15" s="222"/>
      <c r="J15" t="str">
        <f t="shared" si="2"/>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3"/>
        <v>0</v>
      </c>
      <c r="G16" s="222"/>
      <c r="H16" s="222"/>
      <c r="J16" t="str">
        <f t="shared" si="2"/>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3"/>
        <v>0</v>
      </c>
      <c r="G17" s="222"/>
      <c r="H17" s="222"/>
      <c r="J17" t="str">
        <f t="shared" si="2"/>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3"/>
        <v>0</v>
      </c>
      <c r="G18" s="222"/>
      <c r="H18" s="222"/>
      <c r="J18" t="str">
        <f t="shared" si="2"/>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3"/>
        <v>0</v>
      </c>
      <c r="G19" s="222"/>
      <c r="H19" s="222"/>
      <c r="J19" t="str">
        <f t="shared" si="2"/>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3"/>
        <v>0</v>
      </c>
      <c r="G20" s="222"/>
      <c r="H20" s="222"/>
      <c r="J20" t="str">
        <f t="shared" si="2"/>
        <v/>
      </c>
      <c r="K20" s="20"/>
      <c r="L20" s="20"/>
      <c r="M20" s="20"/>
      <c r="N20" s="20"/>
      <c r="O20" s="20"/>
      <c r="P20" s="20"/>
      <c r="Q20" s="20"/>
    </row>
    <row r="21" spans="1:17" ht="12" thickBot="1" x14ac:dyDescent="0.25">
      <c r="B21" s="230"/>
      <c r="C21" s="216"/>
      <c r="D21" s="261">
        <f>SUM(D5:D20)</f>
        <v>9708382.1600000001</v>
      </c>
      <c r="E21" s="261">
        <f>SUM(E5:E20)</f>
        <v>424477.46</v>
      </c>
      <c r="F21" s="216"/>
      <c r="G21" s="216"/>
      <c r="H21" s="216"/>
      <c r="K21" s="262">
        <f t="shared" ref="K21:Q21" si="4">SUM(K5:K20)</f>
        <v>6363502.1200000001</v>
      </c>
      <c r="L21" s="262">
        <f t="shared" si="4"/>
        <v>750759.76</v>
      </c>
      <c r="M21" s="262">
        <f t="shared" si="4"/>
        <v>632247.29</v>
      </c>
      <c r="N21" s="262">
        <f t="shared" si="4"/>
        <v>469687.02</v>
      </c>
      <c r="O21" s="262">
        <f t="shared" si="4"/>
        <v>2925504.77</v>
      </c>
      <c r="P21" s="262">
        <f t="shared" si="4"/>
        <v>405457.91999999998</v>
      </c>
      <c r="Q21" s="262">
        <f t="shared" si="4"/>
        <v>15226.41</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2949092.85</v>
      </c>
      <c r="L23" s="19">
        <f>'DOE25'!L221+'DOE25'!L301</f>
        <v>307175.71999999997</v>
      </c>
      <c r="M23" s="19">
        <f>'DOE25'!L222+'DOE25'!L302</f>
        <v>255601.85</v>
      </c>
      <c r="N23" s="19">
        <f>'DOE25'!L224+'DOE25'!L304</f>
        <v>286787.58000000007</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4597691.55</v>
      </c>
      <c r="G25" s="228">
        <f>'DOE25'!L230+'DOE25'!L310</f>
        <v>4597691.5500000007</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Epping Middle School</v>
      </c>
      <c r="B27" s="229">
        <f>IFERROR(VLOOKUP(A27,'School Tables'!$N$4:$O$100,2,FALSE),"")</f>
        <v>26505</v>
      </c>
      <c r="C27" s="222" t="str">
        <f>IFERROR(INDEX('School Tables'!$M$4:$M$100,MATCH('School Level Expenditures'!A27,'School Tables'!$N$4:$N$100,0)),"")</f>
        <v>Epping</v>
      </c>
      <c r="D27" s="219">
        <v>4531465.46</v>
      </c>
      <c r="E27" s="219">
        <v>66226.09</v>
      </c>
      <c r="F27" s="231">
        <f t="shared" ref="F27:F33" si="6">D27+E27</f>
        <v>4597691.55</v>
      </c>
      <c r="G27" s="222"/>
      <c r="H27" s="222"/>
      <c r="J27" t="str">
        <f t="shared" ref="J27:J33" si="7">A27</f>
        <v>Epping Middle School</v>
      </c>
      <c r="K27" s="20">
        <v>2949092.85</v>
      </c>
      <c r="L27" s="20">
        <v>307175.71999999997</v>
      </c>
      <c r="M27" s="307">
        <v>255601.85</v>
      </c>
      <c r="N27" s="20">
        <v>286787.58</v>
      </c>
      <c r="O27" s="20">
        <v>1519765.25</v>
      </c>
      <c r="P27" s="20">
        <v>86388.9</v>
      </c>
      <c r="Q27" s="20">
        <v>7862.49</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4531465.46</v>
      </c>
      <c r="E34" s="261">
        <f>SUM(E26:E33)</f>
        <v>66226.09</v>
      </c>
      <c r="F34" s="216"/>
      <c r="G34" s="216"/>
      <c r="H34" s="216"/>
      <c r="K34" s="262">
        <f t="shared" ref="K34:Q34" si="8">SUM(K26:K33)</f>
        <v>2949092.85</v>
      </c>
      <c r="L34" s="262">
        <f t="shared" si="8"/>
        <v>307175.71999999997</v>
      </c>
      <c r="M34" s="262">
        <f t="shared" si="8"/>
        <v>255601.85</v>
      </c>
      <c r="N34" s="262">
        <f t="shared" si="8"/>
        <v>286787.58</v>
      </c>
      <c r="O34" s="262">
        <f t="shared" si="8"/>
        <v>1519765.25</v>
      </c>
      <c r="P34" s="262">
        <f t="shared" si="8"/>
        <v>86388.9</v>
      </c>
      <c r="Q34" s="262">
        <f t="shared" si="8"/>
        <v>7862.49</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3754530.3400000003</v>
      </c>
      <c r="L36" s="19">
        <f>'DOE25'!L239+'DOE25'!L320</f>
        <v>579815.44999999984</v>
      </c>
      <c r="M36" s="19">
        <f>'DOE25'!L240+'DOE25'!L321</f>
        <v>277886.57</v>
      </c>
      <c r="N36" s="19">
        <f>'DOE25'!L242+'DOE25'!L323</f>
        <v>303450.02</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6029832.5800000001</v>
      </c>
      <c r="G38" s="228">
        <f>'DOE25'!L248+'DOE25'!L329</f>
        <v>6029832.5800000001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565152.01</v>
      </c>
      <c r="E39" s="219"/>
      <c r="F39" s="231">
        <f t="shared" ref="F39:F44" si="10">D39+E39</f>
        <v>565152.01</v>
      </c>
      <c r="G39" s="222"/>
      <c r="H39" s="222"/>
      <c r="J39" s="71" t="s">
        <v>1840</v>
      </c>
      <c r="K39" s="315">
        <v>565152.01</v>
      </c>
      <c r="L39" s="315"/>
      <c r="M39" s="315"/>
      <c r="N39" s="315"/>
      <c r="O39" s="315"/>
      <c r="P39" s="315"/>
      <c r="Q39" s="315"/>
    </row>
    <row r="40" spans="1:17" x14ac:dyDescent="0.2">
      <c r="A40" t="str" cm="1">
        <f t="array" ref="A40">IFERROR(INDEX('School Tables'!$W$4:$AC$120,'School Tables'!$AF4,3),"")</f>
        <v xml:space="preserve">Epping High School </v>
      </c>
      <c r="B40" s="229">
        <f>IFERROR(VLOOKUP(A40,'School Tables'!$Y$4:$Z$120,2,FALSE),"")</f>
        <v>20515</v>
      </c>
      <c r="C40" s="222" t="str">
        <f>IFERROR(INDEX('School Tables'!$X$4:$X$120,MATCH('School Level Expenditures'!A40,'School Tables'!$Y$4:$Y$120,0)),"")</f>
        <v>Epping</v>
      </c>
      <c r="D40" s="219">
        <v>4957009.58</v>
      </c>
      <c r="E40" s="219">
        <v>507670.99</v>
      </c>
      <c r="F40" s="231">
        <f t="shared" si="10"/>
        <v>5464680.5700000003</v>
      </c>
      <c r="G40" s="222"/>
      <c r="H40" s="222"/>
      <c r="J40" t="str">
        <f>A40</f>
        <v xml:space="preserve">Epping High School </v>
      </c>
      <c r="K40" s="20">
        <v>3189378.33</v>
      </c>
      <c r="L40" s="20">
        <v>579815.44999999995</v>
      </c>
      <c r="M40" s="307">
        <v>277886.57</v>
      </c>
      <c r="N40" s="20">
        <v>303450.02</v>
      </c>
      <c r="O40" s="20">
        <v>1748040.93</v>
      </c>
      <c r="P40" s="20">
        <v>94211.63</v>
      </c>
      <c r="Q40" s="20">
        <v>10955.2</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5522161.5899999999</v>
      </c>
      <c r="E45" s="262">
        <f>SUM(E39:E44)</f>
        <v>507670.99</v>
      </c>
      <c r="K45" s="262">
        <f t="shared" ref="K45:Q45" si="11">SUM(K39:K44)</f>
        <v>3754530.34</v>
      </c>
      <c r="L45" s="262">
        <f t="shared" si="11"/>
        <v>579815.44999999995</v>
      </c>
      <c r="M45" s="262">
        <f t="shared" si="11"/>
        <v>277886.57</v>
      </c>
      <c r="N45" s="262">
        <f t="shared" si="11"/>
        <v>303450.02</v>
      </c>
      <c r="O45" s="262">
        <f t="shared" si="11"/>
        <v>1748040.93</v>
      </c>
      <c r="P45" s="262">
        <f t="shared" si="11"/>
        <v>94211.63</v>
      </c>
      <c r="Q45" s="262">
        <f t="shared" si="11"/>
        <v>10955.2</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Epping</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1856843.51</v>
      </c>
      <c r="D8" s="73">
        <f>'DOE25'!G9</f>
        <v>756526.54</v>
      </c>
      <c r="E8" s="73">
        <f>'DOE25'!H9</f>
        <v>0</v>
      </c>
      <c r="F8" s="73">
        <f>'DOE25'!I9</f>
        <v>0</v>
      </c>
      <c r="G8" s="73">
        <f>'DOE25'!J9</f>
        <v>0</v>
      </c>
      <c r="H8" s="13">
        <f>SUM(C8:G8)</f>
        <v>2613370.0499999998</v>
      </c>
      <c r="I8" s="90"/>
    </row>
    <row r="9" spans="1:9" x14ac:dyDescent="0.2">
      <c r="A9" s="1" t="s">
        <v>140</v>
      </c>
      <c r="B9" s="6">
        <v>110</v>
      </c>
      <c r="C9" s="73">
        <f>'DOE25'!F10</f>
        <v>0</v>
      </c>
      <c r="D9" s="73">
        <f>'DOE25'!G10</f>
        <v>0</v>
      </c>
      <c r="E9" s="73">
        <f>'DOE25'!H10</f>
        <v>0</v>
      </c>
      <c r="F9" s="73">
        <f>'DOE25'!I10</f>
        <v>0</v>
      </c>
      <c r="G9" s="73">
        <f>'DOE25'!J10</f>
        <v>410162.38</v>
      </c>
      <c r="H9" s="13">
        <f t="shared" ref="H9:H18" si="0">SUM(C9:G9)</f>
        <v>410162.38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8211.2000000000007</v>
      </c>
      <c r="D12" s="73">
        <f>'DOE25'!G13</f>
        <v>-567.34</v>
      </c>
      <c r="E12" s="73">
        <f>'DOE25'!H13</f>
        <v>191336.81</v>
      </c>
      <c r="F12" s="73">
        <f>'DOE25'!I13</f>
        <v>0</v>
      </c>
      <c r="G12" s="73">
        <f>'DOE25'!J13</f>
        <v>0</v>
      </c>
      <c r="H12" s="13">
        <f t="shared" si="0"/>
        <v>198980.66999999998</v>
      </c>
      <c r="I12" s="90"/>
    </row>
    <row r="13" spans="1:9" x14ac:dyDescent="0.2">
      <c r="A13" s="1" t="s">
        <v>144</v>
      </c>
      <c r="B13" s="6">
        <v>150</v>
      </c>
      <c r="C13" s="73">
        <f>'DOE25'!F14</f>
        <v>-10622.2</v>
      </c>
      <c r="D13" s="73">
        <f>'DOE25'!G14</f>
        <v>-0.47</v>
      </c>
      <c r="E13" s="73">
        <f>'DOE25'!H14</f>
        <v>0</v>
      </c>
      <c r="F13" s="73">
        <f>'DOE25'!I14</f>
        <v>0</v>
      </c>
      <c r="G13" s="73">
        <f>'DOE25'!J14</f>
        <v>0</v>
      </c>
      <c r="H13" s="13">
        <f t="shared" si="0"/>
        <v>-10622.67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16209.79</v>
      </c>
      <c r="E15" s="73">
        <f>'DOE25'!H16</f>
        <v>0</v>
      </c>
      <c r="F15" s="73">
        <f>'DOE25'!I16</f>
        <v>0</v>
      </c>
      <c r="G15" s="23" t="s">
        <v>288</v>
      </c>
      <c r="H15" s="13">
        <f t="shared" si="0"/>
        <v>16209.79</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1854432.51</v>
      </c>
      <c r="D18" s="38">
        <f>SUM(D8:D17)</f>
        <v>772168.52000000014</v>
      </c>
      <c r="E18" s="38">
        <f>SUM(E8:E17)</f>
        <v>191336.81</v>
      </c>
      <c r="F18" s="38">
        <f>SUM(F8:F17)</f>
        <v>0</v>
      </c>
      <c r="G18" s="38">
        <f>SUM(G8:G17)</f>
        <v>410162.38</v>
      </c>
      <c r="H18" s="38">
        <f t="shared" si="0"/>
        <v>3228100.22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-806395.72</v>
      </c>
      <c r="D21" s="73">
        <f>'DOE25'!G22</f>
        <v>0</v>
      </c>
      <c r="E21" s="73">
        <f>'DOE25'!H22</f>
        <v>0</v>
      </c>
      <c r="F21" s="73">
        <f>'DOE25'!I22</f>
        <v>0</v>
      </c>
      <c r="G21" s="73">
        <f>'DOE25'!J22</f>
        <v>0</v>
      </c>
      <c r="H21" s="13">
        <f t="shared" ref="H21:H31" si="1">SUM(C21:G21)</f>
        <v>-806395.72</v>
      </c>
      <c r="I21" s="90"/>
    </row>
    <row r="22" spans="1:9" x14ac:dyDescent="0.2">
      <c r="A22" s="1" t="s">
        <v>151</v>
      </c>
      <c r="B22" s="6">
        <v>410</v>
      </c>
      <c r="C22" s="73">
        <f>'DOE25'!F23</f>
        <v>0</v>
      </c>
      <c r="D22" s="73">
        <f>'DOE25'!G23</f>
        <v>0</v>
      </c>
      <c r="E22" s="73">
        <f>'DOE25'!H23</f>
        <v>204368.36</v>
      </c>
      <c r="F22" s="73">
        <f>'DOE25'!I23</f>
        <v>0</v>
      </c>
      <c r="G22" s="73">
        <f>'DOE25'!J23</f>
        <v>0</v>
      </c>
      <c r="H22" s="13">
        <f t="shared" si="1"/>
        <v>204368.36</v>
      </c>
      <c r="I22" s="90"/>
    </row>
    <row r="23" spans="1:9" x14ac:dyDescent="0.2">
      <c r="A23" s="1" t="s">
        <v>152</v>
      </c>
      <c r="B23" s="6">
        <v>420</v>
      </c>
      <c r="C23" s="73">
        <f>'DOE25'!F24</f>
        <v>0</v>
      </c>
      <c r="D23" s="73">
        <f>'DOE25'!G24</f>
        <v>32343.850000000002</v>
      </c>
      <c r="E23" s="73">
        <f>'DOE25'!H24</f>
        <v>-32.9</v>
      </c>
      <c r="F23" s="73">
        <f>'DOE25'!I24</f>
        <v>0</v>
      </c>
      <c r="G23" s="73">
        <f>'DOE25'!J24</f>
        <v>0</v>
      </c>
      <c r="H23" s="13">
        <f t="shared" si="1"/>
        <v>32310.95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103716.86</v>
      </c>
      <c r="D27" s="73">
        <f>'DOE25'!G28</f>
        <v>0.44</v>
      </c>
      <c r="E27" s="73">
        <f>'DOE25'!H28</f>
        <v>0</v>
      </c>
      <c r="F27" s="73">
        <f>'DOE25'!I28</f>
        <v>0</v>
      </c>
      <c r="G27" s="23" t="s">
        <v>288</v>
      </c>
      <c r="H27" s="13">
        <f t="shared" si="1"/>
        <v>103717.3</v>
      </c>
      <c r="I27" s="90"/>
    </row>
    <row r="28" spans="1:9" x14ac:dyDescent="0.2">
      <c r="A28" s="1" t="s">
        <v>157</v>
      </c>
      <c r="B28" s="6">
        <v>470</v>
      </c>
      <c r="C28" s="73">
        <f>'DOE25'!F29</f>
        <v>983349.1</v>
      </c>
      <c r="D28" s="73">
        <f>'DOE25'!G29</f>
        <v>0</v>
      </c>
      <c r="E28" s="73">
        <f>'DOE25'!H29</f>
        <v>0</v>
      </c>
      <c r="F28" s="73">
        <f>'DOE25'!I29</f>
        <v>0</v>
      </c>
      <c r="G28" s="23" t="s">
        <v>288</v>
      </c>
      <c r="H28" s="13">
        <f t="shared" si="1"/>
        <v>983349.1</v>
      </c>
      <c r="I28" s="90"/>
    </row>
    <row r="29" spans="1:9" x14ac:dyDescent="0.2">
      <c r="A29" s="1" t="s">
        <v>158</v>
      </c>
      <c r="B29" s="6">
        <v>480</v>
      </c>
      <c r="C29" s="73">
        <f>'DOE25'!F30</f>
        <v>0</v>
      </c>
      <c r="D29" s="73">
        <f>'DOE25'!G30</f>
        <v>-637.91</v>
      </c>
      <c r="E29" s="73">
        <f>'DOE25'!H30</f>
        <v>513</v>
      </c>
      <c r="F29" s="73">
        <f>'DOE25'!I30</f>
        <v>0</v>
      </c>
      <c r="G29" s="23" t="s">
        <v>288</v>
      </c>
      <c r="H29" s="13">
        <f t="shared" si="1"/>
        <v>-124.90999999999997</v>
      </c>
      <c r="I29" s="90"/>
    </row>
    <row r="30" spans="1:9" ht="12" thickBot="1" x14ac:dyDescent="0.25">
      <c r="A30" s="1" t="s">
        <v>159</v>
      </c>
      <c r="B30" s="56">
        <v>490</v>
      </c>
      <c r="C30" s="73">
        <f>'DOE25'!F31</f>
        <v>28093.52</v>
      </c>
      <c r="D30" s="73">
        <f>'DOE25'!G31</f>
        <v>623181.89</v>
      </c>
      <c r="E30" s="73">
        <f>'DOE25'!H31</f>
        <v>-13511.65</v>
      </c>
      <c r="F30" s="73">
        <f>'DOE25'!I31</f>
        <v>0</v>
      </c>
      <c r="G30" s="73">
        <f>'DOE25'!J31</f>
        <v>0</v>
      </c>
      <c r="H30" s="13">
        <f t="shared" si="1"/>
        <v>637763.76</v>
      </c>
      <c r="I30" s="90"/>
    </row>
    <row r="31" spans="1:9" ht="12" thickTop="1" x14ac:dyDescent="0.2">
      <c r="A31" s="35" t="s">
        <v>160</v>
      </c>
      <c r="B31" s="2"/>
      <c r="C31" s="38">
        <f>SUM(C21:C30)</f>
        <v>308763.76</v>
      </c>
      <c r="D31" s="38">
        <f>SUM(D21:D30)</f>
        <v>654888.27</v>
      </c>
      <c r="E31" s="38">
        <f>SUM(E21:E30)</f>
        <v>191336.81</v>
      </c>
      <c r="F31" s="38">
        <f>SUM(F21:F30)</f>
        <v>0</v>
      </c>
      <c r="G31" s="38">
        <f>SUM(G21:G30)</f>
        <v>0</v>
      </c>
      <c r="H31" s="38">
        <f t="shared" si="1"/>
        <v>1154988.8400000001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93189.25</v>
      </c>
      <c r="E39" s="23" t="s">
        <v>288</v>
      </c>
      <c r="F39" s="23" t="s">
        <v>288</v>
      </c>
      <c r="G39" s="23" t="s">
        <v>288</v>
      </c>
      <c r="H39" s="13">
        <f t="shared" si="2"/>
        <v>93189.25</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350000</v>
      </c>
      <c r="D43" s="73">
        <f>'DOE25'!G44</f>
        <v>0</v>
      </c>
      <c r="E43" s="73">
        <f>'DOE25'!H44</f>
        <v>0</v>
      </c>
      <c r="F43" s="73">
        <f>'DOE25'!I44</f>
        <v>0</v>
      </c>
      <c r="G43" s="23" t="s">
        <v>288</v>
      </c>
      <c r="H43" s="13">
        <f t="shared" si="2"/>
        <v>350000</v>
      </c>
      <c r="I43" s="90"/>
    </row>
    <row r="44" spans="1:9" x14ac:dyDescent="0.2">
      <c r="A44" s="1" t="s">
        <v>860</v>
      </c>
      <c r="B44" s="6">
        <v>753</v>
      </c>
      <c r="C44" s="73">
        <f>'DOE25'!F45</f>
        <v>276008.28000000003</v>
      </c>
      <c r="D44" s="73">
        <f>'DOE25'!G45</f>
        <v>0</v>
      </c>
      <c r="E44" s="73">
        <f>'DOE25'!H45</f>
        <v>0</v>
      </c>
      <c r="F44" s="73">
        <f>'DOE25'!I45</f>
        <v>0</v>
      </c>
      <c r="G44" s="73">
        <f>'DOE25'!J45</f>
        <v>0</v>
      </c>
      <c r="H44" s="13">
        <f t="shared" si="2"/>
        <v>276008.28000000003</v>
      </c>
      <c r="I44" s="90"/>
    </row>
    <row r="45" spans="1:9" x14ac:dyDescent="0.2">
      <c r="A45" s="1" t="s">
        <v>876</v>
      </c>
      <c r="B45" s="6"/>
      <c r="C45" s="73">
        <f>'DOE25'!F46</f>
        <v>440763</v>
      </c>
      <c r="D45" s="23" t="s">
        <v>288</v>
      </c>
      <c r="E45" s="23" t="s">
        <v>288</v>
      </c>
      <c r="F45" s="23" t="s">
        <v>288</v>
      </c>
      <c r="G45" s="23" t="s">
        <v>288</v>
      </c>
      <c r="H45" s="13">
        <f t="shared" si="2"/>
        <v>440763</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24091</v>
      </c>
      <c r="E47" s="73">
        <f>'DOE25'!H48</f>
        <v>0</v>
      </c>
      <c r="F47" s="73">
        <f>'DOE25'!I48</f>
        <v>0</v>
      </c>
      <c r="G47" s="73">
        <f>'DOE25'!J48</f>
        <v>410162.38</v>
      </c>
      <c r="H47" s="13">
        <f t="shared" si="2"/>
        <v>434253.38</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478897.47</v>
      </c>
      <c r="D49" s="23" t="s">
        <v>288</v>
      </c>
      <c r="E49" s="23" t="s">
        <v>288</v>
      </c>
      <c r="F49" s="23" t="s">
        <v>288</v>
      </c>
      <c r="G49" s="23" t="s">
        <v>288</v>
      </c>
      <c r="H49" s="13">
        <f t="shared" si="2"/>
        <v>478897.47</v>
      </c>
      <c r="I49" s="90"/>
    </row>
    <row r="50" spans="1:9" ht="12.75" thickTop="1" thickBot="1" x14ac:dyDescent="0.25">
      <c r="A50" s="35" t="s">
        <v>880</v>
      </c>
      <c r="B50" s="44"/>
      <c r="C50" s="38">
        <f>SUM(C34:C49)</f>
        <v>1545668.75</v>
      </c>
      <c r="D50" s="38">
        <f>SUM(D34:D49)</f>
        <v>117280.25</v>
      </c>
      <c r="E50" s="38">
        <f>SUM(E34:E49)</f>
        <v>0</v>
      </c>
      <c r="F50" s="38">
        <f>SUM(F34:F49)</f>
        <v>0</v>
      </c>
      <c r="G50" s="38">
        <f>SUM(G34:G49)</f>
        <v>410162.38</v>
      </c>
      <c r="H50" s="38">
        <f t="shared" si="2"/>
        <v>2073111.38</v>
      </c>
      <c r="I50" s="90"/>
    </row>
    <row r="51" spans="1:9" ht="12" thickTop="1" x14ac:dyDescent="0.2">
      <c r="A51" s="35" t="s">
        <v>881</v>
      </c>
      <c r="B51" s="2"/>
      <c r="C51" s="38">
        <f>C50+C31</f>
        <v>1854432.51</v>
      </c>
      <c r="D51" s="38">
        <f>D50+D31</f>
        <v>772168.52</v>
      </c>
      <c r="E51" s="38">
        <f>E50+E31</f>
        <v>191336.81</v>
      </c>
      <c r="F51" s="38">
        <f>F50+F31</f>
        <v>0</v>
      </c>
      <c r="G51" s="38">
        <f>G50+G31</f>
        <v>410162.38</v>
      </c>
      <c r="H51" s="38">
        <f t="shared" si="2"/>
        <v>3228100.22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15909900</v>
      </c>
      <c r="D56" s="73">
        <f>'DOE25'!G60</f>
        <v>0</v>
      </c>
      <c r="E56" s="73">
        <f>'DOE25'!H60</f>
        <v>0</v>
      </c>
      <c r="F56" s="73">
        <f>'DOE25'!I60</f>
        <v>0</v>
      </c>
      <c r="G56" s="73">
        <f>'DOE25'!J60</f>
        <v>0</v>
      </c>
      <c r="H56" s="13">
        <f t="shared" ref="H56:H63" si="3">SUM(C56:G56)</f>
        <v>15909900</v>
      </c>
      <c r="I56"/>
    </row>
    <row r="57" spans="1:9" x14ac:dyDescent="0.2">
      <c r="A57" s="1" t="s">
        <v>164</v>
      </c>
      <c r="B57" s="6" t="s">
        <v>165</v>
      </c>
      <c r="C57" s="73">
        <f>'DOE25'!F79</f>
        <v>79499.45</v>
      </c>
      <c r="D57" s="23" t="s">
        <v>288</v>
      </c>
      <c r="E57" s="73">
        <f>'DOE25'!H79</f>
        <v>0</v>
      </c>
      <c r="F57" s="23" t="s">
        <v>288</v>
      </c>
      <c r="G57" s="23" t="s">
        <v>288</v>
      </c>
      <c r="H57" s="13">
        <f t="shared" si="3"/>
        <v>79499.45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v>
      </c>
      <c r="D59" s="73">
        <f>'DOE25'!G96</f>
        <v>60756.83</v>
      </c>
      <c r="E59" s="73">
        <f>'DOE25'!H96</f>
        <v>0</v>
      </c>
      <c r="F59" s="73">
        <f>'DOE25'!I96</f>
        <v>0</v>
      </c>
      <c r="G59" s="73">
        <f>'DOE25'!J96</f>
        <v>10162.379999999999</v>
      </c>
      <c r="H59" s="13">
        <f t="shared" si="3"/>
        <v>70921.210000000006</v>
      </c>
      <c r="I59"/>
    </row>
    <row r="60" spans="1:9" x14ac:dyDescent="0.2">
      <c r="A60" s="1" t="s">
        <v>170</v>
      </c>
      <c r="B60" s="22" t="s">
        <v>171</v>
      </c>
      <c r="C60" s="23" t="s">
        <v>288</v>
      </c>
      <c r="D60" s="73">
        <f>'DOE25'!G97</f>
        <v>306324.94</v>
      </c>
      <c r="E60" s="23" t="s">
        <v>288</v>
      </c>
      <c r="F60" s="23" t="s">
        <v>288</v>
      </c>
      <c r="G60" s="23" t="s">
        <v>288</v>
      </c>
      <c r="H60" s="13">
        <f t="shared" si="3"/>
        <v>306324.94</v>
      </c>
      <c r="I60"/>
    </row>
    <row r="61" spans="1:9" ht="12" thickBot="1" x14ac:dyDescent="0.25">
      <c r="A61" s="1" t="s">
        <v>172</v>
      </c>
      <c r="B61" s="22" t="s">
        <v>173</v>
      </c>
      <c r="C61" s="73">
        <f>SUM('DOE25'!F98:F110)</f>
        <v>191333.97</v>
      </c>
      <c r="D61" s="73">
        <f>SUM('DOE25'!G98:G110)</f>
        <v>637.91</v>
      </c>
      <c r="E61" s="73">
        <f>SUM('DOE25'!H98:H110)</f>
        <v>0</v>
      </c>
      <c r="F61" s="73">
        <f>SUM('DOE25'!I98:I110)</f>
        <v>0</v>
      </c>
      <c r="G61" s="73">
        <f>SUM('DOE25'!J98:J110)</f>
        <v>0</v>
      </c>
      <c r="H61" s="13">
        <f t="shared" si="3"/>
        <v>191971.88</v>
      </c>
      <c r="I61"/>
    </row>
    <row r="62" spans="1:9" ht="12.75" thickTop="1" thickBot="1" x14ac:dyDescent="0.25">
      <c r="A62" s="28" t="s">
        <v>174</v>
      </c>
      <c r="B62" s="6"/>
      <c r="C62" s="93">
        <f>SUM(C57:C61)</f>
        <v>270835.42</v>
      </c>
      <c r="D62" s="93">
        <f>SUM(D57:D61)</f>
        <v>367719.67999999999</v>
      </c>
      <c r="E62" s="93">
        <f>SUM(E57:E61)</f>
        <v>0</v>
      </c>
      <c r="F62" s="93">
        <f>SUM(F57:F61)</f>
        <v>0</v>
      </c>
      <c r="G62" s="93">
        <f>SUM(G57:G61)</f>
        <v>10162.379999999999</v>
      </c>
      <c r="H62" s="13">
        <f t="shared" si="3"/>
        <v>648717.48</v>
      </c>
      <c r="I62"/>
    </row>
    <row r="63" spans="1:9" ht="12" thickTop="1" x14ac:dyDescent="0.2">
      <c r="A63" s="28" t="s">
        <v>175</v>
      </c>
      <c r="B63" s="6"/>
      <c r="C63" s="21">
        <f>C56+C62</f>
        <v>16180735.42</v>
      </c>
      <c r="D63" s="21">
        <f>D56+D62</f>
        <v>367719.67999999999</v>
      </c>
      <c r="E63" s="21">
        <f>E56+E62</f>
        <v>0</v>
      </c>
      <c r="F63" s="21">
        <f>F56+F62</f>
        <v>0</v>
      </c>
      <c r="G63" s="21">
        <f>G56+G62</f>
        <v>10162.379999999999</v>
      </c>
      <c r="H63" s="13">
        <f t="shared" si="3"/>
        <v>16558617.48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3186718.33</v>
      </c>
      <c r="D66" s="23" t="s">
        <v>288</v>
      </c>
      <c r="E66" s="23" t="s">
        <v>288</v>
      </c>
      <c r="F66" s="23" t="s">
        <v>288</v>
      </c>
      <c r="G66" s="23" t="s">
        <v>288</v>
      </c>
      <c r="H66" s="13">
        <f t="shared" ref="H66:H81" si="4">SUM(C66:G66)</f>
        <v>3186718.33</v>
      </c>
      <c r="I66"/>
    </row>
    <row r="67" spans="1:9" x14ac:dyDescent="0.2">
      <c r="A67" s="1" t="s">
        <v>767</v>
      </c>
      <c r="B67" s="6">
        <v>3112</v>
      </c>
      <c r="C67" s="73">
        <f>'DOE25'!F118</f>
        <v>1720636</v>
      </c>
      <c r="D67" s="23"/>
      <c r="E67" s="23"/>
      <c r="F67" s="23"/>
      <c r="G67" s="23"/>
      <c r="H67" s="13">
        <f t="shared" si="4"/>
        <v>1720636</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3281.99</v>
      </c>
      <c r="D69" s="73">
        <f>'DOE25'!G120</f>
        <v>0</v>
      </c>
      <c r="E69" s="73">
        <f>'DOE25'!H120</f>
        <v>0</v>
      </c>
      <c r="F69" s="73">
        <f>'DOE25'!I120</f>
        <v>0</v>
      </c>
      <c r="G69" s="73">
        <f>'DOE25'!J120</f>
        <v>0</v>
      </c>
      <c r="H69" s="13">
        <f t="shared" si="4"/>
        <v>3281.99</v>
      </c>
      <c r="I69"/>
    </row>
    <row r="70" spans="1:9" ht="12" thickTop="1" x14ac:dyDescent="0.2">
      <c r="A70" s="28" t="s">
        <v>252</v>
      </c>
      <c r="B70" s="2"/>
      <c r="C70" s="97">
        <f>SUM(C66:C69)</f>
        <v>4910636.32</v>
      </c>
      <c r="D70" s="97">
        <f>D69</f>
        <v>0</v>
      </c>
      <c r="E70" s="97">
        <f>E69</f>
        <v>0</v>
      </c>
      <c r="F70" s="97">
        <f>F69</f>
        <v>0</v>
      </c>
      <c r="G70" s="97">
        <f>G69</f>
        <v>0</v>
      </c>
      <c r="H70" s="13">
        <f t="shared" si="4"/>
        <v>4910636.32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341874.61</v>
      </c>
      <c r="D72" s="23" t="s">
        <v>288</v>
      </c>
      <c r="E72" s="23" t="s">
        <v>288</v>
      </c>
      <c r="F72" s="73">
        <f>'DOE25'!I123</f>
        <v>0</v>
      </c>
      <c r="G72" s="23" t="s">
        <v>288</v>
      </c>
      <c r="H72" s="13">
        <f t="shared" si="4"/>
        <v>341874.61</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134298.54999999999</v>
      </c>
      <c r="D75" s="23" t="s">
        <v>288</v>
      </c>
      <c r="E75" s="23" t="s">
        <v>288</v>
      </c>
      <c r="F75" s="23" t="s">
        <v>288</v>
      </c>
      <c r="G75" s="23" t="s">
        <v>288</v>
      </c>
      <c r="H75" s="13">
        <f t="shared" si="4"/>
        <v>134298.54999999999</v>
      </c>
      <c r="I75"/>
    </row>
    <row r="76" spans="1:9" x14ac:dyDescent="0.2">
      <c r="A76" s="1" t="s">
        <v>257</v>
      </c>
      <c r="B76" s="6" t="s">
        <v>179</v>
      </c>
      <c r="C76" s="73">
        <f>SUM('DOE25'!F127:F130)</f>
        <v>15504</v>
      </c>
      <c r="D76" s="23" t="s">
        <v>288</v>
      </c>
      <c r="E76" s="73">
        <f>SUM('DOE25'!H127:H130)</f>
        <v>0</v>
      </c>
      <c r="F76" s="73">
        <f>SUM('DOE25'!I127:I130)</f>
        <v>0</v>
      </c>
      <c r="G76" s="23" t="s">
        <v>288</v>
      </c>
      <c r="H76" s="13">
        <f t="shared" si="4"/>
        <v>15504</v>
      </c>
      <c r="I76"/>
    </row>
    <row r="77" spans="1:9" ht="12" thickBot="1" x14ac:dyDescent="0.25">
      <c r="A77" s="1" t="s">
        <v>258</v>
      </c>
      <c r="B77" s="6" t="s">
        <v>180</v>
      </c>
      <c r="C77" s="73">
        <f>SUM('DOE25'!F131:F135)</f>
        <v>6724.51</v>
      </c>
      <c r="D77" s="73">
        <f>SUM('DOE25'!G131:G135)</f>
        <v>35111.360000000001</v>
      </c>
      <c r="E77" s="73">
        <f>SUM('DOE25'!H131:H135)</f>
        <v>0</v>
      </c>
      <c r="F77" s="73">
        <f>SUM('DOE25'!I131:I135)</f>
        <v>0</v>
      </c>
      <c r="G77" s="73">
        <f>SUM('DOE25'!J131:J135)</f>
        <v>0</v>
      </c>
      <c r="H77" s="13">
        <f t="shared" si="4"/>
        <v>41835.870000000003</v>
      </c>
      <c r="I77"/>
    </row>
    <row r="78" spans="1:9" ht="12.75" thickTop="1" thickBot="1" x14ac:dyDescent="0.25">
      <c r="A78" s="28" t="s">
        <v>259</v>
      </c>
      <c r="B78" s="6"/>
      <c r="C78" s="93">
        <f>SUM(C72:C77)</f>
        <v>498401.67</v>
      </c>
      <c r="D78" s="93">
        <f>SUM(D72:D77)</f>
        <v>35111.360000000001</v>
      </c>
      <c r="E78" s="93">
        <f>SUM(E72:E77)</f>
        <v>0</v>
      </c>
      <c r="F78" s="93">
        <f>SUM(F72:F77)</f>
        <v>0</v>
      </c>
      <c r="G78" s="93">
        <f>SUM(G72:G77)</f>
        <v>0</v>
      </c>
      <c r="H78" s="13">
        <f t="shared" si="4"/>
        <v>533513.03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5409037.9900000002</v>
      </c>
      <c r="D81" s="93">
        <f>SUM(D79:D80)+D78+D70</f>
        <v>35111.360000000001</v>
      </c>
      <c r="E81" s="93">
        <f>SUM(E79:E80)+E78+E70</f>
        <v>0</v>
      </c>
      <c r="F81" s="93">
        <f>SUM(F79:F80)+F78+F70</f>
        <v>0</v>
      </c>
      <c r="G81" s="93">
        <f>SUM(G79:G80)+G78+G70</f>
        <v>0</v>
      </c>
      <c r="H81" s="93">
        <f t="shared" si="4"/>
        <v>5444149.3500000006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45332.480000000003</v>
      </c>
      <c r="D88" s="252">
        <f>SUM('DOE25'!G153:G162)</f>
        <v>158373.29999999999</v>
      </c>
      <c r="E88" s="252">
        <f>SUM('DOE25'!H153:H162)</f>
        <v>612865.14</v>
      </c>
      <c r="F88" s="252">
        <f>SUM('DOE25'!I153:I162)</f>
        <v>0</v>
      </c>
      <c r="G88" s="23" t="s">
        <v>288</v>
      </c>
      <c r="H88" s="13">
        <f t="shared" si="5"/>
        <v>816570.92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45332.480000000003</v>
      </c>
      <c r="D91" s="94">
        <f>SUM(D85:D90)</f>
        <v>158373.29999999999</v>
      </c>
      <c r="E91" s="94">
        <f>SUM(E85:E90)</f>
        <v>612865.14</v>
      </c>
      <c r="F91" s="94">
        <f>SUM(F85:F90)</f>
        <v>0</v>
      </c>
      <c r="G91" s="23" t="s">
        <v>288</v>
      </c>
      <c r="H91" s="13">
        <f t="shared" si="5"/>
        <v>816570.92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400000</v>
      </c>
      <c r="H96" s="13">
        <f t="shared" si="5"/>
        <v>400000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301750</v>
      </c>
      <c r="D98" s="73">
        <f>'DOE25'!G183</f>
        <v>0</v>
      </c>
      <c r="E98" s="73">
        <f>'DOE25'!H183</f>
        <v>0</v>
      </c>
      <c r="F98" s="23" t="s">
        <v>288</v>
      </c>
      <c r="G98" s="73">
        <f>'DOE25'!J183</f>
        <v>0</v>
      </c>
      <c r="H98" s="13">
        <f t="shared" si="5"/>
        <v>301750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301750</v>
      </c>
      <c r="D103" s="68">
        <f>SUM(D93:D102)</f>
        <v>0</v>
      </c>
      <c r="E103" s="68">
        <f>SUM(E93:E102)</f>
        <v>0</v>
      </c>
      <c r="F103" s="68">
        <f>SUM(F93:F102)</f>
        <v>0</v>
      </c>
      <c r="G103" s="68">
        <f>SUM(G93:G102)</f>
        <v>400000</v>
      </c>
      <c r="H103" s="68">
        <f t="shared" si="5"/>
        <v>701750</v>
      </c>
    </row>
    <row r="104" spans="1:8" ht="12.75" thickTop="1" thickBot="1" x14ac:dyDescent="0.25">
      <c r="A104" s="32" t="s">
        <v>758</v>
      </c>
      <c r="C104" s="68">
        <f>C63+C81+C91+C103</f>
        <v>21936855.890000001</v>
      </c>
      <c r="D104" s="68">
        <f>D63+D81+D91+D103</f>
        <v>561204.34</v>
      </c>
      <c r="E104" s="68">
        <f>E63+E81+E91+E103</f>
        <v>612865.14</v>
      </c>
      <c r="F104" s="68">
        <f>F63+F81+F91+F103</f>
        <v>0</v>
      </c>
      <c r="G104" s="68">
        <f>G63+G81+G103</f>
        <v>410162.38</v>
      </c>
      <c r="H104" s="68">
        <f t="shared" si="5"/>
        <v>23521087.75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8081457</v>
      </c>
      <c r="D109" s="23" t="s">
        <v>288</v>
      </c>
      <c r="E109" s="73">
        <f>('DOE25'!L277)+('DOE25'!L296)+('DOE25'!L315)</f>
        <v>133371.07</v>
      </c>
      <c r="F109" s="23" t="s">
        <v>288</v>
      </c>
      <c r="G109" s="23" t="s">
        <v>288</v>
      </c>
      <c r="H109" s="13">
        <f t="shared" ref="H109:H115" si="6">SUM(C109:G109)</f>
        <v>8214828.0700000003</v>
      </c>
    </row>
    <row r="110" spans="1:8" x14ac:dyDescent="0.2">
      <c r="A110" t="s">
        <v>198</v>
      </c>
      <c r="B110" s="31" t="s">
        <v>199</v>
      </c>
      <c r="C110" s="73">
        <f>('DOE25'!L199)+('DOE25'!L217)+('DOE25'!L235)</f>
        <v>3887563.2100000004</v>
      </c>
      <c r="D110" s="23" t="s">
        <v>288</v>
      </c>
      <c r="E110" s="73">
        <f>('DOE25'!L278)+('DOE25'!L297)+('DOE25'!L316)</f>
        <v>263980.23</v>
      </c>
      <c r="F110" s="23" t="s">
        <v>288</v>
      </c>
      <c r="G110" s="23" t="s">
        <v>288</v>
      </c>
      <c r="H110" s="13">
        <f t="shared" si="6"/>
        <v>4151543.4400000004</v>
      </c>
    </row>
    <row r="111" spans="1:8" x14ac:dyDescent="0.2">
      <c r="A111" t="s">
        <v>200</v>
      </c>
      <c r="B111" s="31" t="s">
        <v>165</v>
      </c>
      <c r="C111" s="73">
        <f>('DOE25'!L200)+('DOE25'!L218)+('DOE25'!L236)</f>
        <v>255349.73</v>
      </c>
      <c r="D111" s="23" t="s">
        <v>288</v>
      </c>
      <c r="E111" s="73">
        <f>('DOE25'!L279)+('DOE25'!L298)+('DOE25'!L317)</f>
        <v>0</v>
      </c>
      <c r="F111" s="23" t="s">
        <v>288</v>
      </c>
      <c r="G111" s="23" t="s">
        <v>288</v>
      </c>
      <c r="H111" s="13">
        <f t="shared" si="6"/>
        <v>255349.73</v>
      </c>
    </row>
    <row r="112" spans="1:8" x14ac:dyDescent="0.2">
      <c r="A112" t="s">
        <v>201</v>
      </c>
      <c r="B112" s="31" t="s">
        <v>167</v>
      </c>
      <c r="C112" s="73">
        <f>('DOE25'!L201)+('DOE25'!L219)+('DOE25'!L237)</f>
        <v>388294.74</v>
      </c>
      <c r="D112" s="23" t="s">
        <v>288</v>
      </c>
      <c r="E112" s="73">
        <f>+('DOE25'!L280)+('DOE25'!L299)+('DOE25'!L318)</f>
        <v>57109.33</v>
      </c>
      <c r="F112" s="23" t="s">
        <v>288</v>
      </c>
      <c r="G112" s="23" t="s">
        <v>288</v>
      </c>
      <c r="H112" s="13">
        <f t="shared" si="6"/>
        <v>445404.07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12612664.680000002</v>
      </c>
      <c r="D115" s="68">
        <f>SUM(D109:D114)</f>
        <v>0</v>
      </c>
      <c r="E115" s="68">
        <f>SUM(E109:E114)</f>
        <v>454460.63</v>
      </c>
      <c r="F115" s="68">
        <f>SUM(F109:F114)</f>
        <v>0</v>
      </c>
      <c r="G115" s="68">
        <f>SUM(G109:G114)</f>
        <v>0</v>
      </c>
      <c r="H115" s="68">
        <f t="shared" si="6"/>
        <v>13067125.310000002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1637750.9299999997</v>
      </c>
      <c r="D118" s="23" t="s">
        <v>288</v>
      </c>
      <c r="E118" s="73">
        <f>+('DOE25'!L282)+('DOE25'!L301)+('DOE25'!L320)</f>
        <v>0</v>
      </c>
      <c r="F118" s="23" t="s">
        <v>288</v>
      </c>
      <c r="G118" s="23" t="s">
        <v>288</v>
      </c>
      <c r="H118" s="13">
        <f t="shared" ref="H118:H145" si="7">SUM(C118:G118)</f>
        <v>1637750.9299999997</v>
      </c>
    </row>
    <row r="119" spans="1:8" x14ac:dyDescent="0.2">
      <c r="A119" t="s">
        <v>208</v>
      </c>
      <c r="B119" s="31" t="s">
        <v>209</v>
      </c>
      <c r="C119" s="73">
        <f>('DOE25'!L204)+('DOE25'!L222)+('DOE25'!L240)</f>
        <v>1050158.73</v>
      </c>
      <c r="D119" s="23" t="s">
        <v>288</v>
      </c>
      <c r="E119" s="73">
        <f>+('DOE25'!L283)+('DOE25'!L302)+('DOE25'!L321)</f>
        <v>115576.98</v>
      </c>
      <c r="F119" s="23" t="s">
        <v>288</v>
      </c>
      <c r="G119" s="23" t="s">
        <v>288</v>
      </c>
      <c r="H119" s="13">
        <f t="shared" si="7"/>
        <v>1165735.71</v>
      </c>
    </row>
    <row r="120" spans="1:8" x14ac:dyDescent="0.2">
      <c r="A120" t="s">
        <v>210</v>
      </c>
      <c r="B120" s="31" t="s">
        <v>211</v>
      </c>
      <c r="C120" s="73">
        <f>('DOE25'!L205)+('DOE25'!L223)+('DOE25'!L241)</f>
        <v>840847.2</v>
      </c>
      <c r="D120" s="23" t="s">
        <v>288</v>
      </c>
      <c r="E120" s="73">
        <f>+('DOE25'!L284)+('DOE25'!L303)+('DOE25'!L322)</f>
        <v>19695.53</v>
      </c>
      <c r="F120" s="23" t="s">
        <v>288</v>
      </c>
      <c r="G120" s="23" t="s">
        <v>288</v>
      </c>
      <c r="H120" s="13">
        <f t="shared" si="7"/>
        <v>860542.73</v>
      </c>
    </row>
    <row r="121" spans="1:8" x14ac:dyDescent="0.2">
      <c r="A121" t="s">
        <v>212</v>
      </c>
      <c r="B121" s="31" t="s">
        <v>213</v>
      </c>
      <c r="C121" s="73">
        <f>('DOE25'!L206)+('DOE25'!L224)+('DOE25'!L242)</f>
        <v>1059924.6200000001</v>
      </c>
      <c r="D121" s="23" t="s">
        <v>288</v>
      </c>
      <c r="E121" s="73">
        <f>+('DOE25'!L285)+('DOE25'!L304)+('DOE25'!L323)</f>
        <v>0</v>
      </c>
      <c r="F121" s="23" t="s">
        <v>288</v>
      </c>
      <c r="G121" s="23" t="s">
        <v>288</v>
      </c>
      <c r="H121" s="13">
        <f t="shared" si="7"/>
        <v>1059924.6200000001</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2066026.9880000001</v>
      </c>
      <c r="D123" s="23" t="s">
        <v>288</v>
      </c>
      <c r="E123" s="73">
        <f>+('DOE25'!L287)+('DOE25'!L306)+('DOE25'!L325)</f>
        <v>23132</v>
      </c>
      <c r="F123" s="23" t="s">
        <v>288</v>
      </c>
      <c r="G123" s="23" t="s">
        <v>288</v>
      </c>
      <c r="H123" s="13">
        <f t="shared" si="7"/>
        <v>2089158.9880000001</v>
      </c>
    </row>
    <row r="124" spans="1:8" x14ac:dyDescent="0.2">
      <c r="A124" t="s">
        <v>218</v>
      </c>
      <c r="B124" s="31" t="s">
        <v>219</v>
      </c>
      <c r="C124" s="73">
        <f>('DOE25'!L209)+('DOE25'!L227)+('DOE25'!L245+'DOE25'!L255)</f>
        <v>880145.46</v>
      </c>
      <c r="D124" s="23" t="s">
        <v>288</v>
      </c>
      <c r="E124" s="73">
        <f>+('DOE25'!L288)+('DOE25'!L307)+('DOE25'!L326)</f>
        <v>0</v>
      </c>
      <c r="F124" s="23" t="s">
        <v>288</v>
      </c>
      <c r="G124" s="23" t="s">
        <v>288</v>
      </c>
      <c r="H124" s="13">
        <f t="shared" si="7"/>
        <v>880145.46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580536.44999999995</v>
      </c>
      <c r="E127" s="23" t="s">
        <v>288</v>
      </c>
      <c r="F127" s="23" t="s">
        <v>288</v>
      </c>
      <c r="G127" s="23" t="s">
        <v>288</v>
      </c>
      <c r="H127" s="13">
        <f t="shared" si="7"/>
        <v>580536.44999999995</v>
      </c>
    </row>
    <row r="128" spans="1:8" ht="12.75" thickTop="1" thickBot="1" x14ac:dyDescent="0.25">
      <c r="A128" s="32" t="s">
        <v>226</v>
      </c>
      <c r="C128" s="68">
        <f>SUM(C118:C127)</f>
        <v>7534853.9279999994</v>
      </c>
      <c r="D128" s="68">
        <f>SUM(D118:D127)</f>
        <v>580536.44999999995</v>
      </c>
      <c r="E128" s="68">
        <f>SUM(E118:E127)</f>
        <v>158404.51</v>
      </c>
      <c r="F128" s="68">
        <f>SUM(F118:F127)</f>
        <v>0</v>
      </c>
      <c r="G128" s="68">
        <f>SUM(G118:G127)</f>
        <v>0</v>
      </c>
      <c r="H128" s="68">
        <f t="shared" si="7"/>
        <v>8273794.8879999993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165002</v>
      </c>
      <c r="G130" s="23" t="s">
        <v>288</v>
      </c>
      <c r="H130" s="13">
        <f t="shared" si="7"/>
        <v>165002</v>
      </c>
    </row>
    <row r="131" spans="1:8" x14ac:dyDescent="0.2">
      <c r="A131" t="s">
        <v>229</v>
      </c>
      <c r="B131" s="31">
        <v>5110</v>
      </c>
      <c r="C131" s="73">
        <f>'DOE25'!L261</f>
        <v>1045691</v>
      </c>
      <c r="D131" s="23" t="s">
        <v>288</v>
      </c>
      <c r="E131" s="92">
        <f>'DOE25'!L342</f>
        <v>0</v>
      </c>
      <c r="F131" s="23" t="s">
        <v>288</v>
      </c>
      <c r="G131" s="23" t="s">
        <v>288</v>
      </c>
      <c r="H131" s="13">
        <f t="shared" si="7"/>
        <v>1045691</v>
      </c>
    </row>
    <row r="132" spans="1:8" x14ac:dyDescent="0.2">
      <c r="A132" t="s">
        <v>230</v>
      </c>
      <c r="B132" s="31">
        <v>5120</v>
      </c>
      <c r="C132" s="73">
        <f>'DOE25'!L262</f>
        <v>67638</v>
      </c>
      <c r="D132" s="23" t="s">
        <v>288</v>
      </c>
      <c r="E132" s="92">
        <f>'DOE25'!L343</f>
        <v>0</v>
      </c>
      <c r="F132" s="23" t="s">
        <v>288</v>
      </c>
      <c r="G132" s="23" t="s">
        <v>288</v>
      </c>
      <c r="H132" s="13">
        <f t="shared" si="7"/>
        <v>67638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310996.44</v>
      </c>
      <c r="H134" s="13">
        <f t="shared" si="7"/>
        <v>310996.44</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357549.86</v>
      </c>
      <c r="D138" s="23" t="s">
        <v>288</v>
      </c>
      <c r="E138" s="23" t="s">
        <v>288</v>
      </c>
      <c r="F138" s="23" t="s">
        <v>288</v>
      </c>
      <c r="G138" s="23" t="s">
        <v>288</v>
      </c>
      <c r="H138" s="13">
        <f t="shared" si="7"/>
        <v>357549.86</v>
      </c>
    </row>
    <row r="139" spans="1:8" x14ac:dyDescent="0.2">
      <c r="A139" t="s">
        <v>239</v>
      </c>
      <c r="B139" s="31">
        <v>5252</v>
      </c>
      <c r="C139" s="73">
        <f>'DOE25'!L402</f>
        <v>52612.52</v>
      </c>
      <c r="D139" s="23" t="s">
        <v>288</v>
      </c>
      <c r="E139" s="23" t="s">
        <v>288</v>
      </c>
      <c r="F139" s="23" t="s">
        <v>288</v>
      </c>
      <c r="G139" s="23" t="s">
        <v>288</v>
      </c>
      <c r="H139" s="13">
        <f t="shared" si="7"/>
        <v>52612.52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-10162.380000000005</v>
      </c>
      <c r="D141" s="23" t="s">
        <v>288</v>
      </c>
      <c r="E141" s="23" t="s">
        <v>288</v>
      </c>
      <c r="F141" s="23" t="s">
        <v>288</v>
      </c>
      <c r="G141" s="23" t="s">
        <v>288</v>
      </c>
      <c r="H141" s="13">
        <f t="shared" si="7"/>
        <v>-10162.380000000005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1513329</v>
      </c>
      <c r="D144" s="98">
        <f>SUM(D130:D143)</f>
        <v>0</v>
      </c>
      <c r="E144" s="98">
        <f>SUM(E130:E143)</f>
        <v>0</v>
      </c>
      <c r="F144" s="98">
        <f>SUM(F130:F143)</f>
        <v>165002</v>
      </c>
      <c r="G144" s="98">
        <f>SUM(G130:G143)</f>
        <v>310996.44</v>
      </c>
      <c r="H144" s="98">
        <f t="shared" si="7"/>
        <v>1989327.44</v>
      </c>
    </row>
    <row r="145" spans="1:9" ht="12.75" thickTop="1" thickBot="1" x14ac:dyDescent="0.25">
      <c r="A145" s="32" t="s">
        <v>244</v>
      </c>
      <c r="C145" s="68">
        <f>(C115+C128+C144)</f>
        <v>21660847.608000003</v>
      </c>
      <c r="D145" s="68">
        <f>(D115+D128+D144)</f>
        <v>580536.44999999995</v>
      </c>
      <c r="E145" s="68">
        <f>(E115+E128+E144)</f>
        <v>612865.14</v>
      </c>
      <c r="F145" s="68">
        <f>(F115+F128+F144)</f>
        <v>165002</v>
      </c>
      <c r="G145" s="68">
        <f>(G115+G128+G144)</f>
        <v>310996.44</v>
      </c>
      <c r="H145" s="68">
        <f t="shared" si="7"/>
        <v>23330247.638000004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Epping</v>
      </c>
    </row>
    <row r="3" spans="1:4" x14ac:dyDescent="0.2">
      <c r="B3" s="136" t="s">
        <v>1792</v>
      </c>
    </row>
    <row r="4" spans="1:4" x14ac:dyDescent="0.2">
      <c r="B4" t="s">
        <v>61</v>
      </c>
      <c r="C4" s="128">
        <f>IF('DOE25'!F666+'DOE25'!F671=0,0,ROUND('DOE25'!F673,0))</f>
        <v>20446</v>
      </c>
    </row>
    <row r="5" spans="1:4" x14ac:dyDescent="0.2">
      <c r="B5" t="s">
        <v>700</v>
      </c>
      <c r="C5" s="128">
        <f>IF('DOE25'!G666+'DOE25'!G671=0,0,ROUND('DOE25'!G673,0))</f>
        <v>24137</v>
      </c>
    </row>
    <row r="6" spans="1:4" x14ac:dyDescent="0.2">
      <c r="B6" t="s">
        <v>62</v>
      </c>
      <c r="C6" s="128">
        <f>IF('DOE25'!H666+'DOE25'!H671=0,0,ROUND('DOE25'!H673,0))</f>
        <v>26654</v>
      </c>
    </row>
    <row r="7" spans="1:4" x14ac:dyDescent="0.2">
      <c r="B7" t="s">
        <v>701</v>
      </c>
      <c r="C7" s="128">
        <f>IF('DOE25'!I666+'DOE25'!I671=0,0,ROUND('DOE25'!I673,0))</f>
        <v>22722</v>
      </c>
    </row>
    <row r="9" spans="1:4" x14ac:dyDescent="0.2">
      <c r="A9" s="135" t="s">
        <v>94</v>
      </c>
      <c r="B9" s="136" t="s">
        <v>1793</v>
      </c>
      <c r="C9" s="130" t="s">
        <v>720</v>
      </c>
      <c r="D9" s="130" t="s">
        <v>721</v>
      </c>
    </row>
    <row r="10" spans="1:4" x14ac:dyDescent="0.2">
      <c r="A10">
        <v>1100</v>
      </c>
      <c r="B10" t="s">
        <v>702</v>
      </c>
      <c r="C10" s="128">
        <f>ROUND('DOE25'!L198+'DOE25'!L216+'DOE25'!L234+'DOE25'!L277+'DOE25'!L296+'DOE25'!L315,0)</f>
        <v>8214828</v>
      </c>
      <c r="D10" s="131">
        <f>ROUND((C10/$C$28)*100,1)</f>
        <v>38.9</v>
      </c>
    </row>
    <row r="11" spans="1:4" x14ac:dyDescent="0.2">
      <c r="A11">
        <v>1200</v>
      </c>
      <c r="B11" t="s">
        <v>703</v>
      </c>
      <c r="C11" s="128">
        <f>ROUND('DOE25'!L199+'DOE25'!L217+'DOE25'!L235+'DOE25'!L278+'DOE25'!L297+'DOE25'!L316,0)</f>
        <v>4151543</v>
      </c>
      <c r="D11" s="131">
        <f>ROUND((C11/$C$28)*100,1)</f>
        <v>19.7</v>
      </c>
    </row>
    <row r="12" spans="1:4" x14ac:dyDescent="0.2">
      <c r="A12">
        <v>1300</v>
      </c>
      <c r="B12" t="s">
        <v>704</v>
      </c>
      <c r="C12" s="128">
        <f>ROUND('DOE25'!L200+'DOE25'!L218+'DOE25'!L236+'DOE25'!L279+'DOE25'!L298+'DOE25'!L317,0)</f>
        <v>255350</v>
      </c>
      <c r="D12" s="131">
        <f>ROUND((C12/$C$28)*100,1)</f>
        <v>1.2</v>
      </c>
    </row>
    <row r="13" spans="1:4" x14ac:dyDescent="0.2">
      <c r="A13">
        <v>1400</v>
      </c>
      <c r="B13" t="s">
        <v>705</v>
      </c>
      <c r="C13" s="128">
        <f>ROUND('DOE25'!L201+'DOE25'!L219+'DOE25'!L237+'DOE25'!L280+'DOE25'!L299+'DOE25'!L318,0)</f>
        <v>445404</v>
      </c>
      <c r="D13" s="131">
        <f>ROUND((C13/$C$28)*100,1)</f>
        <v>2.1</v>
      </c>
    </row>
    <row r="14" spans="1:4" x14ac:dyDescent="0.2">
      <c r="D14" s="131"/>
    </row>
    <row r="15" spans="1:4" x14ac:dyDescent="0.2">
      <c r="A15">
        <v>2100</v>
      </c>
      <c r="B15" t="s">
        <v>706</v>
      </c>
      <c r="C15" s="128">
        <f>ROUND('DOE25'!L203+'DOE25'!L221+'DOE25'!L239+'DOE25'!L282+'DOE25'!L301+'DOE25'!L320,0)</f>
        <v>1637751</v>
      </c>
      <c r="D15" s="131">
        <f t="shared" ref="D15:D27" si="0">ROUND((C15/$C$28)*100,1)</f>
        <v>7.8</v>
      </c>
    </row>
    <row r="16" spans="1:4" x14ac:dyDescent="0.2">
      <c r="A16">
        <v>2200</v>
      </c>
      <c r="B16" t="s">
        <v>707</v>
      </c>
      <c r="C16" s="128">
        <f>ROUND('DOE25'!L204+'DOE25'!L222+'DOE25'!L240+'DOE25'!L283+'DOE25'!L302+'DOE25'!L321,0)</f>
        <v>1165736</v>
      </c>
      <c r="D16" s="131">
        <f t="shared" si="0"/>
        <v>5.5</v>
      </c>
    </row>
    <row r="17" spans="1:4" x14ac:dyDescent="0.2">
      <c r="A17" s="132" t="s">
        <v>723</v>
      </c>
      <c r="B17" t="s">
        <v>738</v>
      </c>
      <c r="C17" s="128">
        <f>ROUND('DOE25'!L205+'DOE25'!L210+'DOE25'!L223+'DOE25'!L228+'DOE25'!L241+'DOE25'!L246+'DOE25'!L284+'DOE25'!L289+'DOE25'!L303+'DOE25'!L308+'DOE25'!L322+'DOE25'!L327,0)</f>
        <v>860543</v>
      </c>
      <c r="D17" s="131">
        <f t="shared" si="0"/>
        <v>4.0999999999999996</v>
      </c>
    </row>
    <row r="18" spans="1:4" x14ac:dyDescent="0.2">
      <c r="A18">
        <v>2400</v>
      </c>
      <c r="B18" t="s">
        <v>711</v>
      </c>
      <c r="C18" s="128">
        <f>ROUND('DOE25'!L206+'DOE25'!L224+'DOE25'!L242+'DOE25'!L285+'DOE25'!L304+'DOE25'!L323,0)</f>
        <v>1059925</v>
      </c>
      <c r="D18" s="131">
        <f t="shared" si="0"/>
        <v>5</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2089159</v>
      </c>
      <c r="D20" s="131">
        <f t="shared" si="0"/>
        <v>9.9</v>
      </c>
    </row>
    <row r="21" spans="1:4" x14ac:dyDescent="0.2">
      <c r="A21">
        <v>2700</v>
      </c>
      <c r="B21" t="s">
        <v>710</v>
      </c>
      <c r="C21" s="128">
        <f>ROUND('DOE25'!L209+'DOE25'!L227+'DOE25'!L245+'DOE25'!L288+'DOE25'!L307+'DOE25'!L326,0)</f>
        <v>880145</v>
      </c>
      <c r="D21" s="131">
        <f t="shared" si="0"/>
        <v>4.2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67638</v>
      </c>
      <c r="D25" s="131">
        <f t="shared" si="0"/>
        <v>0.3</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273573.15000000002</v>
      </c>
      <c r="D27" s="131">
        <f t="shared" si="0"/>
        <v>1.3</v>
      </c>
    </row>
    <row r="28" spans="1:4" x14ac:dyDescent="0.2">
      <c r="B28" s="135" t="s">
        <v>719</v>
      </c>
      <c r="C28" s="129">
        <f>SUM(C10:C27)</f>
        <v>21101595.149999999</v>
      </c>
      <c r="D28" s="133">
        <f>ROUND(SUM(D10:D27),0)</f>
        <v>100</v>
      </c>
    </row>
    <row r="29" spans="1:4" x14ac:dyDescent="0.2">
      <c r="A29">
        <v>4000</v>
      </c>
      <c r="B29" t="s">
        <v>724</v>
      </c>
      <c r="C29" s="128">
        <f>ROUND('DOE25'!L256+'DOE25'!L337+'DOE25'!L375+'DOE25'!L376+'DOE25'!L377+'DOE25'!L378+'DOE25'!L379+'DOE25'!L380+'DOE25'!L381,0)</f>
        <v>165002</v>
      </c>
    </row>
    <row r="30" spans="1:4" x14ac:dyDescent="0.2">
      <c r="B30" s="135" t="s">
        <v>725</v>
      </c>
      <c r="C30" s="129">
        <f>SUM(C28:C29)</f>
        <v>21266597.149999999</v>
      </c>
    </row>
    <row r="31" spans="1:4" x14ac:dyDescent="0.2">
      <c r="B31" s="32"/>
      <c r="C31" s="129"/>
    </row>
    <row r="32" spans="1:4" x14ac:dyDescent="0.2">
      <c r="A32">
        <v>5100</v>
      </c>
      <c r="B32" s="32" t="s">
        <v>726</v>
      </c>
      <c r="C32" s="129">
        <f>ROUND('DOE25'!L261+'DOE25'!L342,0)</f>
        <v>1045691</v>
      </c>
    </row>
    <row r="34" spans="1:4" x14ac:dyDescent="0.2">
      <c r="A34" s="135" t="s">
        <v>94</v>
      </c>
      <c r="B34" s="136" t="s">
        <v>1794</v>
      </c>
      <c r="C34" s="130" t="s">
        <v>720</v>
      </c>
      <c r="D34" s="130" t="s">
        <v>721</v>
      </c>
    </row>
    <row r="35" spans="1:4" x14ac:dyDescent="0.2">
      <c r="A35">
        <v>1100</v>
      </c>
      <c r="B35" s="71" t="s">
        <v>727</v>
      </c>
      <c r="C35" s="128">
        <f>ROUND('DOE25'!F60+'DOE25'!G60+'DOE25'!H60+'DOE25'!I60+'DOE25'!J60,0)</f>
        <v>15909900</v>
      </c>
      <c r="D35" s="131">
        <f t="shared" ref="D35:D40" si="1">ROUND((C35/$C$41)*100,1)</f>
        <v>70.7</v>
      </c>
    </row>
    <row r="36" spans="1:4" x14ac:dyDescent="0.2">
      <c r="B36" s="71" t="s">
        <v>739</v>
      </c>
      <c r="C36" s="128">
        <f>SUM('DOE25'!F112:J112)-SUM('DOE25'!G97:G110)+('DOE25'!F175+'DOE25'!F176+'DOE25'!I175+'DOE25'!I176)-C35</f>
        <v>341754.63000000082</v>
      </c>
      <c r="D36" s="131">
        <f t="shared" si="1"/>
        <v>1.5</v>
      </c>
    </row>
    <row r="37" spans="1:4" x14ac:dyDescent="0.2">
      <c r="A37" s="132" t="s">
        <v>831</v>
      </c>
      <c r="B37" s="71" t="s">
        <v>728</v>
      </c>
      <c r="C37" s="128">
        <f>ROUND('DOE25'!F117+'DOE25'!F118,0)</f>
        <v>4907354</v>
      </c>
      <c r="D37" s="131">
        <f t="shared" si="1"/>
        <v>21.8</v>
      </c>
    </row>
    <row r="38" spans="1:4" x14ac:dyDescent="0.2">
      <c r="A38" s="132" t="s">
        <v>734</v>
      </c>
      <c r="B38" s="71" t="s">
        <v>729</v>
      </c>
      <c r="C38" s="128">
        <f>ROUND(SUM('DOE25'!F140:J140)-SUM('DOE25'!F117:F119),0)</f>
        <v>536795</v>
      </c>
      <c r="D38" s="131">
        <f t="shared" si="1"/>
        <v>2.4</v>
      </c>
    </row>
    <row r="39" spans="1:4" x14ac:dyDescent="0.2">
      <c r="A39">
        <v>4000</v>
      </c>
      <c r="B39" s="71" t="s">
        <v>730</v>
      </c>
      <c r="C39" s="128">
        <f>ROUND('DOE25'!F170+'DOE25'!G170+'DOE25'!H170+'DOE25'!I170,0)</f>
        <v>816571</v>
      </c>
      <c r="D39" s="131">
        <f t="shared" si="1"/>
        <v>3.6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22512374.630000003</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Epping</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81</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17</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20</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f>IF('School Level Expenditures'!$B$2='School Tables'!L20,'School Tables'!S20,"")</f>
        <v>17</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f>IF('School Level Expenditures'!$B$2='School Tables'!W23,'School Tables'!AD23,"")</f>
        <v>20</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f>IF('School Level Expenditures'!$B$2=A84,'School Tables'!H84,"")</f>
        <v>81</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2024-12-20T18:42:56Z</dcterms:modified>
</cp:coreProperties>
</file>