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4CD25828-CF55-4677-B2A1-E1762674C038}"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34" i="1" l="1"/>
  <c r="H532" i="1"/>
  <c r="K317" i="1"/>
  <c r="H327" i="1"/>
  <c r="H321" i="1"/>
  <c r="H289" i="1"/>
  <c r="I287" i="1"/>
  <c r="H283" i="1"/>
  <c r="H282"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C16" i="14" s="1"/>
  <c r="B11" i="14"/>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8"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K291" i="1"/>
  <c r="K310"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E111" i="2" l="1"/>
  <c r="D29" i="13"/>
  <c r="E124" i="2"/>
  <c r="E120" i="2"/>
  <c r="G646" i="1"/>
  <c r="H113" i="2"/>
  <c r="J652" i="1"/>
  <c r="C85" i="2"/>
  <c r="C91" i="2" s="1"/>
  <c r="G662" i="1"/>
  <c r="H35" i="2"/>
  <c r="H13" i="2"/>
  <c r="H9" i="2"/>
  <c r="H140" i="1"/>
  <c r="G62" i="2"/>
  <c r="G63" i="2" s="1"/>
  <c r="H477" i="1"/>
  <c r="H625" i="1" s="1"/>
  <c r="J625" i="1" s="1"/>
  <c r="C32" i="10"/>
  <c r="E125" i="2"/>
  <c r="E112" i="2"/>
  <c r="C125" i="2"/>
  <c r="I409" i="1"/>
  <c r="G409" i="1"/>
  <c r="H646" i="1" s="1"/>
  <c r="J646" i="1" s="1"/>
  <c r="C13" i="10"/>
  <c r="K36" i="14"/>
  <c r="K37" i="14" s="1"/>
  <c r="C12" i="10"/>
  <c r="G477" i="1"/>
  <c r="B33" i="16" s="1"/>
  <c r="J112" i="1"/>
  <c r="J194" i="1" s="1"/>
  <c r="G647" i="1" s="1"/>
  <c r="H93" i="2"/>
  <c r="H87" i="2"/>
  <c r="H26" i="2"/>
  <c r="H102" i="2"/>
  <c r="H100" i="2"/>
  <c r="H98" i="2"/>
  <c r="H73" i="2"/>
  <c r="H23" i="2"/>
  <c r="H15" i="2"/>
  <c r="H11" i="2"/>
  <c r="H143" i="2"/>
  <c r="H137" i="2"/>
  <c r="D144" i="2"/>
  <c r="H69" i="2"/>
  <c r="H30" i="2"/>
  <c r="H28" i="2"/>
  <c r="H25" i="2"/>
  <c r="H17" i="2"/>
  <c r="H38" i="2"/>
  <c r="H43" i="2"/>
  <c r="H47" i="2"/>
  <c r="H96" i="2"/>
  <c r="H89" i="2"/>
  <c r="H72" i="2"/>
  <c r="H59" i="2"/>
  <c r="H34" i="2"/>
  <c r="D18" i="13"/>
  <c r="C18" i="13" s="1"/>
  <c r="H80" i="2"/>
  <c r="H135" i="2"/>
  <c r="H94" i="2"/>
  <c r="H29" i="2"/>
  <c r="H27" i="2"/>
  <c r="H24" i="2"/>
  <c r="H12" i="2"/>
  <c r="H8" i="2"/>
  <c r="H132" i="2"/>
  <c r="H36" i="2"/>
  <c r="H44" i="2"/>
  <c r="H48" i="2"/>
  <c r="H77" i="2"/>
  <c r="H101" i="2"/>
  <c r="H99" i="2"/>
  <c r="H79" i="2"/>
  <c r="H76" i="2"/>
  <c r="H58" i="2"/>
  <c r="H97" i="2"/>
  <c r="H61" i="2"/>
  <c r="H22" i="2"/>
  <c r="D15" i="13"/>
  <c r="C15" i="13" s="1"/>
  <c r="E13" i="13"/>
  <c r="C13" i="13" s="1"/>
  <c r="C119" i="2"/>
  <c r="C120" i="2"/>
  <c r="H120" i="2" s="1"/>
  <c r="C112" i="2"/>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J258" i="1"/>
  <c r="J272" i="1" s="1"/>
  <c r="E123" i="2"/>
  <c r="E110" i="2"/>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L561" i="1"/>
  <c r="G462" i="1"/>
  <c r="H641" i="1" s="1"/>
  <c r="J641" i="1" s="1"/>
  <c r="E103" i="2"/>
  <c r="D18" i="2"/>
  <c r="H553" i="1"/>
  <c r="L310" i="1"/>
  <c r="I546" i="1"/>
  <c r="F462" i="1"/>
  <c r="H640" i="1" s="1"/>
  <c r="J640" i="1" s="1"/>
  <c r="K606" i="1"/>
  <c r="G649" i="1" s="1"/>
  <c r="H258" i="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C123" i="2"/>
  <c r="E109" i="2"/>
  <c r="C56" i="2"/>
  <c r="H56" i="2" s="1"/>
  <c r="F663" i="1"/>
  <c r="C25" i="10"/>
  <c r="C21" i="10"/>
  <c r="C17" i="10"/>
  <c r="D19" i="13"/>
  <c r="C19" i="13" s="1"/>
  <c r="D14" i="13"/>
  <c r="C14" i="13" s="1"/>
  <c r="C62" i="2"/>
  <c r="G22" i="13"/>
  <c r="C22" i="13" s="1"/>
  <c r="L540" i="1"/>
  <c r="K504" i="1"/>
  <c r="L383" i="1"/>
  <c r="G637" i="1" s="1"/>
  <c r="J637" i="1" s="1"/>
  <c r="G258" i="1"/>
  <c r="C142" i="2"/>
  <c r="H142" i="2" s="1"/>
  <c r="C111" i="2"/>
  <c r="H662" i="1"/>
  <c r="C15" i="10"/>
  <c r="A13" i="12"/>
  <c r="C29" i="13"/>
  <c r="D12" i="13"/>
  <c r="C12" i="13" s="1"/>
  <c r="D5" i="13"/>
  <c r="C5" i="13" s="1"/>
  <c r="E8" i="13"/>
  <c r="C8" i="13" s="1"/>
  <c r="C35" i="10"/>
  <c r="C29" i="10"/>
  <c r="G650" i="1"/>
  <c r="J650" i="1" s="1"/>
  <c r="L545" i="1"/>
  <c r="L525" i="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J651" i="1"/>
  <c r="L408" i="1"/>
  <c r="C140" i="2" s="1"/>
  <c r="H140" i="2" s="1"/>
  <c r="I193" i="1"/>
  <c r="J655" i="1"/>
  <c r="J654" i="1"/>
  <c r="G21" i="2"/>
  <c r="G31" i="2" s="1"/>
  <c r="J32" i="1"/>
  <c r="J435" i="1"/>
  <c r="F435" i="1"/>
  <c r="K435" i="1"/>
  <c r="G134" i="2" s="1"/>
  <c r="G144" i="2" s="1"/>
  <c r="G145" i="2" s="1"/>
  <c r="G140" i="1"/>
  <c r="B11" i="16" s="1"/>
  <c r="F140" i="1"/>
  <c r="J619" i="1"/>
  <c r="G42" i="2"/>
  <c r="G50" i="2" s="1"/>
  <c r="J51" i="1"/>
  <c r="G16" i="2"/>
  <c r="G18" i="2" s="1"/>
  <c r="J19" i="1"/>
  <c r="G622" i="1" s="1"/>
  <c r="F546" i="1"/>
  <c r="H435" i="1"/>
  <c r="D103" i="2"/>
  <c r="I140" i="1"/>
  <c r="A22" i="12"/>
  <c r="J653" i="1"/>
  <c r="G572" i="1"/>
  <c r="I435" i="1"/>
  <c r="G435" i="1"/>
  <c r="I664" i="1"/>
  <c r="H624" i="1" l="1"/>
  <c r="J624" i="1" s="1"/>
  <c r="H111" i="2"/>
  <c r="H124" i="2"/>
  <c r="H112" i="2"/>
  <c r="H125" i="2"/>
  <c r="F194" i="1"/>
  <c r="G628" i="1" s="1"/>
  <c r="J628" i="1" s="1"/>
  <c r="E144" i="2"/>
  <c r="I662" i="1"/>
  <c r="L572" i="1"/>
  <c r="G272" i="1"/>
  <c r="G329" i="1"/>
  <c r="G339" i="1" s="1"/>
  <c r="G353" i="1" s="1"/>
  <c r="H272" i="1"/>
  <c r="H329" i="1" s="1"/>
  <c r="H339" i="1" s="1"/>
  <c r="H353" i="1" s="1"/>
  <c r="I329" i="1"/>
  <c r="I339" i="1" s="1"/>
  <c r="I353" i="1" s="1"/>
  <c r="J329" i="1"/>
  <c r="K329" i="1"/>
  <c r="F329" i="1"/>
  <c r="F339" i="1" s="1"/>
  <c r="F353" i="1" s="1"/>
  <c r="I663" i="1"/>
  <c r="H122" i="2"/>
  <c r="H123" i="2"/>
  <c r="H91" i="2"/>
  <c r="H114" i="2"/>
  <c r="H57" i="2"/>
  <c r="H18" i="2"/>
  <c r="H31" i="2"/>
  <c r="H62" i="2"/>
  <c r="H16" i="2"/>
  <c r="D128" i="2"/>
  <c r="D145" i="2" s="1"/>
  <c r="H127" i="2"/>
  <c r="D51" i="2"/>
  <c r="H85" i="2"/>
  <c r="E51" i="2"/>
  <c r="C81" i="2"/>
  <c r="H81" i="2" s="1"/>
  <c r="H78" i="2"/>
  <c r="H134" i="2"/>
  <c r="H42" i="2"/>
  <c r="H119" i="2"/>
  <c r="H21" i="2"/>
  <c r="H50" i="2"/>
  <c r="H103" i="2"/>
  <c r="G25" i="14"/>
  <c r="H25" i="14" s="1"/>
  <c r="I25" i="14" s="1"/>
  <c r="H110" i="2"/>
  <c r="H121" i="2"/>
  <c r="E128" i="2"/>
  <c r="H118" i="2"/>
  <c r="F661" i="1"/>
  <c r="F665" i="1" s="1"/>
  <c r="F670" i="1" s="1"/>
  <c r="E115" i="2"/>
  <c r="H109" i="2"/>
  <c r="F144" i="2"/>
  <c r="H130" i="2"/>
  <c r="H661" i="1"/>
  <c r="H665" i="1" s="1"/>
  <c r="H194" i="1"/>
  <c r="G630" i="1" s="1"/>
  <c r="J630"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C128" i="2"/>
  <c r="I462" i="1"/>
  <c r="H643" i="1" s="1"/>
  <c r="J643" i="1" s="1"/>
  <c r="G661" i="1"/>
  <c r="G665" i="1" s="1"/>
  <c r="C25" i="13"/>
  <c r="I33" i="13"/>
  <c r="K553" i="1"/>
  <c r="C51" i="2"/>
  <c r="G632" i="1"/>
  <c r="J632" i="1" s="1"/>
  <c r="G194" i="1"/>
  <c r="G629" i="1" s="1"/>
  <c r="J629" i="1" s="1"/>
  <c r="G627" i="1"/>
  <c r="J627" i="1" s="1"/>
  <c r="J52" i="1"/>
  <c r="H622" i="1" s="1"/>
  <c r="J622" i="1" s="1"/>
  <c r="C38" i="10"/>
  <c r="K339" i="1" l="1"/>
  <c r="K353" i="1" s="1"/>
  <c r="H31" i="13"/>
  <c r="H33" i="13" s="1"/>
  <c r="G31" i="13"/>
  <c r="J339" i="1"/>
  <c r="C144" i="2"/>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C41" i="10"/>
  <c r="D38" i="10" s="1"/>
  <c r="C145" i="2" l="1"/>
  <c r="H145" i="2" s="1"/>
  <c r="D31" i="13"/>
  <c r="G33" i="13"/>
  <c r="J353" i="1"/>
  <c r="H649" i="1"/>
  <c r="I670" i="1"/>
  <c r="I673" i="1" s="1"/>
  <c r="C7" i="10" s="1"/>
  <c r="F673" i="1"/>
  <c r="C4" i="10" s="1"/>
  <c r="I668" i="1"/>
  <c r="D28" i="10"/>
  <c r="D37" i="10"/>
  <c r="D36" i="10"/>
  <c r="D35" i="10"/>
  <c r="D40" i="10"/>
  <c r="D39" i="10"/>
  <c r="C31" i="13" l="1"/>
  <c r="D33" i="13"/>
  <c r="D36" i="13" s="1"/>
  <c r="J649" i="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<sst xmlns="http://schemas.openxmlformats.org/spreadsheetml/2006/main" count="6641" uniqueCount="1842">
  <si>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</si>
  <si>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</si>
  <si>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</si>
  <si>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</si>
  <si>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</si>
  <si>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</si>
  <si>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</si>
  <si>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</si>
  <si>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</si>
  <si>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</si>
  <si>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</si>
  <si>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</si>
  <si>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</si>
  <si>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</si>
  <si>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</si>
  <si>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</si>
  <si>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</si>
  <si>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</si>
  <si>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</si>
  <si>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</si>
  <si>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</si>
  <si>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</si>
  <si>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</si>
  <si>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</si>
  <si>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</si>
  <si>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</si>
  <si>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</si>
  <si>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</si>
  <si>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</si>
  <si>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</si>
  <si>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</si>
  <si>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</si>
  <si>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</si>
  <si>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</si>
  <si>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</si>
  <si>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</si>
  <si>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</si>
  <si>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</si>
  <si>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</si>
  <si>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</si>
  <si>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</si>
  <si>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</si>
  <si>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</si>
  <si>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</si>
  <si>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</si>
  <si>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</si>
  <si>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</si>
  <si>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</si>
  <si>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</si>
  <si>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</si>
  <si>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</si>
  <si>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</si>
  <si>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</si>
  <si>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</si>
  <si>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</si>
  <si>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</si>
  <si>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</si>
  <si>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</si>
  <si>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</si>
  <si>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</si>
  <si>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</si>
  <si>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</si>
  <si>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</si>
  <si>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</si>
  <si>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</si>
  <si>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</si>
  <si>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</si>
  <si>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</si>
  <si>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</si>
  <si>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</si>
  <si>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</si>
  <si>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</si>
  <si>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</si>
  <si>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</si>
  <si>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</si>
  <si>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</si>
  <si>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</si>
  <si>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</si>
  <si>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</si>
  <si>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</si>
  <si>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</si>
  <si>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</si>
  <si>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</si>
  <si>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</si>
  <si>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</si>
  <si>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</si>
  <si>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</si>
  <si>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</si>
  <si>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</si>
  <si>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</si>
  <si>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</si>
  <si>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</si>
  <si>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</si>
  <si>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</si>
  <si>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</si>
  <si>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</si>
  <si>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</si>
  <si>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</si>
  <si>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</si>
  <si>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</si>
  <si>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</si>
  <si>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</si>
  <si>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</si>
  <si>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</si>
  <si>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</si>
  <si>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</si>
  <si>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</si>
  <si>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</si>
  <si>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</si>
  <si>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</si>
  <si>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</si>
  <si>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</si>
  <si>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</si>
  <si>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</si>
  <si>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</si>
  <si>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</si>
  <si>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</si>
  <si>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</si>
  <si>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</si>
  <si>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</si>
  <si>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</si>
  <si>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</si>
  <si>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</si>
  <si>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</si>
  <si>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</si>
  <si>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</si>
  <si>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</si>
  <si>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</si>
  <si>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</si>
  <si>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</si>
  <si>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</si>
  <si>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</si>
  <si>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</si>
  <si>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</si>
  <si>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</si>
  <si>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</si>
  <si>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</si>
  <si>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</si>
  <si>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</si>
  <si>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</si>
  <si>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</si>
  <si>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</si>
  <si>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</si>
  <si>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</si>
  <si>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</si>
  <si>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</si>
  <si>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</si>
  <si>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</si>
  <si>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</si>
  <si>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</si>
  <si>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</si>
  <si>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</si>
  <si>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</si>
  <si>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</si>
  <si>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</si>
  <si>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</si>
  <si>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</si>
  <si>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</si>
  <si>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</si>
  <si>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</si>
  <si>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</si>
  <si>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</si>
  <si>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</si>
  <si>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</si>
  <si>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</si>
  <si>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</si>
  <si>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</si>
  <si>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</si>
  <si>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</si>
  <si>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</si>
  <si>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</si>
  <si>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</si>
  <si>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</si>
  <si>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</si>
  <si>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</si>
  <si>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</si>
  <si>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</si>
  <si>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</si>
  <si>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</si>
  <si>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</si>
  <si>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</si>
  <si>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</si>
  <si>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</si>
  <si>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</si>
  <si>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</si>
  <si>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</si>
  <si>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</si>
  <si>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</si>
  <si>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</si>
  <si>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</si>
  <si>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</si>
  <si>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</si>
  <si>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</si>
  <si>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</si>
  <si>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</si>
  <si>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</si>
  <si>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</si>
  <si>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</si>
  <si>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</si>
  <si>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</si>
  <si>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</si>
  <si>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</si>
  <si>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</si>
  <si>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</si>
  <si>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</si>
  <si>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</si>
  <si>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</si>
  <si>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</si>
  <si>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</si>
  <si>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</si>
  <si>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</si>
  <si>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</si>
  <si>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</si>
  <si>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</si>
  <si>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</si>
  <si>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</si>
  <si>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</si>
  <si>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</si>
  <si>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</si>
  <si>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</si>
  <si>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</si>
  <si>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</si>
  <si>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</si>
  <si>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</si>
  <si>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</si>
  <si>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</si>
  <si>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</si>
  <si>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</si>
  <si>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</si>
  <si>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</si>
  <si>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</si>
  <si>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</si>
  <si>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</si>
  <si>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</si>
  <si>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</si>
  <si>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</si>
  <si>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</si>
  <si>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</si>
  <si>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</si>
  <si>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</si>
  <si>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</si>
  <si>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</si>
  <si>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</si>
  <si>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</si>
  <si>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</si>
  <si>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</si>
  <si>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</si>
  <si>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</si>
  <si>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</si>
  <si>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</si>
  <si>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</si>
  <si>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</si>
  <si>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</si>
  <si>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</si>
  <si>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</si>
  <si>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</si>
  <si>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</si>
  <si>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</si>
  <si>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</si>
  <si>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</si>
  <si>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</si>
  <si>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</si>
  <si>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</si>
  <si>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</si>
  <si>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</si>
  <si>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</si>
  <si>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</si>
  <si>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</si>
  <si>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</si>
  <si>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</si>
  <si>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</si>
  <si>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</si>
  <si>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</si>
  <si>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</si>
  <si>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</si>
  <si>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</si>
  <si>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</si>
  <si>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</si>
  <si>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</si>
  <si>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</si>
  <si>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</si>
  <si>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</si>
  <si>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</si>
  <si>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</si>
  <si>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</si>
  <si>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</si>
  <si>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</si>
  <si>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</si>
  <si>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</si>
  <si>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</si>
  <si>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</si>
  <si>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</si>
  <si>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</si>
  <si>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</si>
  <si>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</si>
  <si>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</si>
  <si>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</si>
  <si>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</si>
  <si>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</si>
  <si>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</si>
  <si>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</si>
  <si>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</si>
  <si>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</si>
  <si>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</si>
  <si>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</si>
  <si>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</si>
  <si>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</si>
  <si>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</si>
  <si>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</si>
  <si>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</si>
  <si>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</si>
  <si>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</si>
  <si>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</si>
  <si>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</si>
  <si>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</si>
  <si>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</si>
  <si>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</si>
  <si>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</si>
  <si>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</si>
  <si>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</si>
  <si>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</si>
  <si>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</si>
  <si>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</si>
  <si>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</si>
  <si>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</si>
  <si>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</si>
  <si>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</si>
  <si>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</si>
  <si>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</si>
  <si>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</si>
  <si>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</si>
  <si>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</si>
  <si>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</si>
  <si>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</si>
  <si>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</si>
  <si>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</si>
  <si>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</si>
  <si>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</si>
  <si>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</si>
  <si>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</si>
  <si>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</si>
  <si>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</si>
  <si>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</si>
  <si>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</si>
  <si>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</si>
  <si>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</si>
  <si>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</si>
  <si>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</si>
  <si>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</si>
  <si>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</si>
  <si>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</si>
  <si>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</si>
  <si>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</si>
  <si>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</si>
  <si>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</si>
  <si>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</si>
  <si>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</si>
  <si>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</si>
  <si>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</si>
  <si>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</si>
  <si>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</si>
  <si>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</si>
  <si>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</si>
  <si>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</si>
  <si>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</si>
  <si>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</si>
  <si>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</si>
  <si>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</si>
  <si>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</si>
  <si>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</si>
  <si>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</si>
  <si>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</si>
  <si>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</si>
  <si>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</si>
  <si>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</si>
  <si>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</si>
  <si>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</si>
  <si>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</si>
  <si>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</si>
  <si>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</si>
  <si>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</si>
  <si>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</si>
  <si>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</si>
  <si>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</si>
  <si>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</si>
  <si>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</si>
  <si>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</si>
  <si>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</si>
  <si>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</si>
  <si>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</si>
  <si>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</si>
  <si>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</si>
  <si>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</si>
  <si>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</si>
  <si>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</si>
  <si>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</si>
  <si>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</si>
  <si>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</si>
  <si>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</si>
  <si>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</si>
  <si>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</si>
  <si>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</si>
  <si>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</si>
  <si>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</si>
  <si>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</si>
  <si>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</si>
  <si>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</si>
  <si>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</si>
  <si>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</si>
  <si>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</si>
  <si>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</si>
  <si>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</si>
  <si>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</si>
  <si>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</si>
  <si>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</si>
  <si>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</si>
  <si>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</si>
  <si>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</si>
  <si>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</si>
  <si>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</si>
  <si>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</si>
  <si>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</si>
  <si>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</si>
  <si>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</si>
  <si>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</si>
  <si>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</si>
  <si>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</si>
  <si>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</si>
  <si>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</si>
  <si>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</si>
  <si>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</si>
  <si>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</si>
  <si>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</si>
  <si>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</si>
  <si>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</si>
  <si>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</si>
  <si>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</si>
  <si>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</si>
  <si>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</si>
  <si>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</si>
  <si>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</si>
  <si>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</si>
  <si>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</si>
  <si>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</si>
  <si>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</si>
  <si>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</si>
  <si>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</si>
  <si>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</si>
  <si>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</si>
  <si>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</si>
  <si>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</si>
  <si>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</si>
  <si>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</si>
  <si>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</si>
  <si>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</si>
  <si>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</si>
  <si>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</si>
  <si>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</si>
  <si>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</si>
  <si>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</si>
  <si>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</si>
  <si>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</si>
  <si>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</si>
  <si>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</si>
  <si>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</si>
  <si>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</si>
  <si>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</si>
  <si>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</si>
  <si>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</si>
  <si>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</si>
  <si>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</si>
  <si>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</si>
  <si>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</si>
  <si>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</si>
  <si>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</si>
  <si>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</si>
  <si>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</si>
  <si>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</si>
  <si>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</si>
  <si>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</si>
  <si>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</si>
  <si>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</si>
  <si>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</si>
  <si>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</si>
  <si>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</si>
  <si>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</si>
  <si>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</si>
  <si>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</si>
  <si>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</si>
  <si>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</si>
  <si>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</si>
  <si>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</si>
  <si>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</si>
  <si>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</si>
  <si>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</si>
  <si>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</si>
  <si>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</si>
  <si>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</si>
  <si>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</si>
  <si>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</si>
  <si>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</si>
  <si>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</si>
  <si>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</si>
  <si>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</si>
  <si>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</si>
  <si>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</si>
  <si>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</si>
  <si>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</si>
  <si>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</si>
  <si>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</si>
  <si>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</si>
  <si>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</si>
  <si>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</si>
  <si>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</si>
  <si>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</si>
  <si>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</si>
  <si>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</si>
  <si>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</si>
  <si>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</si>
  <si>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</si>
  <si>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</si>
  <si>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</si>
  <si>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</si>
  <si>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</si>
  <si>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</si>
  <si>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</si>
  <si>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</si>
  <si>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</si>
  <si>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</si>
  <si>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</si>
  <si>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</si>
  <si>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</si>
  <si>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</si>
  <si>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</si>
  <si>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</si>
  <si>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</si>
  <si>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</si>
  <si>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</si>
  <si>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</si>
  <si>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</si>
  <si>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</si>
  <si>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</si>
  <si>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</si>
  <si>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</si>
  <si>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</si>
  <si>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</si>
  <si>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</si>
  <si>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</si>
  <si>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</si>
  <si>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</si>
  <si>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</si>
  <si>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</si>
  <si>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</si>
  <si>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</si>
  <si>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</si>
  <si>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</si>
  <si>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</si>
  <si>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</si>
  <si>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</si>
  <si>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</si>
  <si>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</si>
  <si>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</si>
  <si>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</si>
  <si>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</si>
  <si>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</si>
  <si>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</si>
  <si>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</si>
  <si>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</si>
  <si>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</si>
  <si>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</si>
  <si>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</si>
  <si>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</si>
  <si>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</si>
  <si>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</si>
  <si>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</si>
  <si>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</si>
  <si>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</si>
  <si>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</si>
  <si>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</si>
  <si>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</si>
  <si>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</si>
  <si>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</si>
  <si>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</si>
  <si>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</si>
  <si>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</si>
  <si>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</si>
  <si>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</si>
  <si>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</si>
  <si>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</si>
  <si>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</si>
  <si>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</si>
  <si>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</si>
  <si>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</si>
  <si>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</si>
  <si>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</si>
  <si>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</si>
  <si>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</si>
  <si>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</si>
  <si>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</si>
  <si>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</si>
  <si>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</si>
  <si>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</si>
  <si>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</si>
  <si>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</si>
  <si>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</si>
  <si>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</si>
  <si>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</si>
  <si>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</si>
  <si>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</si>
  <si>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</si>
  <si>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</si>
  <si>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</si>
  <si>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</si>
  <si>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</si>
  <si>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</si>
  <si>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</si>
  <si>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</si>
  <si>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</si>
  <si>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</si>
  <si>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</si>
  <si>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</si>
  <si>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</si>
  <si>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</si>
  <si>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</si>
  <si>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</si>
  <si>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</si>
  <si>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</si>
  <si>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</si>
  <si>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</si>
  <si>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</si>
  <si>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</si>
  <si>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</si>
  <si>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</si>
  <si>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</si>
  <si>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</si>
  <si>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</si>
  <si>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</si>
  <si>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</si>
  <si>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</si>
  <si>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</si>
  <si>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</si>
  <si>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</si>
  <si>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</si>
  <si>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</si>
  <si>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</si>
  <si>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</si>
  <si>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</si>
  <si>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</si>
  <si>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</si>
  <si>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</si>
  <si>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</si>
  <si>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</si>
  <si>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</si>
  <si>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</si>
  <si>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</si>
  <si>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</si>
  <si>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</si>
  <si>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</si>
  <si>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</si>
  <si>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</si>
  <si>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</si>
  <si>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</si>
  <si>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</si>
  <si>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</si>
  <si>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</si>
  <si>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</si>
  <si>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</si>
  <si>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</si>
  <si>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</si>
  <si>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</si>
  <si>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</si>
  <si>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</si>
  <si>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</si>
  <si>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</si>
  <si>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</si>
  <si>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</si>
  <si>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</si>
  <si>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</si>
  <si>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</si>
  <si>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</si>
  <si>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</si>
  <si>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</si>
  <si>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</si>
  <si>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</si>
  <si>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</si>
  <si>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</si>
  <si>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</si>
  <si>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</si>
  <si>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</si>
  <si>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</si>
  <si>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</si>
  <si>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</si>
  <si>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</si>
  <si>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</si>
  <si>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</si>
  <si>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</si>
  <si>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</si>
  <si>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</si>
  <si>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</si>
  <si>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</si>
  <si>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</si>
  <si>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</si>
  <si>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</si>
  <si>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</si>
  <si>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</si>
  <si>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</si>
  <si>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</si>
  <si>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</si>
  <si>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</si>
  <si>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</si>
  <si>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</si>
  <si>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</si>
  <si>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</si>
  <si>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</si>
  <si>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</si>
  <si>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</si>
  <si>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</si>
  <si>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</si>
  <si>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</si>
  <si>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</si>
  <si>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</si>
  <si>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</si>
  <si>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</si>
  <si>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</si>
  <si>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</si>
  <si>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</si>
  <si>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</si>
  <si>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</si>
  <si>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</si>
  <si>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</si>
  <si>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</si>
  <si>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</si>
  <si>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</si>
  <si>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</si>
  <si>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</si>
  <si>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</si>
  <si>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</si>
  <si>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</si>
  <si>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</si>
  <si>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</si>
  <si>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</si>
  <si>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</si>
  <si>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</si>
  <si>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</si>
  <si>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</si>
  <si>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</si>
  <si>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</si>
  <si>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</si>
  <si>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</si>
  <si>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</si>
  <si>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</si>
  <si>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</si>
  <si>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</si>
  <si>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</si>
  <si>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</si>
  <si>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</si>
  <si>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</si>
  <si>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</si>
  <si>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</si>
  <si>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</si>
  <si>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</si>
  <si>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</si>
  <si>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</si>
  <si>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</si>
  <si>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</si>
  <si>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</si>
  <si>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</si>
  <si>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</si>
  <si>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</si>
  <si>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</si>
  <si>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</si>
  <si>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</si>
  <si>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</si>
  <si>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</si>
  <si>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</si>
  <si>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</si>
  <si>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</si>
  <si>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</si>
  <si>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</si>
  <si>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</si>
  <si>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</si>
  <si>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</si>
  <si>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</si>
  <si>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</si>
  <si>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</si>
  <si>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</si>
  <si>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</si>
  <si>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</si>
  <si>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</si>
  <si>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</si>
  <si>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</si>
  <si>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</si>
  <si>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</si>
  <si>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</si>
  <si>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</si>
  <si>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</si>
  <si>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</si>
  <si>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</si>
  <si>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</si>
  <si>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</si>
  <si>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</si>
  <si>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</si>
  <si>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</si>
  <si>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</si>
  <si>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</si>
  <si>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</si>
  <si>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</si>
  <si>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</si>
  <si>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</si>
  <si>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</si>
  <si>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</si>
  <si>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</si>
  <si>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</si>
  <si>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</si>
  <si>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</si>
  <si>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</si>
  <si>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</si>
  <si>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</si>
  <si>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</si>
  <si>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</si>
  <si>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</si>
  <si>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</si>
  <si>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</si>
  <si>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</si>
  <si>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</si>
  <si>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</si>
  <si>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</si>
  <si>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</si>
  <si>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</si>
  <si>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</si>
  <si>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</si>
  <si>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</si>
  <si>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</si>
  <si>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</si>
  <si>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</si>
  <si>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</si>
  <si>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</si>
  <si>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</si>
  <si>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</si>
  <si>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</si>
  <si>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</si>
  <si>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</si>
  <si>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</si>
  <si>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</si>
  <si>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</si>
  <si>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</si>
  <si>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</si>
  <si>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</si>
  <si>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</si>
  <si>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</si>
  <si>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</si>
  <si>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</si>
  <si>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</si>
  <si>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</si>
  <si>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</si>
  <si>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</si>
  <si>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</si>
  <si>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</si>
  <si>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</si>
  <si>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</si>
  <si>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</si>
  <si>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</si>
  <si>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</si>
  <si>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</si>
  <si>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</si>
  <si>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</si>
  <si>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</si>
  <si>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</si>
  <si>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</si>
  <si>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</si>
  <si>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</si>
  <si>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</si>
  <si>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</si>
  <si>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</si>
  <si>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</si>
  <si>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</si>
  <si>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</si>
  <si>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</si>
  <si>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</si>
  <si>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</si>
  <si>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</si>
  <si>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</si>
  <si>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</si>
  <si>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</si>
  <si>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</si>
  <si>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</si>
  <si>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</si>
  <si>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</si>
  <si>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</si>
  <si>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</si>
  <si>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</si>
  <si>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</si>
  <si>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</si>
  <si>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</si>
  <si>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</si>
  <si>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</si>
  <si>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</si>
  <si>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</si>
  <si>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</si>
  <si>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</si>
  <si>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</si>
  <si>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</si>
  <si>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</si>
  <si>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</si>
  <si>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</si>
  <si>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</si>
  <si>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</si>
  <si>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</si>
  <si>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</si>
  <si>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</si>
  <si>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</si>
  <si>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</si>
  <si>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</si>
  <si>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</si>
  <si>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</si>
  <si>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</si>
  <si>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</si>
  <si>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</si>
  <si>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</si>
  <si>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</si>
  <si>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</si>
  <si>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</si>
  <si>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</si>
  <si>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</si>
  <si>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</si>
  <si>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</si>
  <si>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</si>
  <si>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</si>
  <si>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</si>
  <si>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</si>
  <si>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</si>
  <si>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</si>
  <si>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</si>
  <si>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</si>
  <si>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</si>
  <si>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</si>
  <si>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</si>
  <si>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</si>
  <si>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</si>
  <si>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</si>
  <si>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</si>
  <si>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</si>
  <si>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</si>
  <si>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</si>
  <si>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</si>
  <si>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</si>
  <si>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</si>
  <si>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</si>
  <si>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</si>
  <si>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</si>
  <si>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</si>
  <si>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</si>
  <si>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</si>
  <si>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</si>
  <si>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</si>
  <si>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</si>
  <si>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</si>
  <si>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</si>
  <si>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</si>
  <si>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</si>
  <si>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</si>
  <si>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</si>
  <si>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</si>
  <si>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</si>
  <si>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</si>
  <si>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</si>
  <si>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</si>
  <si>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</si>
  <si>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</si>
  <si>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</si>
  <si>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</si>
  <si>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</si>
  <si>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</si>
  <si>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</si>
  <si>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</si>
  <si>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</si>
  <si>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</si>
  <si>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</si>
  <si>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</si>
  <si>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</si>
  <si>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</si>
  <si>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</si>
  <si>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</si>
  <si>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</si>
  <si>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</si>
  <si>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</si>
  <si>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</si>
  <si>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</si>
  <si>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</si>
  <si>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</si>
  <si>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</si>
  <si>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</si>
  <si>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</si>
  <si>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</si>
  <si>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</si>
  <si>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</si>
  <si>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</si>
  <si>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</si>
  <si>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</si>
  <si>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</si>
  <si>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</si>
  <si>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</si>
  <si>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</si>
  <si>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</si>
  <si>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</si>
  <si>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</si>
  <si>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</si>
  <si>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</si>
  <si>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</si>
  <si>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</si>
  <si>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</si>
  <si>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</si>
  <si>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</si>
  <si>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</si>
  <si>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</si>
  <si>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</si>
  <si>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</si>
  <si>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</si>
  <si>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</si>
  <si>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</si>
  <si>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</si>
  <si>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</si>
  <si>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</si>
  <si>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</si>
  <si>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</si>
  <si>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</si>
  <si>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</si>
  <si>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</si>
  <si>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</si>
  <si>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</si>
  <si>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</si>
  <si>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</si>
  <si>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</si>
  <si>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</si>
  <si>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</si>
  <si>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</si>
  <si>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</si>
  <si>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</si>
  <si>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</si>
  <si>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</si>
  <si>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</si>
  <si>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</si>
  <si>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</si>
  <si>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</si>
  <si>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</si>
  <si>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</si>
  <si>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</si>
  <si>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</si>
  <si>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</si>
  <si>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</si>
  <si>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</si>
  <si>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</si>
  <si>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</si>
  <si>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</si>
  <si>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</si>
  <si>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</si>
  <si>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</si>
  <si>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</si>
  <si>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</si>
  <si>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</si>
  <si>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</si>
  <si>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</si>
  <si>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</si>
  <si>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</si>
  <si>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</si>
  <si>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</si>
  <si>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</si>
  <si>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</si>
  <si>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</si>
  <si>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</si>
  <si>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</si>
  <si>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</si>
  <si>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</si>
  <si>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</si>
  <si>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</si>
  <si>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</si>
  <si>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</si>
  <si>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</si>
  <si>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</si>
  <si>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</si>
  <si>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</si>
  <si>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</si>
  <si>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</si>
  <si>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</si>
  <si>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</si>
  <si>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</si>
  <si>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</si>
  <si>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</si>
  <si>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</si>
  <si>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</si>
  <si>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</si>
  <si>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</si>
  <si>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</si>
  <si>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</si>
  <si>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</si>
  <si>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</si>
  <si>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</si>
  <si>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</si>
  <si>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</si>
  <si>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</si>
  <si>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</si>
  <si>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</si>
  <si>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</si>
  <si>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</si>
  <si>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</si>
  <si>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</si>
  <si>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</si>
  <si>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</si>
  <si>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</si>
  <si>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</si>
  <si>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</si>
  <si>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</si>
  <si>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</si>
  <si>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</si>
  <si>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</si>
  <si>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</si>
  <si>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</si>
  <si>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</si>
  <si>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</si>
  <si>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</si>
  <si>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</si>
  <si>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</si>
  <si>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</si>
  <si>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</si>
  <si>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</si>
  <si>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</si>
  <si>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</si>
  <si>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</si>
  <si>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</si>
  <si>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</si>
  <si>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</si>
  <si>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</si>
  <si>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</si>
  <si>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</si>
  <si>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</si>
  <si>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</si>
  <si>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</si>
  <si>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</si>
  <si>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</si>
  <si>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</si>
  <si>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</si>
  <si>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</si>
  <si>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</si>
  <si>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</si>
  <si>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</si>
  <si>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</si>
  <si>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</si>
  <si>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</si>
  <si>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</si>
  <si>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</si>
  <si>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</si>
  <si>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</si>
  <si>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</si>
  <si>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</si>
  <si>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</si>
  <si>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</si>
  <si>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</si>
  <si>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</si>
  <si>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</si>
  <si>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</si>
  <si>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</si>
  <si>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</si>
  <si>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</si>
  <si>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</si>
  <si>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</si>
  <si>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</si>
  <si>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</si>
  <si>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</si>
  <si>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</si>
  <si>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</si>
  <si>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</si>
  <si>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</si>
  <si>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</si>
  <si>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</si>
  <si>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</si>
  <si>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</si>
  <si>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</si>
  <si>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</si>
  <si>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</si>
  <si>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</si>
  <si>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</si>
  <si>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</si>
  <si>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</si>
  <si>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</si>
  <si>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</si>
  <si>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</si>
  <si>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</si>
  <si>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</si>
  <si>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</si>
  <si>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</si>
  <si>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</si>
  <si>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</si>
  <si>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</si>
  <si>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</si>
  <si>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</si>
  <si>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</si>
  <si>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</si>
  <si>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</si>
  <si>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</si>
  <si>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</si>
  <si>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</si>
  <si>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</si>
  <si>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</si>
  <si>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</si>
  <si>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</si>
  <si>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</si>
  <si>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</si>
  <si>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</si>
  <si>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</si>
  <si>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</si>
  <si>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</si>
  <si>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</si>
  <si>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</si>
  <si>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</si>
  <si>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</si>
  <si>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</si>
  <si>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</si>
  <si>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</si>
  <si>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</si>
  <si>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</si>
  <si>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</si>
  <si>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</si>
  <si>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</si>
  <si>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</si>
  <si>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</si>
  <si>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</si>
  <si>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</si>
  <si>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</si>
  <si>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</si>
  <si>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</si>
  <si>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</si>
  <si>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</si>
  <si>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</si>
  <si>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</si>
  <si>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</si>
  <si>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</si>
  <si>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</si>
  <si>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</si>
  <si>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</si>
  <si>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</si>
  <si>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</si>
  <si>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</si>
  <si>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</si>
  <si>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</si>
  <si>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</si>
  <si>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</si>
  <si>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</si>
  <si>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</si>
  <si>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</si>
  <si>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</si>
  <si>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</si>
  <si>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</si>
  <si>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</si>
  <si>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</si>
  <si>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</si>
  <si>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</si>
  <si>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</si>
  <si>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</si>
  <si>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</si>
  <si>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</si>
  <si>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</si>
  <si>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</si>
  <si>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</si>
  <si>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</si>
  <si>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</si>
  <si>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</si>
  <si>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</si>
  <si>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</si>
  <si>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</si>
  <si>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</si>
  <si>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</si>
  <si>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</si>
  <si>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</si>
  <si>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</si>
  <si>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</si>
  <si>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</si>
  <si>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</si>
  <si>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</si>
  <si>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</si>
  <si>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</si>
  <si>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</si>
  <si>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</si>
  <si>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</si>
  <si>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</si>
  <si>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</si>
  <si>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</si>
  <si>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</si>
  <si>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</si>
  <si>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</si>
  <si>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</si>
  <si>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</si>
  <si>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</si>
  <si>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</si>
  <si>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</si>
  <si>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</si>
  <si>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</si>
  <si>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</si>
  <si>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</si>
  <si>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</si>
  <si>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</si>
  <si>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</si>
  <si>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</si>
  <si>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</si>
  <si>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</si>
  <si>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</si>
  <si>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</si>
  <si>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</si>
  <si>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</si>
  <si>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</si>
  <si>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</si>
  <si>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</si>
  <si>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</si>
  <si>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</si>
  <si>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</si>
  <si>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</si>
  <si>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</si>
  <si>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</si>
  <si>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</si>
  <si>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</si>
  <si>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</si>
  <si>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</si>
  <si>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</si>
  <si>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</si>
  <si>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</si>
  <si>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</si>
  <si>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</si>
  <si>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</si>
  <si>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</si>
  <si>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</si>
  <si>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</si>
  <si>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</si>
  <si>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</si>
  <si>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</si>
  <si>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</si>
  <si>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</si>
  <si>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</si>
  <si>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</si>
  <si>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</si>
  <si>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</si>
  <si>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</si>
  <si>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</si>
  <si>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</si>
  <si>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</si>
  <si>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</si>
  <si>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</si>
  <si>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</si>
  <si>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</si>
  <si>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</si>
  <si>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</si>
  <si>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</si>
  <si>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</si>
  <si>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</si>
  <si>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</si>
  <si>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</si>
  <si>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</si>
  <si>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</si>
  <si>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</si>
  <si>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</si>
  <si>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</si>
  <si>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</si>
  <si>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</si>
  <si>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</si>
  <si>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</si>
  <si>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</si>
  <si>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</si>
  <si>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</si>
  <si>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</si>
  <si>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</si>
  <si>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</si>
  <si>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</si>
  <si>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</si>
  <si>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</si>
  <si>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</si>
  <si>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</si>
  <si>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</si>
  <si>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</si>
  <si>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</si>
  <si>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</si>
  <si>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</si>
  <si>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</si>
  <si>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</si>
  <si>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</si>
  <si>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</si>
  <si>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</si>
  <si>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</si>
  <si>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</si>
  <si>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</si>
  <si>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</si>
  <si>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</si>
  <si>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</si>
  <si>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</si>
  <si>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</si>
  <si>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</si>
  <si>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</si>
  <si>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</si>
  <si>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</si>
  <si>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</si>
  <si>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</si>
  <si>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</si>
  <si>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</si>
  <si>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</si>
  <si>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</si>
  <si>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</si>
  <si>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</si>
  <si>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</si>
  <si>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</si>
  <si>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</si>
  <si>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</si>
  <si>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</si>
  <si>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</si>
  <si>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</si>
  <si>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</si>
  <si>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</si>
  <si>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</si>
  <si>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</si>
  <si>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</si>
  <si>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</si>
  <si>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</si>
  <si>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</si>
  <si>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</si>
  <si>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</si>
  <si>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</si>
  <si>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</si>
  <si>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</si>
  <si>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</si>
  <si>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</si>
  <si>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</si>
  <si>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</si>
  <si>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</si>
  <si>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</si>
  <si>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</si>
  <si>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</si>
  <si>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</si>
  <si>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</si>
  <si>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</si>
  <si>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</si>
  <si>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</si>
  <si>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</si>
  <si>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</si>
  <si>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</si>
  <si>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</si>
  <si>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</si>
  <si>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</si>
  <si>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</si>
  <si>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</si>
  <si>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</si>
  <si>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</si>
  <si>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</si>
  <si>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</si>
  <si>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</si>
  <si>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</si>
  <si>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</si>
  <si>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</si>
  <si>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</si>
  <si>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</si>
  <si>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</si>
  <si>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</si>
  <si>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</si>
  <si>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</si>
  <si>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</si>
  <si>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</si>
  <si>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</si>
  <si>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</si>
  <si>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</si>
  <si>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</si>
  <si>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</si>
  <si>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</si>
  <si>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</si>
  <si>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</si>
  <si>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</si>
  <si>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</si>
  <si>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</si>
  <si>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</si>
  <si>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</si>
  <si>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</si>
  <si>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</si>
  <si>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</si>
  <si>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</si>
  <si>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</si>
  <si>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</si>
  <si>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</si>
  <si>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</si>
  <si>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</si>
  <si>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</si>
  <si>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</si>
  <si>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</si>
  <si>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</si>
  <si>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</si>
  <si>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</si>
  <si>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</si>
  <si>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</si>
  <si>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</si>
  <si>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</si>
  <si>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</si>
  <si>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</si>
  <si>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</si>
  <si>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</si>
  <si>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</si>
  <si>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</si>
  <si>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</si>
  <si>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</si>
  <si>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</si>
  <si>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</si>
  <si>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</si>
  <si>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</si>
  <si>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</si>
  <si>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</si>
  <si>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</si>
  <si>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</si>
  <si>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</si>
  <si>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</si>
  <si>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</si>
  <si>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</si>
  <si>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</si>
  <si>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</si>
  <si>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</si>
  <si>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</si>
  <si>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</si>
  <si>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</si>
  <si>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</si>
  <si>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</si>
  <si>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</si>
  <si>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</si>
  <si>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</si>
  <si>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</si>
  <si>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</si>
  <si>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</si>
  <si>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</si>
  <si>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</si>
  <si>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</si>
  <si>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</si>
  <si>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</si>
  <si>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</si>
  <si>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</si>
  <si>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</si>
  <si>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</si>
  <si>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</si>
  <si>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</si>
  <si>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</si>
  <si>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</si>
  <si>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</si>
  <si>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</si>
  <si>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</si>
  <si>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</si>
  <si>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</si>
  <si>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</si>
  <si>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</si>
  <si>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</si>
  <si>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</si>
  <si>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</si>
  <si>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</si>
  <si>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</si>
  <si>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</si>
  <si>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</si>
  <si>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</si>
  <si>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</si>
  <si>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</si>
  <si>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</si>
  <si>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</si>
  <si>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</si>
  <si>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</si>
  <si>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</si>
  <si>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</si>
  <si>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</si>
  <si>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</si>
  <si>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</si>
  <si>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</si>
  <si>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</si>
  <si>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</si>
  <si>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</si>
  <si>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</si>
  <si>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</si>
  <si>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</si>
  <si>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</si>
  <si>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</si>
  <si>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</si>
  <si>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</si>
  <si>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</si>
  <si>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</si>
  <si>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</si>
  <si>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</si>
  <si>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</si>
  <si>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</si>
  <si>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</si>
  <si>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</si>
  <si>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</si>
  <si>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</si>
  <si>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</si>
  <si>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</si>
  <si>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</si>
  <si>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</si>
  <si>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</si>
  <si>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</si>
  <si>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</si>
  <si>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</si>
  <si>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</si>
  <si>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</si>
  <si>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</si>
  <si>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</si>
  <si>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</si>
  <si>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</si>
  <si>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</si>
  <si>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</si>
  <si>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</si>
  <si>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</si>
  <si>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</si>
  <si>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</si>
  <si>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</si>
  <si>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</si>
  <si>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</si>
  <si>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</si>
  <si>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</si>
  <si>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</si>
  <si>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</si>
  <si>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</si>
  <si>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</si>
  <si>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</si>
  <si>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</si>
  <si>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</si>
  <si>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</si>
  <si>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</si>
  <si>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</si>
  <si>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</si>
  <si>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</si>
  <si>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</si>
  <si>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</si>
  <si>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</si>
  <si>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</si>
  <si>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</si>
  <si>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</si>
  <si>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</si>
  <si>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</si>
  <si>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</si>
  <si>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</si>
  <si>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</si>
  <si>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</si>
  <si>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</si>
  <si>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</si>
  <si>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</si>
  <si>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</si>
  <si>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</si>
  <si>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</si>
  <si>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</si>
  <si>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</si>
  <si>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</si>
  <si>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</si>
  <si>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</si>
  <si>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</si>
  <si>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</si>
  <si>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</si>
  <si>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</si>
  <si>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</si>
  <si>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</si>
  <si>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</si>
  <si>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</si>
  <si>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</si>
  <si>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</si>
  <si>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</si>
  <si>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</si>
  <si>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</si>
  <si>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</si>
  <si>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</si>
  <si>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</si>
  <si>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</si>
  <si>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</si>
  <si>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</si>
  <si>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</si>
  <si>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</si>
  <si>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</si>
  <si>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</si>
  <si>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</si>
  <si>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</si>
  <si>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</si>
  <si>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</si>
  <si>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</si>
  <si>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</si>
  <si>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</si>
  <si>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</si>
  <si>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</si>
  <si>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</si>
  <si>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</si>
  <si>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</si>
  <si>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</si>
  <si>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</si>
  <si>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</si>
  <si>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</si>
  <si>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</si>
  <si>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</si>
  <si>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</si>
  <si>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</si>
  <si>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</si>
  <si>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</si>
  <si>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</si>
  <si>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</si>
  <si>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</si>
  <si>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</si>
  <si>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</si>
  <si>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</si>
  <si>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</si>
  <si>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</si>
  <si>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</si>
  <si>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</si>
  <si>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</si>
  <si>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</si>
  <si>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</si>
  <si>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</si>
  <si>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</si>
  <si>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</si>
  <si>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</si>
  <si>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</si>
  <si>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</si>
  <si>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</si>
  <si>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</si>
  <si>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</si>
  <si>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</si>
  <si>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</si>
  <si>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</si>
  <si>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</si>
  <si>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</si>
  <si>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</si>
  <si>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</si>
  <si>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</si>
  <si>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</si>
  <si>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</si>
  <si>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</si>
  <si>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</si>
  <si>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</si>
  <si>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</si>
  <si>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</si>
  <si>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</si>
  <si>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</si>
  <si>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</si>
  <si>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</si>
  <si>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</si>
  <si>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</si>
  <si>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</si>
  <si>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</si>
  <si>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</si>
  <si>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</si>
  <si>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</si>
  <si>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</si>
  <si>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</si>
  <si>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</si>
  <si>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</si>
  <si>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</si>
  <si>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</si>
  <si>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</si>
  <si>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</si>
  <si>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</si>
  <si>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</si>
  <si>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</si>
  <si>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</si>
  <si>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</si>
  <si>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</si>
  <si>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</si>
  <si>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</si>
  <si>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</si>
  <si>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</si>
  <si>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</si>
  <si>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</si>
  <si>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</si>
  <si>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</si>
  <si>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</si>
  <si>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</si>
  <si>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</si>
  <si>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</si>
  <si>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</si>
  <si>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</si>
  <si>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</si>
  <si>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</si>
  <si>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</si>
  <si>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</si>
  <si>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</si>
  <si>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</si>
  <si>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</si>
  <si>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</si>
  <si>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</si>
  <si>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</si>
  <si>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</si>
  <si>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</si>
  <si>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</si>
  <si>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</si>
  <si>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</si>
  <si>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</si>
  <si>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</si>
  <si>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</si>
  <si>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</si>
  <si>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</si>
  <si>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</si>
  <si>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</si>
  <si>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</si>
  <si>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</si>
  <si>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</si>
  <si>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</si>
  <si>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</si>
  <si>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</si>
  <si>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</si>
  <si>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</si>
  <si>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</si>
  <si>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</si>
  <si>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</si>
  <si>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</si>
  <si>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</si>
  <si>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</si>
  <si>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</si>
  <si>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</si>
  <si>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</si>
  <si>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</si>
  <si>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</si>
  <si>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</si>
  <si>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</si>
  <si>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</si>
  <si>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</si>
  <si>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</si>
  <si>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</si>
  <si>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</si>
  <si>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</si>
  <si>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</si>
  <si>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</si>
  <si>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</si>
  <si>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</si>
  <si>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</si>
  <si>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</si>
  <si>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</si>
  <si>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</si>
  <si>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</si>
  <si>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</si>
  <si>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</si>
  <si>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</si>
  <si>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</si>
  <si>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</si>
  <si>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</si>
  <si>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</si>
  <si>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</si>
  <si>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</si>
  <si>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</si>
  <si>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</si>
  <si>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</si>
  <si>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</si>
  <si>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</si>
  <si>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Trust Fund - py reflected estimated balance and this adjustment corrects beginning balance per statements.</t>
  </si>
  <si>
    <t>Adj to beg balance per py 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</si>
</sst>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62">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xf numFmtId="0" fontId="16" fillId="0" borderId="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0" borderId="0"/>
    <xf numFmtId="0" fontId="1" fillId="15" borderId="35" applyNumberFormat="0" applyFont="0" applyAlignment="0" applyProtection="0"/>
    <xf numFmtId="0" fontId="1" fillId="0" borderId="0"/>
    <xf numFmtId="0" fontId="36" fillId="0" borderId="0"/>
  </cellStyleXfs>
  <cellXfs count="348">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39" fontId="82" fillId="0" borderId="0" xfId="0" applyNumberFormat="1" applyFont="1"/>
    <xf numFmtId="40" fontId="9" fillId="0" borderId="6" xfId="0" applyNumberFormat="1" applyFont="1" applyBorder="1"/>
    <xf numFmtId="40" fontId="9" fillId="0" borderId="6" xfId="0" applyNumberFormat="1" applyFont="1" applyBorder="1" applyAlignment="1">
      <alignment horizontal="right"/>
    </xf>
    <xf numFmtId="0" fontId="48" fillId="0" borderId="0" xfId="0" applyFont="1" applyAlignment="1">
      <alignment wrapText="1"/>
    </xf>
    <xf numFmtId="0" fontId="83" fillId="40" borderId="0" xfId="0" applyFont="1" applyFill="1"/>
    <xf numFmtId="0" fontId="16" fillId="0" borderId="0" xfId="0" applyFont="1" applyProtection="1">
      <protection locked="0"/>
    </xf>
    <xf numFmtId="40" fontId="15" fillId="46" borderId="0" xfId="0" applyNumberFormat="1" applyFont="1" applyFill="1"/>
    <xf numFmtId="0" fontId="41" fillId="40" borderId="0" xfId="0" applyFont="1" applyFill="1"/>
    <xf numFmtId="4" fontId="7" fillId="0" borderId="0" xfId="0" applyNumberFormat="1" applyFont="1" applyProtection="1">
      <protection locked="0"/>
    </xf>
    <xf numFmtId="0" fontId="16" fillId="0" borderId="0" xfId="45" applyProtection="1">
      <protection locked="0"/>
    </xf>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73" fillId="46" borderId="0" xfId="0" applyFont="1" applyFill="1" applyAlignment="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xf numFmtId="49" fontId="16" fillId="0" borderId="0" xfId="0" applyNumberFormat="1" applyFont="1" applyAlignment="1">
      <alignment horizontal="left"/>
    </xf>
    <xf numFmtId="49" fontId="16" fillId="0" borderId="10" xfId="0" applyNumberFormat="1" applyFont="1" applyBorder="1" applyAlignment="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cellXfs>
  <cellStyles count="62">
    <cellStyle name="20% - Accent1" xfId="17" builtinId="30" customBuiltin="1"/>
    <cellStyle name="20% - Accent1 2" xfId="46" xr:uid="{57E15F42-E83F-4CC3-A614-7930A052EDDC}"/>
    <cellStyle name="20% - Accent2" xfId="21" builtinId="34" customBuiltin="1"/>
    <cellStyle name="20% - Accent2 2" xfId="48" xr:uid="{79430EF8-E595-4E10-9820-3CDE48759C94}"/>
    <cellStyle name="20% - Accent3" xfId="25" builtinId="38" customBuiltin="1"/>
    <cellStyle name="20% - Accent3 2" xfId="50" xr:uid="{1AF6C709-66DB-44DA-9006-5175DA129A59}"/>
    <cellStyle name="20% - Accent4" xfId="29" builtinId="42" customBuiltin="1"/>
    <cellStyle name="20% - Accent4 2" xfId="52" xr:uid="{47B26D72-0EA0-409C-AFE8-0E86E6242DD2}"/>
    <cellStyle name="20% - Accent5" xfId="33" builtinId="46" customBuiltin="1"/>
    <cellStyle name="20% - Accent5 2" xfId="54" xr:uid="{BD1E2511-562A-45FB-9D54-E60106AFE98C}"/>
    <cellStyle name="20% - Accent6" xfId="37" builtinId="50" customBuiltin="1"/>
    <cellStyle name="20% - Accent6 2" xfId="56" xr:uid="{B7E5DCB2-7127-4FE0-B6D0-071D1D8156C2}"/>
    <cellStyle name="40% - Accent1" xfId="18" builtinId="31" customBuiltin="1"/>
    <cellStyle name="40% - Accent1 2" xfId="47" xr:uid="{85C5119D-D171-47D7-ABF9-2FDF65040458}"/>
    <cellStyle name="40% - Accent2" xfId="22" builtinId="35" customBuiltin="1"/>
    <cellStyle name="40% - Accent2 2" xfId="49" xr:uid="{AB01D0E7-2D06-4296-BDD4-70F4CA819A92}"/>
    <cellStyle name="40% - Accent3" xfId="26" builtinId="39" customBuiltin="1"/>
    <cellStyle name="40% - Accent3 2" xfId="51" xr:uid="{0A0FCF1B-729F-4FAD-8F50-EAB659AF3BA9}"/>
    <cellStyle name="40% - Accent4" xfId="30" builtinId="43" customBuiltin="1"/>
    <cellStyle name="40% - Accent4 2" xfId="53" xr:uid="{22E1A684-DDA0-412A-B369-B45DBEA035F3}"/>
    <cellStyle name="40% - Accent5" xfId="34" builtinId="47" customBuiltin="1"/>
    <cellStyle name="40% - Accent5 2" xfId="55" xr:uid="{15404D5E-E587-49A3-B5E8-71AF5DD2CA34}"/>
    <cellStyle name="40% - Accent6" xfId="38" builtinId="51" customBuiltin="1"/>
    <cellStyle name="40% - Accent6 2" xfId="57" xr:uid="{577FD139-CE40-4324-AAC4-380ED5286713}"/>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2 2" xfId="58" xr:uid="{FE620165-494A-4939-AC17-653DBABF4F87}"/>
    <cellStyle name="Normal 3" xfId="43" xr:uid="{00000000-0005-0000-0000-000026000000}"/>
    <cellStyle name="Normal 3 2" xfId="60" xr:uid="{13AF425D-95B1-451C-85C6-332E40724E8F}"/>
    <cellStyle name="Normal 4" xfId="44" xr:uid="{4593146B-18D1-4E3C-A4FA-C9B7D170F76A}"/>
    <cellStyle name="Normal 4 2" xfId="61" xr:uid="{C4589301-8106-48D1-9365-F38100247428}"/>
    <cellStyle name="Normal 5" xfId="45" xr:uid="{1DB178CE-6D8E-4AB1-BA9E-9C21D0649CAE}"/>
    <cellStyle name="Note 2" xfId="42" xr:uid="{00000000-0005-0000-0000-000027000000}"/>
    <cellStyle name="Note 2 2" xfId="59" xr:uid="{62F4DA0A-52EC-4151-8B24-A89690450E8D}"/>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Normal="100" workbookViewId="0">
      <selection activeCell="H672" sqref="H672"/>
    </sheetView>
  </sheetViews>
  <sheetFormatPr defaultRowHeight="12.2" customHeight="1" x14ac:dyDescent="0.2"/>
  <cols>
    <col min="1" max="1" width="48.6640625" customWidth="1"/>
    <col min="2" max="2" width="5.332031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1021</v>
      </c>
      <c r="B2">
        <f>INDEX('School Tables'!$AH$3:$AH$213,MATCH('DOE25'!A2,'School Tables'!$AJ$3:$AJ$213,0))</f>
        <v>174</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936637.90852500545</v>
      </c>
      <c r="G9" s="18">
        <v>0</v>
      </c>
      <c r="H9" s="18">
        <v>111405.16</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v>0</v>
      </c>
      <c r="H10" s="18">
        <v>105887.51</v>
      </c>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3197456.94</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25471.89</v>
      </c>
      <c r="G13" s="18">
        <v>264055.18</v>
      </c>
      <c r="H13" s="18">
        <v>3238266.96</v>
      </c>
      <c r="I13" s="18"/>
      <c r="J13" s="13">
        <f>SUM(I443)</f>
        <v>3417415.94</v>
      </c>
      <c r="K13" s="23" t="s">
        <v>288</v>
      </c>
      <c r="L13" s="23" t="s">
        <v>288</v>
      </c>
      <c r="M13" s="8"/>
      <c r="N13" s="164"/>
    </row>
    <row r="14" spans="1:14" s="3" customFormat="1" ht="12.2" customHeight="1" x14ac:dyDescent="0.15">
      <c r="A14" s="1" t="s">
        <v>565</v>
      </c>
      <c r="B14" s="2" t="s">
        <v>289</v>
      </c>
      <c r="C14" s="6">
        <v>6</v>
      </c>
      <c r="D14" s="2" t="s">
        <v>428</v>
      </c>
      <c r="E14" s="6">
        <v>150</v>
      </c>
      <c r="F14" s="18">
        <v>0</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23537</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7200</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4166766.7385250055</v>
      </c>
      <c r="G19" s="38">
        <f>SUM(G9:G18)</f>
        <v>287592.18</v>
      </c>
      <c r="H19" s="38">
        <f>SUM(H9:H18)</f>
        <v>3455559.63</v>
      </c>
      <c r="I19" s="38">
        <f>SUM(I9:I18)</f>
        <v>0</v>
      </c>
      <c r="J19" s="38">
        <f>SUM(J9:J18)</f>
        <v>3417415.94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3197456.94</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271557.03999999998</v>
      </c>
      <c r="G24" s="18">
        <v>57873.37</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1993354.42</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606128.30000000005</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206181.81</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2871039.76</v>
      </c>
      <c r="G32" s="38">
        <f>SUM(G22:G31)</f>
        <v>264055.18</v>
      </c>
      <c r="H32" s="38">
        <f>SUM(H22:H31)</f>
        <v>3197456.94</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23537</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7200</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258102.69</v>
      </c>
      <c r="I48" s="18"/>
      <c r="J48" s="13">
        <f>SUM(I460)</f>
        <v>3417415.94</v>
      </c>
      <c r="K48" s="23" t="s">
        <v>288</v>
      </c>
      <c r="L48" s="23" t="s">
        <v>288</v>
      </c>
      <c r="M48" s="8"/>
      <c r="N48" s="164"/>
    </row>
    <row r="49" spans="1:14" s="3" customFormat="1" ht="12.2" customHeight="1" x14ac:dyDescent="0.15">
      <c r="A49" s="1" t="s">
        <v>855</v>
      </c>
      <c r="B49" s="2" t="s">
        <v>289</v>
      </c>
      <c r="C49" s="6">
        <v>34</v>
      </c>
      <c r="D49" s="2"/>
      <c r="E49" s="6">
        <v>753</v>
      </c>
      <c r="F49" s="18">
        <v>303903.61</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734623.37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1295726.98</v>
      </c>
      <c r="G51" s="38">
        <f>SUM(G35:G50)</f>
        <v>23537</v>
      </c>
      <c r="H51" s="38">
        <f>SUM(H35:H50)</f>
        <v>258102.69</v>
      </c>
      <c r="I51" s="38">
        <f>SUM(I35:I50)</f>
        <v>0</v>
      </c>
      <c r="J51" s="38">
        <f>SUM(J35:J50)</f>
        <v>3417415.94</v>
      </c>
      <c r="K51" s="42" t="s">
        <v>288</v>
      </c>
      <c r="L51" s="42" t="s">
        <v>288</v>
      </c>
      <c r="N51" s="130"/>
    </row>
    <row r="52" spans="1:14" s="3" customFormat="1" ht="12.2" customHeight="1" thickTop="1" x14ac:dyDescent="0.15">
      <c r="A52" s="35" t="s">
        <v>455</v>
      </c>
      <c r="B52" s="36" t="s">
        <v>289</v>
      </c>
      <c r="C52" s="6">
        <v>37</v>
      </c>
      <c r="D52" s="36" t="s">
        <v>653</v>
      </c>
      <c r="E52" s="36"/>
      <c r="F52" s="38">
        <f>F51+F32</f>
        <v>4166766.7399999998</v>
      </c>
      <c r="G52" s="38">
        <f>G51+G32</f>
        <v>287592.18</v>
      </c>
      <c r="H52" s="38">
        <f>H51+H32</f>
        <v>3455559.63</v>
      </c>
      <c r="I52" s="38">
        <f>I51+I32</f>
        <v>0</v>
      </c>
      <c r="J52" s="38">
        <f>J51+J32</f>
        <v>3417415.94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19385345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v>0</v>
      </c>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19385345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671735.38</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12989.04</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52362.68</v>
      </c>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737087.10000000009</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187388.63</v>
      </c>
      <c r="G96" s="18"/>
      <c r="H96" s="18"/>
      <c r="I96" s="18"/>
      <c r="J96" s="18">
        <v>23019.07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295681.39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v>8300</v>
      </c>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6061.06</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68579.179999999993</v>
      </c>
      <c r="G110" s="18"/>
      <c r="H110" s="18">
        <v>35668.32</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270328.87</v>
      </c>
      <c r="G111" s="38">
        <f>SUM(G96:G110)</f>
        <v>295681.39</v>
      </c>
      <c r="H111" s="38">
        <f>SUM(H96:H110)</f>
        <v>35668.32</v>
      </c>
      <c r="I111" s="38">
        <f>SUM(I96:I110)</f>
        <v>0</v>
      </c>
      <c r="J111" s="38">
        <f>SUM(J96:J110)</f>
        <v>23019.07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20392760.970000003</v>
      </c>
      <c r="G112" s="38">
        <f>G60+G111</f>
        <v>295681.39</v>
      </c>
      <c r="H112" s="38">
        <f>H60+H79+H94+H111</f>
        <v>35668.32</v>
      </c>
      <c r="I112" s="38">
        <f>I60+I111</f>
        <v>0</v>
      </c>
      <c r="J112" s="38">
        <f>J60+J111</f>
        <v>23019.07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9330629.2699999996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1991374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10695.64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11332698.91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57038.49</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605155.81999999995</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107168.24</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33297.599999999999</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13053.4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802660.14999999991</v>
      </c>
      <c r="G136" s="38">
        <f>SUM(G123:G135)</f>
        <v>13053.4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12135359.060000001</v>
      </c>
      <c r="G140" s="38">
        <f>G121+SUM(G136:G137)</f>
        <v>13053.4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7194.28</v>
      </c>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389196.03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100388.12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73740.240000000005</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405055.98000000004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304296.34999999998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111183.44</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c r="H162" s="18">
        <v>2782824.36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118377.72</v>
      </c>
      <c r="G163" s="38">
        <f>SUM(G150:G162)</f>
        <v>405055.98000000004</v>
      </c>
      <c r="H163" s="38">
        <f>SUM(H150:H162)</f>
        <v>3650445.0999999996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118377.72</v>
      </c>
      <c r="G170" s="38">
        <f>G147+G163+SUM(G164:G169)</f>
        <v>405055.98000000004</v>
      </c>
      <c r="H170" s="38">
        <f>H147+H163+SUM(H164:H169)</f>
        <v>3650445.0999999996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310441.34000000003</v>
      </c>
      <c r="H180" s="18"/>
      <c r="I180" s="18"/>
      <c r="J180" s="18">
        <v>250000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310441.34000000003</v>
      </c>
      <c r="H184" s="38">
        <f>SUM(H180:H183)</f>
        <v>0</v>
      </c>
      <c r="I184" s="38">
        <f>SUM(I180:I183)</f>
        <v>0</v>
      </c>
      <c r="J184" s="38">
        <f>SUM(J180:J183)</f>
        <v>250000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52999.99</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52999.99</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52999.99</v>
      </c>
      <c r="G193" s="38">
        <f>G184+SUM(G189:G192)</f>
        <v>310441.34000000003</v>
      </c>
      <c r="H193" s="38">
        <f>+H184+SUM(H189:H192)</f>
        <v>0</v>
      </c>
      <c r="I193" s="38">
        <f>I178+I184+SUM(I189:I192)</f>
        <v>0</v>
      </c>
      <c r="J193" s="38">
        <f>J184</f>
        <v>250000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32699497.739999998</v>
      </c>
      <c r="G194" s="38">
        <f>G112+G140+G170+G193</f>
        <v>1024232.1100000001</v>
      </c>
      <c r="H194" s="38">
        <f>H112+H140+H170+H193</f>
        <v>3686113.4199999995</v>
      </c>
      <c r="I194" s="38">
        <f>I112+I140+I170+I193</f>
        <v>0</v>
      </c>
      <c r="J194" s="38">
        <f>J112+J140+J193</f>
        <v>273019.07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4845564.3600000003</v>
      </c>
      <c r="G198" s="18">
        <v>2838245.3</v>
      </c>
      <c r="H198" s="18">
        <v>3387.5099999999998</v>
      </c>
      <c r="I198" s="18">
        <v>176342.16</v>
      </c>
      <c r="J198" s="18">
        <v>42302.12</v>
      </c>
      <c r="K198" s="18">
        <v>5582.45</v>
      </c>
      <c r="L198" s="13">
        <f>SUM(F198:K198)</f>
        <v>7911423.9000000004</v>
      </c>
      <c r="M198" s="8"/>
      <c r="N198" s="164"/>
    </row>
    <row r="199" spans="1:14" s="3" customFormat="1" ht="12.2" customHeight="1" x14ac:dyDescent="0.15">
      <c r="A199" s="1" t="s">
        <v>439</v>
      </c>
      <c r="B199" s="2" t="s">
        <v>341</v>
      </c>
      <c r="C199" s="2" t="s">
        <v>291</v>
      </c>
      <c r="D199" s="2" t="s">
        <v>431</v>
      </c>
      <c r="E199" s="6">
        <v>1200</v>
      </c>
      <c r="F199" s="18">
        <v>2755536.6203953335</v>
      </c>
      <c r="G199" s="18">
        <v>1096837.9955106666</v>
      </c>
      <c r="H199" s="18">
        <v>1225013.8117439998</v>
      </c>
      <c r="I199" s="18">
        <v>16115.453329999998</v>
      </c>
      <c r="J199" s="18">
        <v>3333</v>
      </c>
      <c r="K199" s="18">
        <v>1410.45894</v>
      </c>
      <c r="L199" s="13">
        <f>SUM(F199:K199)</f>
        <v>5098247.3399200002</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85562.5</v>
      </c>
      <c r="G201" s="18">
        <v>16049.93</v>
      </c>
      <c r="H201" s="18">
        <v>8824.6600000000017</v>
      </c>
      <c r="I201" s="18">
        <v>12895.41</v>
      </c>
      <c r="J201" s="18">
        <v>14560.839999999998</v>
      </c>
      <c r="K201" s="18">
        <v>0</v>
      </c>
      <c r="L201" s="13">
        <f>SUM(F201:K201)</f>
        <v>137893.34</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1009817.9265526667</v>
      </c>
      <c r="G203" s="18">
        <v>568400.94542599993</v>
      </c>
      <c r="H203" s="18">
        <v>57786.900547999991</v>
      </c>
      <c r="I203" s="18">
        <v>16259.796666666667</v>
      </c>
      <c r="J203" s="18">
        <v>0</v>
      </c>
      <c r="K203" s="18">
        <v>-50</v>
      </c>
      <c r="L203" s="13">
        <f t="shared" ref="L203:L207" si="0">SUM(F203:K203)</f>
        <v>1652215.5691933332</v>
      </c>
      <c r="M203" s="8"/>
      <c r="N203" s="164"/>
    </row>
    <row r="204" spans="1:14" s="3" customFormat="1" ht="12.2" customHeight="1" x14ac:dyDescent="0.15">
      <c r="A204" s="1" t="s">
        <v>443</v>
      </c>
      <c r="B204" s="2" t="s">
        <v>341</v>
      </c>
      <c r="C204" s="2" t="s">
        <v>295</v>
      </c>
      <c r="D204" s="2" t="s">
        <v>431</v>
      </c>
      <c r="E204" s="6">
        <v>2200</v>
      </c>
      <c r="F204" s="18">
        <v>538446.43405066663</v>
      </c>
      <c r="G204" s="18">
        <v>232013.47584533333</v>
      </c>
      <c r="H204" s="18">
        <v>96813.83310933334</v>
      </c>
      <c r="I204" s="18">
        <v>252508.46372266664</v>
      </c>
      <c r="J204" s="18">
        <v>32633.008232</v>
      </c>
      <c r="K204" s="18">
        <v>14130.778554666666</v>
      </c>
      <c r="L204" s="13">
        <f t="shared" si="0"/>
        <v>1166545.9935146666</v>
      </c>
      <c r="M204" s="8"/>
      <c r="N204" s="164"/>
    </row>
    <row r="205" spans="1:14" s="3" customFormat="1" ht="12.2" customHeight="1" x14ac:dyDescent="0.15">
      <c r="A205" s="1" t="s">
        <v>444</v>
      </c>
      <c r="B205" s="2" t="s">
        <v>341</v>
      </c>
      <c r="C205" s="2" t="s">
        <v>296</v>
      </c>
      <c r="D205" s="2" t="s">
        <v>431</v>
      </c>
      <c r="E205" s="6">
        <v>2300</v>
      </c>
      <c r="F205" s="318">
        <v>233410.94</v>
      </c>
      <c r="G205" s="4">
        <v>95152.41</v>
      </c>
      <c r="H205" s="18">
        <v>119211.75333333333</v>
      </c>
      <c r="I205" s="18">
        <v>17750.286666666667</v>
      </c>
      <c r="J205" s="18">
        <v>2598</v>
      </c>
      <c r="K205" s="18">
        <v>5683.8533333333335</v>
      </c>
      <c r="L205" s="13">
        <f t="shared" si="0"/>
        <v>473807.24333333329</v>
      </c>
      <c r="M205" s="8"/>
      <c r="N205" s="164"/>
    </row>
    <row r="206" spans="1:14" s="3" customFormat="1" ht="12.2" customHeight="1" x14ac:dyDescent="0.15">
      <c r="A206" s="1" t="s">
        <v>445</v>
      </c>
      <c r="B206" s="2" t="s">
        <v>341</v>
      </c>
      <c r="C206" s="2" t="s">
        <v>297</v>
      </c>
      <c r="D206" s="2" t="s">
        <v>431</v>
      </c>
      <c r="E206" s="6">
        <v>2400</v>
      </c>
      <c r="F206" s="18">
        <v>822710.72000000009</v>
      </c>
      <c r="G206" s="18">
        <v>385035.75</v>
      </c>
      <c r="H206" s="18">
        <v>64689.820000000007</v>
      </c>
      <c r="I206" s="18">
        <v>13033.95</v>
      </c>
      <c r="J206" s="18">
        <v>5117.2199999999993</v>
      </c>
      <c r="K206" s="18">
        <v>1599</v>
      </c>
      <c r="L206" s="13">
        <f>SUM(F206:K206)</f>
        <v>1292186.4600000002</v>
      </c>
      <c r="M206" s="8"/>
      <c r="N206" s="164"/>
    </row>
    <row r="207" spans="1:14" s="3" customFormat="1" ht="12.2" customHeight="1" x14ac:dyDescent="0.15">
      <c r="A207" s="1" t="s">
        <v>446</v>
      </c>
      <c r="B207" s="2" t="s">
        <v>341</v>
      </c>
      <c r="C207" s="2" t="s">
        <v>298</v>
      </c>
      <c r="D207" s="2" t="s">
        <v>431</v>
      </c>
      <c r="E207" s="6">
        <v>2500</v>
      </c>
      <c r="F207" s="4">
        <v>185371.74666666664</v>
      </c>
      <c r="G207" s="4">
        <v>76400.346666666665</v>
      </c>
      <c r="H207" s="18">
        <v>16546.2</v>
      </c>
      <c r="I207" s="18">
        <v>32867.533333333333</v>
      </c>
      <c r="J207" s="18">
        <v>2707.2466666666664</v>
      </c>
      <c r="K207" s="18">
        <v>712.66666666666663</v>
      </c>
      <c r="L207" s="13">
        <f t="shared" si="0"/>
        <v>314605.74</v>
      </c>
      <c r="M207" s="8"/>
      <c r="N207" s="164"/>
    </row>
    <row r="208" spans="1:14" s="3" customFormat="1" ht="12.2" customHeight="1" x14ac:dyDescent="0.15">
      <c r="A208" s="1" t="s">
        <v>447</v>
      </c>
      <c r="B208" s="2" t="s">
        <v>341</v>
      </c>
      <c r="C208" s="2" t="s">
        <v>299</v>
      </c>
      <c r="D208" s="2" t="s">
        <v>431</v>
      </c>
      <c r="E208" s="6">
        <v>2600</v>
      </c>
      <c r="F208" s="18">
        <v>803302.37228833325</v>
      </c>
      <c r="G208" s="18">
        <v>357346.99317000003</v>
      </c>
      <c r="H208" s="18">
        <v>902167.98049899982</v>
      </c>
      <c r="I208" s="18">
        <v>443348.04995500005</v>
      </c>
      <c r="J208" s="18">
        <v>63231.658684999988</v>
      </c>
      <c r="K208" s="18">
        <v>0</v>
      </c>
      <c r="L208" s="13">
        <f>SUM(F208:K208)</f>
        <v>2569397.0545973335</v>
      </c>
      <c r="M208" s="8"/>
      <c r="N208" s="164"/>
    </row>
    <row r="209" spans="1:14" s="3" customFormat="1" ht="12.2" customHeight="1" x14ac:dyDescent="0.15">
      <c r="A209" s="1" t="s">
        <v>448</v>
      </c>
      <c r="B209" s="2" t="s">
        <v>341</v>
      </c>
      <c r="C209" s="2" t="s">
        <v>300</v>
      </c>
      <c r="D209" s="2" t="s">
        <v>431</v>
      </c>
      <c r="E209" s="6">
        <v>2700</v>
      </c>
      <c r="F209" s="18">
        <v>380310.12154599995</v>
      </c>
      <c r="G209" s="18">
        <v>81694.80314399999</v>
      </c>
      <c r="H209" s="18">
        <v>232476.23300399998</v>
      </c>
      <c r="I209" s="18">
        <v>115750.42200000001</v>
      </c>
      <c r="J209" s="18">
        <v>156819.19199999998</v>
      </c>
      <c r="K209" s="18">
        <v>0</v>
      </c>
      <c r="L209" s="13">
        <f>SUM(F209:K209)</f>
        <v>967050.77169399988</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11660033.741499666</v>
      </c>
      <c r="G212" s="38">
        <f t="shared" si="1"/>
        <v>5747177.9497626657</v>
      </c>
      <c r="H212" s="38">
        <f t="shared" si="1"/>
        <v>2726918.7022376666</v>
      </c>
      <c r="I212" s="38">
        <f t="shared" si="1"/>
        <v>1096871.5256743333</v>
      </c>
      <c r="J212" s="38">
        <f t="shared" si="1"/>
        <v>323302.28558366664</v>
      </c>
      <c r="K212" s="38">
        <f t="shared" si="1"/>
        <v>29069.207494666665</v>
      </c>
      <c r="L212" s="38">
        <f t="shared" si="1"/>
        <v>21583373.412252668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1984480.19</v>
      </c>
      <c r="G234" s="18">
        <v>1000262.8</v>
      </c>
      <c r="H234" s="18">
        <v>42146.5</v>
      </c>
      <c r="I234" s="18">
        <v>84825.62999999999</v>
      </c>
      <c r="J234" s="18">
        <v>63290.979999999996</v>
      </c>
      <c r="K234" s="18">
        <v>12814.26</v>
      </c>
      <c r="L234" s="13">
        <f>SUM(F234:K234)</f>
        <v>3187820.36</v>
      </c>
      <c r="M234" s="8"/>
      <c r="N234" s="164"/>
    </row>
    <row r="235" spans="1:14" s="3" customFormat="1" ht="12.2" customHeight="1" x14ac:dyDescent="0.15">
      <c r="A235" s="1" t="s">
        <v>439</v>
      </c>
      <c r="B235" s="2" t="s">
        <v>350</v>
      </c>
      <c r="C235" s="2" t="s">
        <v>291</v>
      </c>
      <c r="D235" s="2" t="s">
        <v>431</v>
      </c>
      <c r="E235" s="6">
        <v>1200</v>
      </c>
      <c r="F235" s="18">
        <v>1157916.1896046665</v>
      </c>
      <c r="G235" s="18">
        <v>535685.62448933336</v>
      </c>
      <c r="H235" s="18">
        <v>614396.92825599981</v>
      </c>
      <c r="I235" s="18">
        <v>14908.95667</v>
      </c>
      <c r="J235" s="18">
        <v>1846.9999999999998</v>
      </c>
      <c r="K235" s="18">
        <v>1220.6310600000002</v>
      </c>
      <c r="L235" s="13">
        <f>SUM(F235:K235)</f>
        <v>2325975.3300800002</v>
      </c>
      <c r="M235" s="8"/>
      <c r="N235" s="164"/>
    </row>
    <row r="236" spans="1:14" s="3" customFormat="1" ht="12.2" customHeight="1" x14ac:dyDescent="0.15">
      <c r="A236" s="1" t="s">
        <v>440</v>
      </c>
      <c r="B236" s="2" t="s">
        <v>350</v>
      </c>
      <c r="C236" s="2" t="s">
        <v>292</v>
      </c>
      <c r="D236" s="2" t="s">
        <v>431</v>
      </c>
      <c r="E236" s="6">
        <v>1300</v>
      </c>
      <c r="F236" s="18">
        <v>370715.49</v>
      </c>
      <c r="G236" s="18">
        <v>140805.92000000001</v>
      </c>
      <c r="H236" s="18">
        <v>318228.16000000003</v>
      </c>
      <c r="I236" s="18">
        <v>35204.6</v>
      </c>
      <c r="J236" s="18">
        <v>5474.08</v>
      </c>
      <c r="K236" s="18">
        <v>160</v>
      </c>
      <c r="L236" s="13">
        <f>SUM(F236:K236)</f>
        <v>870588.25</v>
      </c>
      <c r="M236" s="8"/>
      <c r="N236" s="164"/>
    </row>
    <row r="237" spans="1:14" s="3" customFormat="1" ht="12.2" customHeight="1" x14ac:dyDescent="0.15">
      <c r="A237" s="1" t="s">
        <v>441</v>
      </c>
      <c r="B237" s="2" t="s">
        <v>350</v>
      </c>
      <c r="C237" s="2" t="s">
        <v>293</v>
      </c>
      <c r="D237" s="2" t="s">
        <v>431</v>
      </c>
      <c r="E237" s="6">
        <v>1400</v>
      </c>
      <c r="F237" s="18">
        <v>197526.65</v>
      </c>
      <c r="G237" s="18">
        <v>67179</v>
      </c>
      <c r="H237" s="18">
        <v>65737.77</v>
      </c>
      <c r="I237" s="18">
        <v>16453.599999999999</v>
      </c>
      <c r="J237" s="18">
        <v>29217.49</v>
      </c>
      <c r="K237" s="18">
        <v>4996.8</v>
      </c>
      <c r="L237" s="13">
        <f>SUM(F237:K237)</f>
        <v>381111.31</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477306.55344733334</v>
      </c>
      <c r="G239" s="18">
        <v>269411.71457399998</v>
      </c>
      <c r="H239" s="18">
        <v>95121.21945199999</v>
      </c>
      <c r="I239" s="18">
        <v>8412.4033333333336</v>
      </c>
      <c r="J239" s="18">
        <v>0</v>
      </c>
      <c r="K239" s="18">
        <v>687</v>
      </c>
      <c r="L239" s="13">
        <f t="shared" ref="L239:L245" si="4">SUM(F239:K239)</f>
        <v>850938.89080666658</v>
      </c>
      <c r="M239" s="8"/>
      <c r="N239" s="164"/>
    </row>
    <row r="240" spans="1:14" s="3" customFormat="1" ht="12.2" customHeight="1" x14ac:dyDescent="0.15">
      <c r="A240" s="1" t="s">
        <v>443</v>
      </c>
      <c r="B240" s="2" t="s">
        <v>350</v>
      </c>
      <c r="C240" s="2" t="s">
        <v>295</v>
      </c>
      <c r="D240" s="2" t="s">
        <v>431</v>
      </c>
      <c r="E240" s="6">
        <v>2200</v>
      </c>
      <c r="F240" s="18">
        <v>290911.31594933337</v>
      </c>
      <c r="G240" s="18">
        <v>140808.34415466667</v>
      </c>
      <c r="H240" s="18">
        <v>46656.646890666663</v>
      </c>
      <c r="I240" s="18">
        <v>125978.23627733332</v>
      </c>
      <c r="J240" s="18">
        <v>13668.081768</v>
      </c>
      <c r="K240" s="18">
        <v>6953.1314453333325</v>
      </c>
      <c r="L240" s="13">
        <f t="shared" si="4"/>
        <v>624975.75648533343</v>
      </c>
      <c r="M240" s="8"/>
      <c r="N240" s="164"/>
    </row>
    <row r="241" spans="1:14" s="3" customFormat="1" ht="12.2" customHeight="1" x14ac:dyDescent="0.15">
      <c r="A241" s="1" t="s">
        <v>444</v>
      </c>
      <c r="B241" s="2" t="s">
        <v>350</v>
      </c>
      <c r="C241" s="2" t="s">
        <v>296</v>
      </c>
      <c r="D241" s="2" t="s">
        <v>431</v>
      </c>
      <c r="E241" s="6">
        <v>2300</v>
      </c>
      <c r="F241" s="18">
        <v>116705.46999999999</v>
      </c>
      <c r="G241" s="18">
        <v>47576.206666666665</v>
      </c>
      <c r="H241" s="18">
        <v>59605.876666666663</v>
      </c>
      <c r="I241" s="18">
        <v>8875.1433333333334</v>
      </c>
      <c r="J241" s="18">
        <v>1299</v>
      </c>
      <c r="K241" s="18">
        <v>2841.9266666666667</v>
      </c>
      <c r="L241" s="13">
        <f t="shared" si="4"/>
        <v>236903.62333333329</v>
      </c>
      <c r="M241" s="8"/>
      <c r="N241" s="164"/>
    </row>
    <row r="242" spans="1:14" s="3" customFormat="1" ht="12.2" customHeight="1" x14ac:dyDescent="0.15">
      <c r="A242" s="1" t="s">
        <v>445</v>
      </c>
      <c r="B242" s="2" t="s">
        <v>350</v>
      </c>
      <c r="C242" s="2" t="s">
        <v>297</v>
      </c>
      <c r="D242" s="2" t="s">
        <v>431</v>
      </c>
      <c r="E242" s="6">
        <v>2400</v>
      </c>
      <c r="F242" s="18">
        <v>325158.28999999998</v>
      </c>
      <c r="G242" s="18">
        <v>193256.29</v>
      </c>
      <c r="H242" s="18">
        <v>13333.82</v>
      </c>
      <c r="I242" s="18">
        <v>7158.46</v>
      </c>
      <c r="J242" s="18">
        <v>14332.56</v>
      </c>
      <c r="K242" s="18">
        <v>1698</v>
      </c>
      <c r="L242" s="13">
        <f t="shared" si="4"/>
        <v>554937.41999999993</v>
      </c>
      <c r="M242" s="8"/>
      <c r="N242" s="164"/>
    </row>
    <row r="243" spans="1:14" s="3" customFormat="1" ht="12.2" customHeight="1" x14ac:dyDescent="0.15">
      <c r="A243" s="1" t="s">
        <v>446</v>
      </c>
      <c r="B243" s="2" t="s">
        <v>350</v>
      </c>
      <c r="C243" s="2" t="s">
        <v>298</v>
      </c>
      <c r="D243" s="2" t="s">
        <v>431</v>
      </c>
      <c r="E243" s="6">
        <v>2500</v>
      </c>
      <c r="F243" s="18">
        <v>92685.873333333322</v>
      </c>
      <c r="G243" s="18">
        <v>38200.173333333332</v>
      </c>
      <c r="H243" s="18">
        <v>8273.1</v>
      </c>
      <c r="I243" s="18">
        <v>16433.766666666666</v>
      </c>
      <c r="J243" s="18">
        <v>1353.6233333333332</v>
      </c>
      <c r="K243" s="18">
        <v>356.33333333333331</v>
      </c>
      <c r="L243" s="13">
        <f t="shared" si="4"/>
        <v>157302.87</v>
      </c>
      <c r="M243" s="8"/>
      <c r="N243" s="164"/>
    </row>
    <row r="244" spans="1:14" s="3" customFormat="1" ht="12.2" customHeight="1" x14ac:dyDescent="0.15">
      <c r="A244" s="1" t="s">
        <v>447</v>
      </c>
      <c r="B244" s="2" t="s">
        <v>350</v>
      </c>
      <c r="C244" s="2" t="s">
        <v>299</v>
      </c>
      <c r="D244" s="2" t="s">
        <v>431</v>
      </c>
      <c r="E244" s="6">
        <v>2600</v>
      </c>
      <c r="F244" s="18">
        <v>388549.01771166665</v>
      </c>
      <c r="G244" s="18">
        <v>182828.32683000001</v>
      </c>
      <c r="H244" s="18">
        <v>251843.59950099999</v>
      </c>
      <c r="I244" s="18">
        <v>203098.440045</v>
      </c>
      <c r="J244" s="18">
        <v>27656.881314999999</v>
      </c>
      <c r="K244" s="18">
        <v>0</v>
      </c>
      <c r="L244" s="13">
        <f t="shared" si="4"/>
        <v>1053976.2654026665</v>
      </c>
      <c r="M244" s="8"/>
      <c r="N244" s="164"/>
    </row>
    <row r="245" spans="1:14" s="3" customFormat="1" ht="12.2" customHeight="1" x14ac:dyDescent="0.15">
      <c r="A245" s="1" t="s">
        <v>448</v>
      </c>
      <c r="B245" s="2" t="s">
        <v>350</v>
      </c>
      <c r="C245" s="2" t="s">
        <v>300</v>
      </c>
      <c r="D245" s="2" t="s">
        <v>431</v>
      </c>
      <c r="E245" s="6">
        <v>2700</v>
      </c>
      <c r="F245" s="18">
        <v>302244.008454</v>
      </c>
      <c r="G245" s="18">
        <v>62671.266856000002</v>
      </c>
      <c r="H245" s="18">
        <v>152890.60699599999</v>
      </c>
      <c r="I245" s="18">
        <v>77166.948000000004</v>
      </c>
      <c r="J245" s="18">
        <v>104546.12800000001</v>
      </c>
      <c r="K245" s="18">
        <v>0</v>
      </c>
      <c r="L245" s="13">
        <f t="shared" si="4"/>
        <v>699518.95830599999</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K248" si="5">SUM(F234:F247)</f>
        <v>5704199.0485003321</v>
      </c>
      <c r="G248" s="38">
        <f t="shared" si="5"/>
        <v>2678685.6669039996</v>
      </c>
      <c r="H248" s="38">
        <f t="shared" si="5"/>
        <v>1668234.2277623334</v>
      </c>
      <c r="I248" s="38">
        <f t="shared" si="5"/>
        <v>598516.18432566663</v>
      </c>
      <c r="J248" s="38">
        <f t="shared" si="5"/>
        <v>262685.82441633334</v>
      </c>
      <c r="K248" s="38">
        <f t="shared" si="5"/>
        <v>31728.082505333332</v>
      </c>
      <c r="L248" s="38">
        <f t="shared" ref="L248" si="6">SUM(L234:L247)</f>
        <v>10944049.034413999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7">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7"/>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7"/>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7"/>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7"/>
        <v>0</v>
      </c>
      <c r="M255" s="8"/>
      <c r="N255" s="164"/>
    </row>
    <row r="256" spans="1:14" s="3" customFormat="1" ht="12.2" customHeight="1" thickBot="1" x14ac:dyDescent="0.2">
      <c r="A256" s="1" t="s">
        <v>584</v>
      </c>
      <c r="B256" s="2" t="s">
        <v>352</v>
      </c>
      <c r="C256" s="6">
        <v>6</v>
      </c>
      <c r="D256" s="2" t="s">
        <v>431</v>
      </c>
      <c r="E256" s="6">
        <v>4000</v>
      </c>
      <c r="F256" s="18"/>
      <c r="G256" s="18"/>
      <c r="H256" s="18">
        <v>183196.47</v>
      </c>
      <c r="I256" s="18"/>
      <c r="J256" s="18"/>
      <c r="K256" s="18"/>
      <c r="L256" s="13">
        <f t="shared" si="7"/>
        <v>183196.47</v>
      </c>
      <c r="M256" s="8"/>
      <c r="N256" s="164"/>
    </row>
    <row r="257" spans="1:14" s="3" customFormat="1" ht="12.2" customHeight="1" thickTop="1" thickBot="1" x14ac:dyDescent="0.2">
      <c r="A257" s="35" t="s">
        <v>461</v>
      </c>
      <c r="B257" s="37">
        <v>10</v>
      </c>
      <c r="C257" s="37">
        <v>7</v>
      </c>
      <c r="D257" s="36" t="s">
        <v>431</v>
      </c>
      <c r="E257" s="37"/>
      <c r="F257" s="38">
        <f t="shared" ref="F257:K257" si="8">SUM(F251:F256)</f>
        <v>0</v>
      </c>
      <c r="G257" s="38">
        <f t="shared" si="8"/>
        <v>0</v>
      </c>
      <c r="H257" s="38">
        <f t="shared" si="8"/>
        <v>183196.47</v>
      </c>
      <c r="I257" s="38">
        <f t="shared" si="8"/>
        <v>0</v>
      </c>
      <c r="J257" s="38">
        <f t="shared" si="8"/>
        <v>0</v>
      </c>
      <c r="K257" s="38">
        <f t="shared" si="8"/>
        <v>0</v>
      </c>
      <c r="L257" s="38">
        <f>SUM(F257:K257)</f>
        <v>183196.47</v>
      </c>
      <c r="M257" s="8"/>
      <c r="N257" s="164"/>
    </row>
    <row r="258" spans="1:14" s="3" customFormat="1" ht="12.2" customHeight="1" thickTop="1" x14ac:dyDescent="0.15">
      <c r="A258" s="35" t="s">
        <v>462</v>
      </c>
      <c r="B258" s="37">
        <v>10</v>
      </c>
      <c r="C258" s="37">
        <v>8</v>
      </c>
      <c r="D258" s="36" t="s">
        <v>431</v>
      </c>
      <c r="E258" s="37"/>
      <c r="F258" s="38">
        <f t="shared" ref="F258:L258" si="9">F212+F230+F248+F257</f>
        <v>17364232.789999999</v>
      </c>
      <c r="G258" s="38">
        <f t="shared" si="9"/>
        <v>8425863.6166666653</v>
      </c>
      <c r="H258" s="38">
        <f t="shared" si="9"/>
        <v>4578349.3999999994</v>
      </c>
      <c r="I258" s="38">
        <f t="shared" si="9"/>
        <v>1695387.71</v>
      </c>
      <c r="J258" s="38">
        <f t="shared" si="9"/>
        <v>585988.11</v>
      </c>
      <c r="K258" s="38">
        <f t="shared" si="9"/>
        <v>60797.289999999994</v>
      </c>
      <c r="L258" s="38">
        <f t="shared" si="9"/>
        <v>32710618.916666664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100000</v>
      </c>
      <c r="L261" s="13">
        <f>SUM(F261:K261)</f>
        <v>100000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3002.5</v>
      </c>
      <c r="L262" s="13">
        <f>SUM(F262:K262)</f>
        <v>3002.5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310441.34000000003</v>
      </c>
      <c r="L264" s="13">
        <f>SUM(F264:K264)</f>
        <v>310441.34000000003</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10">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10"/>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250000</v>
      </c>
      <c r="L267" s="13">
        <f t="shared" si="10"/>
        <v>250000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10"/>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10"/>
        <v>0</v>
      </c>
      <c r="N270" s="130"/>
    </row>
    <row r="271" spans="1:14" s="3" customFormat="1" ht="12.2" customHeight="1" thickTop="1" thickBot="1" x14ac:dyDescent="0.25">
      <c r="A271" s="40" t="s">
        <v>420</v>
      </c>
      <c r="B271" s="37">
        <v>10</v>
      </c>
      <c r="C271" s="37">
        <v>17</v>
      </c>
      <c r="D271" s="36" t="s">
        <v>431</v>
      </c>
      <c r="E271" s="37"/>
      <c r="F271" s="39">
        <f t="shared" ref="F271:K271" si="11">SUM(F261:F270)</f>
        <v>0</v>
      </c>
      <c r="G271" s="39">
        <f t="shared" si="11"/>
        <v>0</v>
      </c>
      <c r="H271" s="39">
        <f t="shared" si="11"/>
        <v>0</v>
      </c>
      <c r="I271" s="39">
        <f t="shared" si="11"/>
        <v>0</v>
      </c>
      <c r="J271" s="39">
        <f t="shared" si="11"/>
        <v>0</v>
      </c>
      <c r="K271" s="39">
        <f t="shared" si="11"/>
        <v>663443.84000000008</v>
      </c>
      <c r="L271" s="38">
        <f t="shared" si="10"/>
        <v>663443.84000000008</v>
      </c>
      <c r="M271" s="8"/>
      <c r="N271" s="164"/>
    </row>
    <row r="272" spans="1:14" s="33" customFormat="1" ht="12.2" customHeight="1" thickTop="1" x14ac:dyDescent="0.2">
      <c r="A272" s="40" t="s">
        <v>464</v>
      </c>
      <c r="B272" s="37">
        <v>10</v>
      </c>
      <c r="C272" s="37">
        <v>18</v>
      </c>
      <c r="D272" s="36" t="s">
        <v>431</v>
      </c>
      <c r="E272" s="37"/>
      <c r="F272" s="39">
        <f t="shared" ref="F272:L272" si="12">F258+F271</f>
        <v>17364232.789999999</v>
      </c>
      <c r="G272" s="39">
        <f t="shared" si="12"/>
        <v>8425863.6166666653</v>
      </c>
      <c r="H272" s="39">
        <f t="shared" si="12"/>
        <v>4578349.3999999994</v>
      </c>
      <c r="I272" s="39">
        <f t="shared" si="12"/>
        <v>1695387.71</v>
      </c>
      <c r="J272" s="39">
        <f t="shared" si="12"/>
        <v>585988.11</v>
      </c>
      <c r="K272" s="39">
        <f t="shared" si="12"/>
        <v>724241.13000000012</v>
      </c>
      <c r="L272" s="39">
        <f t="shared" si="12"/>
        <v>33374062.756666664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763419.75</v>
      </c>
      <c r="G277" s="18">
        <v>302883.95</v>
      </c>
      <c r="H277" s="18">
        <v>8519.25</v>
      </c>
      <c r="I277" s="18">
        <v>651474.71</v>
      </c>
      <c r="J277" s="18">
        <v>57340.26</v>
      </c>
      <c r="K277" s="18">
        <v>0</v>
      </c>
      <c r="L277" s="13">
        <f>SUM(F277:K277)</f>
        <v>1783637.92</v>
      </c>
      <c r="M277" s="8"/>
      <c r="N277" s="164"/>
    </row>
    <row r="278" spans="1:14" s="3" customFormat="1" ht="12.2" customHeight="1" x14ac:dyDescent="0.15">
      <c r="A278" s="1" t="s">
        <v>439</v>
      </c>
      <c r="B278" s="2" t="s">
        <v>357</v>
      </c>
      <c r="C278" s="2" t="s">
        <v>291</v>
      </c>
      <c r="D278" s="2" t="s">
        <v>431</v>
      </c>
      <c r="E278" s="6">
        <v>1200</v>
      </c>
      <c r="F278" s="18">
        <v>128607.98</v>
      </c>
      <c r="G278" s="18">
        <v>40301.480000000003</v>
      </c>
      <c r="H278" s="18">
        <v>200626.24</v>
      </c>
      <c r="I278" s="18">
        <v>17676.97</v>
      </c>
      <c r="J278" s="18">
        <v>0</v>
      </c>
      <c r="K278" s="18">
        <v>0</v>
      </c>
      <c r="L278" s="13">
        <f>SUM(F278:K278)</f>
        <v>387212.66999999993</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60377.65</v>
      </c>
      <c r="G280" s="18">
        <v>15175.87</v>
      </c>
      <c r="H280" s="18">
        <v>0</v>
      </c>
      <c r="I280" s="18">
        <v>1566.02</v>
      </c>
      <c r="J280" s="18">
        <v>0</v>
      </c>
      <c r="K280" s="18">
        <v>0</v>
      </c>
      <c r="L280" s="13">
        <f>SUM(F280:K280)</f>
        <v>77119.540000000008</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292927.61</v>
      </c>
      <c r="G282" s="18">
        <v>111113.53</v>
      </c>
      <c r="H282" s="18">
        <f>970+16682.74</f>
        <v>17652.740000000002</v>
      </c>
      <c r="I282" s="18">
        <v>10612.14</v>
      </c>
      <c r="J282" s="18">
        <v>234.02</v>
      </c>
      <c r="K282" s="18">
        <v>0</v>
      </c>
      <c r="L282" s="13">
        <f t="shared" ref="L282:L288" si="13">SUM(F282:K282)</f>
        <v>432540.04000000004</v>
      </c>
      <c r="M282" s="8"/>
      <c r="N282" s="164"/>
    </row>
    <row r="283" spans="1:14" s="3" customFormat="1" ht="12.2" customHeight="1" x14ac:dyDescent="0.15">
      <c r="A283" s="1" t="s">
        <v>443</v>
      </c>
      <c r="B283" s="2" t="s">
        <v>357</v>
      </c>
      <c r="C283" s="2" t="s">
        <v>295</v>
      </c>
      <c r="D283" s="2" t="s">
        <v>431</v>
      </c>
      <c r="E283" s="6">
        <v>2200</v>
      </c>
      <c r="F283" s="18">
        <v>28724.99</v>
      </c>
      <c r="G283" s="18">
        <v>7690.64</v>
      </c>
      <c r="H283" s="18">
        <f>84866.08+19916.66</f>
        <v>104782.74</v>
      </c>
      <c r="I283" s="18">
        <v>964.13</v>
      </c>
      <c r="J283" s="18">
        <v>0</v>
      </c>
      <c r="K283" s="18">
        <v>595.97</v>
      </c>
      <c r="L283" s="13">
        <f t="shared" si="13"/>
        <v>142758.47</v>
      </c>
      <c r="M283" s="8"/>
      <c r="N283" s="164"/>
    </row>
    <row r="284" spans="1:14" s="3" customFormat="1" ht="12.2" customHeight="1" x14ac:dyDescent="0.15">
      <c r="A284" s="1" t="s">
        <v>444</v>
      </c>
      <c r="B284" s="2" t="s">
        <v>357</v>
      </c>
      <c r="C284" s="2" t="s">
        <v>296</v>
      </c>
      <c r="D284" s="2" t="s">
        <v>431</v>
      </c>
      <c r="E284" s="6">
        <v>2300</v>
      </c>
      <c r="F284" s="18">
        <v>5886.44</v>
      </c>
      <c r="G284" s="18">
        <v>1796.81</v>
      </c>
      <c r="H284" s="18">
        <v>16873.28</v>
      </c>
      <c r="I284" s="18">
        <v>69.03</v>
      </c>
      <c r="J284" s="18">
        <v>0</v>
      </c>
      <c r="K284" s="18">
        <v>0</v>
      </c>
      <c r="L284" s="13">
        <f t="shared" si="13"/>
        <v>24625.559999999998</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SUM(F285:K285)</f>
        <v>0</v>
      </c>
      <c r="M285" s="8"/>
      <c r="N285" s="164"/>
    </row>
    <row r="286" spans="1:14" s="3" customFormat="1" ht="12.2" customHeight="1" x14ac:dyDescent="0.15">
      <c r="A286" s="1" t="s">
        <v>446</v>
      </c>
      <c r="B286" s="2" t="s">
        <v>357</v>
      </c>
      <c r="C286" s="2" t="s">
        <v>298</v>
      </c>
      <c r="D286" s="2" t="s">
        <v>431</v>
      </c>
      <c r="E286" s="6">
        <v>2500</v>
      </c>
      <c r="F286" s="18">
        <v>2458.3000000000002</v>
      </c>
      <c r="G286" s="18">
        <v>993.52</v>
      </c>
      <c r="H286" s="18">
        <v>0</v>
      </c>
      <c r="I286" s="18">
        <v>0</v>
      </c>
      <c r="J286" s="18">
        <v>0</v>
      </c>
      <c r="K286" s="18">
        <v>0</v>
      </c>
      <c r="L286" s="13">
        <f>SUM(F286:K286)</f>
        <v>3451.82</v>
      </c>
      <c r="M286" s="8"/>
      <c r="N286" s="164"/>
    </row>
    <row r="287" spans="1:14" s="3" customFormat="1" ht="12.2" customHeight="1" x14ac:dyDescent="0.15">
      <c r="A287" s="1" t="s">
        <v>447</v>
      </c>
      <c r="B287" s="2" t="s">
        <v>357</v>
      </c>
      <c r="C287" s="2" t="s">
        <v>299</v>
      </c>
      <c r="D287" s="2" t="s">
        <v>431</v>
      </c>
      <c r="E287" s="6">
        <v>2600</v>
      </c>
      <c r="F287" s="18">
        <v>0</v>
      </c>
      <c r="G287" s="18">
        <v>0</v>
      </c>
      <c r="H287" s="18">
        <v>0</v>
      </c>
      <c r="I287" s="18">
        <f>-19152.15+26762.26</f>
        <v>7610.1099999999969</v>
      </c>
      <c r="J287" s="18">
        <v>61709.49</v>
      </c>
      <c r="K287" s="18">
        <v>0</v>
      </c>
      <c r="L287" s="13">
        <f t="shared" si="13"/>
        <v>69319.599999999991</v>
      </c>
      <c r="M287" s="8"/>
      <c r="N287" s="164"/>
    </row>
    <row r="288" spans="1:14" s="3" customFormat="1" ht="12.2" customHeight="1" x14ac:dyDescent="0.15">
      <c r="A288" s="1" t="s">
        <v>448</v>
      </c>
      <c r="B288" s="2" t="s">
        <v>357</v>
      </c>
      <c r="C288" s="2" t="s">
        <v>300</v>
      </c>
      <c r="D288" s="2" t="s">
        <v>431</v>
      </c>
      <c r="E288" s="6">
        <v>2700</v>
      </c>
      <c r="F288" s="18">
        <v>0</v>
      </c>
      <c r="G288" s="18">
        <v>0</v>
      </c>
      <c r="H288" s="18">
        <v>6085.37</v>
      </c>
      <c r="I288" s="18">
        <v>0</v>
      </c>
      <c r="J288" s="18">
        <v>0</v>
      </c>
      <c r="K288" s="18">
        <v>0</v>
      </c>
      <c r="L288" s="13">
        <f t="shared" si="13"/>
        <v>6085.37</v>
      </c>
      <c r="M288" s="8"/>
      <c r="N288" s="164"/>
    </row>
    <row r="289" spans="1:14" s="3" customFormat="1" ht="12.2" customHeight="1" x14ac:dyDescent="0.15">
      <c r="A289" s="1" t="s">
        <v>449</v>
      </c>
      <c r="B289" s="2" t="s">
        <v>357</v>
      </c>
      <c r="C289" s="2" t="s">
        <v>343</v>
      </c>
      <c r="D289" s="2" t="s">
        <v>431</v>
      </c>
      <c r="E289" s="6">
        <v>2800</v>
      </c>
      <c r="F289" s="18">
        <v>0</v>
      </c>
      <c r="G289" s="18">
        <v>0</v>
      </c>
      <c r="H289" s="18">
        <f>11086.47+1026.27</f>
        <v>12112.74</v>
      </c>
      <c r="I289" s="18">
        <v>13299.24</v>
      </c>
      <c r="J289" s="18">
        <v>0</v>
      </c>
      <c r="K289" s="18">
        <v>0</v>
      </c>
      <c r="L289" s="13">
        <f>SUM(F289:K289)</f>
        <v>25411.98</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4">SUM(F277:F290)</f>
        <v>1282402.72</v>
      </c>
      <c r="G291" s="39">
        <f t="shared" si="14"/>
        <v>479955.8</v>
      </c>
      <c r="H291" s="39">
        <f t="shared" si="14"/>
        <v>366652.36</v>
      </c>
      <c r="I291" s="39">
        <f t="shared" si="14"/>
        <v>703272.35</v>
      </c>
      <c r="J291" s="39">
        <f t="shared" si="14"/>
        <v>119283.76999999999</v>
      </c>
      <c r="K291" s="39">
        <f t="shared" si="14"/>
        <v>595.97</v>
      </c>
      <c r="L291" s="38">
        <f t="shared" si="14"/>
        <v>2952162.97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5">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5"/>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5"/>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5"/>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5"/>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5"/>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5"/>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6">SUM(F296:F309)</f>
        <v>0</v>
      </c>
      <c r="G310" s="39">
        <f t="shared" si="16"/>
        <v>0</v>
      </c>
      <c r="H310" s="39">
        <f t="shared" si="16"/>
        <v>0</v>
      </c>
      <c r="I310" s="39">
        <f t="shared" si="16"/>
        <v>0</v>
      </c>
      <c r="J310" s="39">
        <f t="shared" si="16"/>
        <v>0</v>
      </c>
      <c r="K310" s="39">
        <f t="shared" si="16"/>
        <v>0</v>
      </c>
      <c r="L310" s="38">
        <f t="shared" si="16"/>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102638.87</v>
      </c>
      <c r="G315" s="18">
        <v>32602.67</v>
      </c>
      <c r="H315" s="18">
        <v>4196.05</v>
      </c>
      <c r="I315" s="18">
        <v>53459.22</v>
      </c>
      <c r="J315" s="18">
        <v>0</v>
      </c>
      <c r="K315" s="18">
        <v>0</v>
      </c>
      <c r="L315" s="13">
        <f>SUM(F315:K315)</f>
        <v>192896.80999999997</v>
      </c>
      <c r="M315" s="8"/>
      <c r="N315" s="164"/>
    </row>
    <row r="316" spans="1:14" s="3" customFormat="1" ht="12.2" customHeight="1" x14ac:dyDescent="0.15">
      <c r="A316" s="1" t="s">
        <v>439</v>
      </c>
      <c r="B316" s="2" t="s">
        <v>359</v>
      </c>
      <c r="C316" s="2" t="s">
        <v>291</v>
      </c>
      <c r="D316" s="2" t="s">
        <v>431</v>
      </c>
      <c r="E316" s="6">
        <v>1200</v>
      </c>
      <c r="F316" s="18">
        <v>23269.42</v>
      </c>
      <c r="G316" s="18">
        <v>12539.4</v>
      </c>
      <c r="H316" s="18">
        <v>39756</v>
      </c>
      <c r="I316" s="18">
        <v>8706.57</v>
      </c>
      <c r="J316" s="18">
        <v>0</v>
      </c>
      <c r="K316" s="18">
        <v>0</v>
      </c>
      <c r="L316" s="13">
        <f>SUM(F316:K316)</f>
        <v>84271.390000000014</v>
      </c>
      <c r="M316" s="8"/>
      <c r="N316" s="164"/>
    </row>
    <row r="317" spans="1:14" s="3" customFormat="1" ht="12.2" customHeight="1" x14ac:dyDescent="0.15">
      <c r="A317" s="1" t="s">
        <v>440</v>
      </c>
      <c r="B317" s="2" t="s">
        <v>359</v>
      </c>
      <c r="C317" s="2" t="s">
        <v>292</v>
      </c>
      <c r="D317" s="2" t="s">
        <v>431</v>
      </c>
      <c r="E317" s="6">
        <v>1300</v>
      </c>
      <c r="F317" s="18">
        <v>22161.49</v>
      </c>
      <c r="G317" s="18">
        <v>1998.74</v>
      </c>
      <c r="H317" s="18">
        <v>5450</v>
      </c>
      <c r="I317" s="18">
        <v>0</v>
      </c>
      <c r="J317" s="18">
        <v>35140.6</v>
      </c>
      <c r="K317" s="18">
        <f>1367.51+3145.55</f>
        <v>4513.0600000000004</v>
      </c>
      <c r="L317" s="13">
        <f>SUM(F317:K317)</f>
        <v>69263.89</v>
      </c>
      <c r="M317" s="8"/>
      <c r="N317" s="164"/>
    </row>
    <row r="318" spans="1:14" s="3" customFormat="1" ht="12.2" customHeight="1" x14ac:dyDescent="0.15">
      <c r="A318" s="1" t="s">
        <v>441</v>
      </c>
      <c r="B318" s="2" t="s">
        <v>359</v>
      </c>
      <c r="C318" s="2" t="s">
        <v>293</v>
      </c>
      <c r="D318" s="2" t="s">
        <v>431</v>
      </c>
      <c r="E318" s="6">
        <v>1400</v>
      </c>
      <c r="F318" s="18">
        <v>7372.89</v>
      </c>
      <c r="G318" s="18">
        <v>1637.62</v>
      </c>
      <c r="H318" s="18">
        <v>0</v>
      </c>
      <c r="I318" s="18">
        <v>3158.66</v>
      </c>
      <c r="J318" s="18">
        <v>0</v>
      </c>
      <c r="K318" s="18">
        <v>0</v>
      </c>
      <c r="L318" s="13">
        <f>SUM(F318:K318)</f>
        <v>12169.17</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167250.48000000001</v>
      </c>
      <c r="G320" s="18">
        <v>73612.34</v>
      </c>
      <c r="H320" s="18">
        <v>5880.27</v>
      </c>
      <c r="I320" s="18">
        <v>0</v>
      </c>
      <c r="J320" s="18">
        <v>115.27</v>
      </c>
      <c r="K320" s="18">
        <v>0</v>
      </c>
      <c r="L320" s="13">
        <f t="shared" ref="L320:L326" si="17">SUM(F320:K320)</f>
        <v>246858.36</v>
      </c>
      <c r="M320" s="8"/>
      <c r="N320" s="164"/>
    </row>
    <row r="321" spans="1:14" s="3" customFormat="1" ht="12.2" customHeight="1" x14ac:dyDescent="0.15">
      <c r="A321" s="1" t="s">
        <v>443</v>
      </c>
      <c r="B321" s="2" t="s">
        <v>359</v>
      </c>
      <c r="C321" s="2" t="s">
        <v>295</v>
      </c>
      <c r="D321" s="2" t="s">
        <v>431</v>
      </c>
      <c r="E321" s="6">
        <v>2200</v>
      </c>
      <c r="F321" s="18">
        <v>15797.96</v>
      </c>
      <c r="G321" s="18">
        <v>4191.45</v>
      </c>
      <c r="H321" s="18">
        <f>22617.84+4461.09</f>
        <v>27078.93</v>
      </c>
      <c r="I321" s="18">
        <v>474.87</v>
      </c>
      <c r="J321" s="18">
        <v>0</v>
      </c>
      <c r="K321" s="18">
        <v>293.54000000000002</v>
      </c>
      <c r="L321" s="13">
        <f t="shared" si="17"/>
        <v>47836.75</v>
      </c>
      <c r="M321" s="8"/>
      <c r="N321" s="164"/>
    </row>
    <row r="322" spans="1:14" s="3" customFormat="1" ht="12.2" customHeight="1" x14ac:dyDescent="0.15">
      <c r="A322" s="1" t="s">
        <v>444</v>
      </c>
      <c r="B322" s="2" t="s">
        <v>359</v>
      </c>
      <c r="C322" s="2" t="s">
        <v>296</v>
      </c>
      <c r="D322" s="2" t="s">
        <v>431</v>
      </c>
      <c r="E322" s="6">
        <v>2300</v>
      </c>
      <c r="F322" s="18">
        <v>2215.41</v>
      </c>
      <c r="G322" s="18">
        <v>591.53</v>
      </c>
      <c r="H322" s="18">
        <v>8310.7199999999993</v>
      </c>
      <c r="I322" s="18">
        <v>34</v>
      </c>
      <c r="J322" s="18">
        <v>0</v>
      </c>
      <c r="K322" s="18">
        <v>0</v>
      </c>
      <c r="L322" s="13">
        <f t="shared" si="17"/>
        <v>11151.66</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7"/>
        <v>0</v>
      </c>
      <c r="M323" s="8"/>
      <c r="N323" s="164"/>
    </row>
    <row r="324" spans="1:14" s="3" customFormat="1" ht="12.2" customHeight="1" x14ac:dyDescent="0.15">
      <c r="A324" s="1" t="s">
        <v>446</v>
      </c>
      <c r="B324" s="2" t="s">
        <v>359</v>
      </c>
      <c r="C324" s="2" t="s">
        <v>298</v>
      </c>
      <c r="D324" s="2" t="s">
        <v>431</v>
      </c>
      <c r="E324" s="6">
        <v>2500</v>
      </c>
      <c r="F324" s="18">
        <v>1210.81</v>
      </c>
      <c r="G324" s="18">
        <v>489.35</v>
      </c>
      <c r="H324" s="18">
        <v>0</v>
      </c>
      <c r="I324" s="18">
        <v>0</v>
      </c>
      <c r="J324" s="18">
        <v>0</v>
      </c>
      <c r="K324" s="18">
        <v>0</v>
      </c>
      <c r="L324" s="13">
        <f t="shared" si="17"/>
        <v>1700.1599999999999</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991.82</v>
      </c>
      <c r="J325" s="18">
        <v>9404.34</v>
      </c>
      <c r="K325" s="18">
        <v>0</v>
      </c>
      <c r="L325" s="13">
        <f t="shared" si="17"/>
        <v>10396.16</v>
      </c>
      <c r="M325" s="8"/>
      <c r="N325" s="164"/>
    </row>
    <row r="326" spans="1:14" s="3" customFormat="1" ht="12.2" customHeight="1" x14ac:dyDescent="0.15">
      <c r="A326" s="1" t="s">
        <v>448</v>
      </c>
      <c r="B326" s="2" t="s">
        <v>359</v>
      </c>
      <c r="C326" s="2" t="s">
        <v>300</v>
      </c>
      <c r="D326" s="2" t="s">
        <v>431</v>
      </c>
      <c r="E326" s="6">
        <v>2700</v>
      </c>
      <c r="F326" s="18">
        <v>0</v>
      </c>
      <c r="G326" s="18">
        <v>0</v>
      </c>
      <c r="H326" s="18">
        <v>2504.7399999999998</v>
      </c>
      <c r="I326" s="18">
        <v>0</v>
      </c>
      <c r="J326" s="18">
        <v>0</v>
      </c>
      <c r="K326" s="18">
        <v>0</v>
      </c>
      <c r="L326" s="13">
        <f t="shared" si="17"/>
        <v>2504.7399999999998</v>
      </c>
      <c r="M326" s="8"/>
      <c r="N326" s="164"/>
    </row>
    <row r="327" spans="1:14" s="3" customFormat="1" ht="12.2" customHeight="1" x14ac:dyDescent="0.15">
      <c r="A327" s="1" t="s">
        <v>449</v>
      </c>
      <c r="B327" s="2" t="s">
        <v>359</v>
      </c>
      <c r="C327" s="2" t="s">
        <v>343</v>
      </c>
      <c r="D327" s="2" t="s">
        <v>431</v>
      </c>
      <c r="E327" s="6">
        <v>2800</v>
      </c>
      <c r="F327" s="18">
        <v>0</v>
      </c>
      <c r="G327" s="18">
        <v>0</v>
      </c>
      <c r="H327" s="18">
        <f>5354.58+505.48</f>
        <v>5860.0599999999995</v>
      </c>
      <c r="I327" s="18">
        <v>6428.73</v>
      </c>
      <c r="J327" s="18">
        <v>0</v>
      </c>
      <c r="K327" s="18">
        <v>0</v>
      </c>
      <c r="L327" s="13">
        <f>SUM(F327:K327)</f>
        <v>12288.789999999999</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K329" si="18">SUM(F315:F328)</f>
        <v>341917.33</v>
      </c>
      <c r="G329" s="39">
        <f t="shared" si="18"/>
        <v>127663.09999999999</v>
      </c>
      <c r="H329" s="39">
        <f t="shared" si="18"/>
        <v>99036.77</v>
      </c>
      <c r="I329" s="39">
        <f t="shared" si="18"/>
        <v>73253.87</v>
      </c>
      <c r="J329" s="39">
        <f t="shared" si="18"/>
        <v>44660.209999999992</v>
      </c>
      <c r="K329" s="39">
        <f t="shared" si="18"/>
        <v>4806.6000000000004</v>
      </c>
      <c r="L329" s="38">
        <f t="shared" ref="L329" si="19">SUM(L315:L328)</f>
        <v>691337.88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20">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20"/>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20"/>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20"/>
        <v>0</v>
      </c>
      <c r="M336" s="8"/>
      <c r="N336" s="164"/>
    </row>
    <row r="337" spans="1:43" s="3" customFormat="1" ht="12.2" customHeight="1" thickBot="1" x14ac:dyDescent="0.2">
      <c r="A337" s="1" t="s">
        <v>584</v>
      </c>
      <c r="B337" s="6">
        <v>14</v>
      </c>
      <c r="C337" s="6">
        <v>5</v>
      </c>
      <c r="D337" s="2" t="s">
        <v>431</v>
      </c>
      <c r="E337" s="6">
        <v>4000</v>
      </c>
      <c r="F337" s="18">
        <v>1020.5</v>
      </c>
      <c r="G337" s="18">
        <v>0</v>
      </c>
      <c r="H337" s="18">
        <v>16437</v>
      </c>
      <c r="I337" s="18">
        <v>0</v>
      </c>
      <c r="J337" s="18">
        <v>0</v>
      </c>
      <c r="K337" s="18">
        <v>0</v>
      </c>
      <c r="L337" s="13">
        <f t="shared" si="20"/>
        <v>17457.5</v>
      </c>
      <c r="M337" s="8"/>
      <c r="N337" s="164"/>
    </row>
    <row r="338" spans="1:43" s="3" customFormat="1" ht="12.2" customHeight="1" thickTop="1" thickBot="1" x14ac:dyDescent="0.2">
      <c r="A338" s="46" t="s">
        <v>467</v>
      </c>
      <c r="B338" s="37">
        <v>14</v>
      </c>
      <c r="C338" s="47">
        <v>6</v>
      </c>
      <c r="D338" s="44" t="s">
        <v>431</v>
      </c>
      <c r="E338" s="47"/>
      <c r="F338" s="38">
        <f t="shared" ref="F338:K338" si="21">SUM(F333:F337)</f>
        <v>1020.5</v>
      </c>
      <c r="G338" s="38">
        <f t="shared" si="21"/>
        <v>0</v>
      </c>
      <c r="H338" s="38">
        <f t="shared" si="21"/>
        <v>16437</v>
      </c>
      <c r="I338" s="38">
        <f t="shared" si="21"/>
        <v>0</v>
      </c>
      <c r="J338" s="38">
        <f t="shared" si="21"/>
        <v>0</v>
      </c>
      <c r="K338" s="38">
        <f t="shared" si="21"/>
        <v>0</v>
      </c>
      <c r="L338" s="38">
        <f t="shared" si="20"/>
        <v>17457.5</v>
      </c>
      <c r="M338" s="8"/>
      <c r="N338" s="164"/>
    </row>
    <row r="339" spans="1:43" s="3" customFormat="1" ht="12.2" customHeight="1" thickTop="1" x14ac:dyDescent="0.15">
      <c r="A339" s="35" t="s">
        <v>468</v>
      </c>
      <c r="B339" s="37">
        <v>14</v>
      </c>
      <c r="C339" s="37">
        <v>7</v>
      </c>
      <c r="D339" s="36" t="s">
        <v>431</v>
      </c>
      <c r="E339" s="37"/>
      <c r="F339" s="38">
        <f t="shared" ref="F339:L339" si="22">F291+F310+F329+F338</f>
        <v>1625340.55</v>
      </c>
      <c r="G339" s="38">
        <f t="shared" si="22"/>
        <v>607618.9</v>
      </c>
      <c r="H339" s="38">
        <f t="shared" si="22"/>
        <v>482126.13</v>
      </c>
      <c r="I339" s="38">
        <f t="shared" si="22"/>
        <v>776526.22</v>
      </c>
      <c r="J339" s="38">
        <f t="shared" si="22"/>
        <v>163943.97999999998</v>
      </c>
      <c r="K339" s="38">
        <f t="shared" si="22"/>
        <v>5402.5700000000006</v>
      </c>
      <c r="L339" s="38">
        <f t="shared" si="22"/>
        <v>3660958.35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1076.6600000000001</v>
      </c>
      <c r="L345" s="13">
        <f t="shared" ref="L345:L351" si="23">SUM(F345:K345)</f>
        <v>1076.6600000000001</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3"/>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3"/>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3"/>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3"/>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3"/>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1076.6600000000001</v>
      </c>
      <c r="L352" s="38">
        <f>SUM(L342:L351)</f>
        <v>1076.6600000000001</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1625340.55</v>
      </c>
      <c r="G353" s="38">
        <f>G339</f>
        <v>607618.9</v>
      </c>
      <c r="H353" s="38">
        <f>H339</f>
        <v>482126.13</v>
      </c>
      <c r="I353" s="38">
        <f>I339</f>
        <v>776526.22</v>
      </c>
      <c r="J353" s="38">
        <f>J339</f>
        <v>163943.97999999998</v>
      </c>
      <c r="K353" s="38">
        <f>K339+K352</f>
        <v>6479.2300000000005</v>
      </c>
      <c r="L353" s="38">
        <f>L339+L352</f>
        <v>3662035.0100000002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406490.7</v>
      </c>
      <c r="I359" s="18">
        <v>304264.17999999993</v>
      </c>
      <c r="J359" s="18">
        <v>38212.43</v>
      </c>
      <c r="K359" s="18"/>
      <c r="L359" s="13">
        <f>SUM(F359:K359)</f>
        <v>748967.30999999994</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v>115190.92</v>
      </c>
      <c r="I361" s="18">
        <v>105874.57</v>
      </c>
      <c r="J361" s="18">
        <v>10140.31</v>
      </c>
      <c r="K361" s="18"/>
      <c r="L361" s="13">
        <f>SUM(F361:K361)</f>
        <v>231205.8</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4">SUM(F359:F362)</f>
        <v>0</v>
      </c>
      <c r="G363" s="38">
        <f t="shared" si="24"/>
        <v>0</v>
      </c>
      <c r="H363" s="38">
        <f t="shared" si="24"/>
        <v>521681.62</v>
      </c>
      <c r="I363" s="38">
        <f t="shared" si="24"/>
        <v>410138.74999999994</v>
      </c>
      <c r="J363" s="38">
        <f t="shared" si="24"/>
        <v>48352.74</v>
      </c>
      <c r="K363" s="38">
        <f t="shared" si="24"/>
        <v>0</v>
      </c>
      <c r="L363" s="38">
        <f t="shared" si="24"/>
        <v>980173.10999999987</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293008.00000000006</v>
      </c>
      <c r="G368" s="18"/>
      <c r="H368" s="18">
        <v>104312.03</v>
      </c>
      <c r="I368" s="13">
        <f>SUM(F368:H368)</f>
        <v>397320.03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11256.179999999998</v>
      </c>
      <c r="G369" s="53"/>
      <c r="H369" s="53">
        <v>1562.54</v>
      </c>
      <c r="I369" s="13">
        <f>SUM(F369:H369)</f>
        <v>12818.719999999998</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304264.18000000005</v>
      </c>
      <c r="G370" s="38">
        <f>SUM(G368:G369)</f>
        <v>0</v>
      </c>
      <c r="H370" s="38">
        <f>SUM(H368:H369)</f>
        <v>105874.56999999999</v>
      </c>
      <c r="I370" s="38">
        <f>SUM(I368:I369)</f>
        <v>410138.75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5">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5"/>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5"/>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5"/>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5"/>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5"/>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5"/>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6">SUM(G375:G382)</f>
        <v>0</v>
      </c>
      <c r="H383" s="97">
        <f t="shared" si="26"/>
        <v>0</v>
      </c>
      <c r="I383" s="38">
        <f t="shared" si="26"/>
        <v>0</v>
      </c>
      <c r="J383" s="38">
        <f t="shared" si="26"/>
        <v>0</v>
      </c>
      <c r="K383" s="38">
        <f t="shared" si="26"/>
        <v>0</v>
      </c>
      <c r="L383" s="38">
        <f t="shared" si="26"/>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7">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7"/>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7"/>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7"/>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7"/>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7"/>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8">SUM(F396:K396)</f>
        <v>0</v>
      </c>
      <c r="M396" s="8"/>
      <c r="N396" s="164"/>
    </row>
    <row r="397" spans="1:14" s="3" customFormat="1" ht="12.2" customHeight="1" x14ac:dyDescent="0.15">
      <c r="A397" s="62" t="s">
        <v>557</v>
      </c>
      <c r="B397" s="2" t="s">
        <v>381</v>
      </c>
      <c r="C397" s="6">
        <v>9</v>
      </c>
      <c r="D397" s="2" t="s">
        <v>432</v>
      </c>
      <c r="E397" s="6"/>
      <c r="F397" s="18"/>
      <c r="G397" s="18">
        <v>250000</v>
      </c>
      <c r="H397" s="18">
        <v>23019.07</v>
      </c>
      <c r="I397" s="4"/>
      <c r="J397" s="23" t="s">
        <v>288</v>
      </c>
      <c r="K397" s="23" t="s">
        <v>288</v>
      </c>
      <c r="L397" s="13">
        <f t="shared" si="28"/>
        <v>273019.07</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8"/>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8"/>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8"/>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8"/>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250000</v>
      </c>
      <c r="H402" s="38">
        <f>SUM(H396:H401)</f>
        <v>23019.07</v>
      </c>
      <c r="I402" s="38">
        <f>SUM(I396:I401)</f>
        <v>0</v>
      </c>
      <c r="J402" s="42" t="s">
        <v>288</v>
      </c>
      <c r="K402" s="42" t="s">
        <v>288</v>
      </c>
      <c r="L402" s="38">
        <f>SUM(L396:L401)</f>
        <v>273019.07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250000</v>
      </c>
      <c r="H409" s="38">
        <f>H394+H402+H408</f>
        <v>23019.07</v>
      </c>
      <c r="I409" s="38">
        <f>I394+I402+I408</f>
        <v>0</v>
      </c>
      <c r="J409" s="23" t="s">
        <v>288</v>
      </c>
      <c r="K409" s="23" t="s">
        <v>288</v>
      </c>
      <c r="L409" s="38">
        <f>L394+L402+L408</f>
        <v>273019.07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9">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9"/>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9"/>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9"/>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9"/>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9"/>
        <v>0</v>
      </c>
      <c r="M419" s="8"/>
      <c r="N419" s="164"/>
    </row>
    <row r="420" spans="1:21" s="3" customFormat="1" ht="12.2" customHeight="1" thickTop="1" x14ac:dyDescent="0.15">
      <c r="A420" s="116" t="s">
        <v>471</v>
      </c>
      <c r="B420" s="6">
        <v>17</v>
      </c>
      <c r="C420" s="6">
        <v>7</v>
      </c>
      <c r="D420" s="2" t="s">
        <v>432</v>
      </c>
      <c r="E420" s="37">
        <v>5251</v>
      </c>
      <c r="F420" s="97">
        <f t="shared" ref="F420:L420" si="30">SUM(F414:F419)</f>
        <v>0</v>
      </c>
      <c r="G420" s="97">
        <f t="shared" si="30"/>
        <v>0</v>
      </c>
      <c r="H420" s="97">
        <f t="shared" si="30"/>
        <v>0</v>
      </c>
      <c r="I420" s="97">
        <f t="shared" si="30"/>
        <v>0</v>
      </c>
      <c r="J420" s="97">
        <f t="shared" si="30"/>
        <v>0</v>
      </c>
      <c r="K420" s="97">
        <f t="shared" si="30"/>
        <v>0</v>
      </c>
      <c r="L420" s="38">
        <f t="shared" si="30"/>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31">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31"/>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31"/>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31"/>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31"/>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31"/>
        <v>0</v>
      </c>
      <c r="M427" s="8"/>
      <c r="N427" s="164"/>
    </row>
    <row r="428" spans="1:21" s="11" customFormat="1" ht="12.2" customHeight="1" thickTop="1" x14ac:dyDescent="0.15">
      <c r="A428" s="116" t="s">
        <v>470</v>
      </c>
      <c r="B428" s="6">
        <v>17</v>
      </c>
      <c r="C428" s="6">
        <v>14</v>
      </c>
      <c r="D428" s="2" t="s">
        <v>432</v>
      </c>
      <c r="E428" s="37">
        <v>5252</v>
      </c>
      <c r="F428" s="38">
        <f t="shared" ref="F428:L428" si="32">SUM(F422:F427)</f>
        <v>0</v>
      </c>
      <c r="G428" s="38">
        <f t="shared" si="32"/>
        <v>0</v>
      </c>
      <c r="H428" s="38">
        <f t="shared" si="32"/>
        <v>0</v>
      </c>
      <c r="I428" s="38">
        <f t="shared" si="32"/>
        <v>0</v>
      </c>
      <c r="J428" s="38">
        <f t="shared" si="32"/>
        <v>0</v>
      </c>
      <c r="K428" s="38">
        <f t="shared" si="32"/>
        <v>0</v>
      </c>
      <c r="L428" s="38">
        <f t="shared" si="32"/>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3">SUM(F430:F433)</f>
        <v>0</v>
      </c>
      <c r="G434" s="38">
        <f t="shared" si="33"/>
        <v>0</v>
      </c>
      <c r="H434" s="38">
        <f t="shared" si="33"/>
        <v>0</v>
      </c>
      <c r="I434" s="38">
        <f t="shared" si="33"/>
        <v>0</v>
      </c>
      <c r="J434" s="38">
        <f t="shared" si="33"/>
        <v>0</v>
      </c>
      <c r="K434" s="38">
        <f t="shared" si="33"/>
        <v>0</v>
      </c>
      <c r="L434" s="38">
        <f t="shared" si="33"/>
        <v>0</v>
      </c>
      <c r="M434" s="8"/>
      <c r="N434" s="164"/>
    </row>
    <row r="435" spans="1:14" s="3" customFormat="1" ht="12.2" customHeight="1" thickTop="1" x14ac:dyDescent="0.15">
      <c r="A435" s="61" t="s">
        <v>422</v>
      </c>
      <c r="B435" s="6">
        <v>17</v>
      </c>
      <c r="C435" s="6">
        <v>20</v>
      </c>
      <c r="D435" s="2" t="s">
        <v>432</v>
      </c>
      <c r="E435" s="37"/>
      <c r="F435" s="38">
        <f t="shared" ref="F435:L435" si="34">F420+F428+F434</f>
        <v>0</v>
      </c>
      <c r="G435" s="38">
        <f t="shared" si="34"/>
        <v>0</v>
      </c>
      <c r="H435" s="38">
        <f t="shared" si="34"/>
        <v>0</v>
      </c>
      <c r="I435" s="38">
        <f t="shared" si="34"/>
        <v>0</v>
      </c>
      <c r="J435" s="38">
        <f t="shared" si="34"/>
        <v>0</v>
      </c>
      <c r="K435" s="38">
        <f t="shared" si="34"/>
        <v>0</v>
      </c>
      <c r="L435" s="38">
        <f t="shared" si="34"/>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5">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5"/>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5"/>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2025907.63</v>
      </c>
      <c r="G443" s="18">
        <v>1391508.31</v>
      </c>
      <c r="H443" s="18"/>
      <c r="I443" s="13">
        <f t="shared" si="35"/>
        <v>3417415.94</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5"/>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5"/>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5"/>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2025907.63</v>
      </c>
      <c r="G447" s="13">
        <f>SUM(G440:G446)</f>
        <v>1391508.31</v>
      </c>
      <c r="H447" s="13">
        <f>SUM(H440:H446)</f>
        <v>0</v>
      </c>
      <c r="I447" s="13">
        <f>SUM(I440:I446)</f>
        <v>3417415.94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6">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6"/>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6"/>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6"/>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6"/>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2025907.63</v>
      </c>
      <c r="G460" s="18">
        <v>1391508.31</v>
      </c>
      <c r="H460" s="18"/>
      <c r="I460" s="13">
        <f t="shared" si="36"/>
        <v>3417415.94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2025907.63</v>
      </c>
      <c r="G461" s="65">
        <f>SUM(G455:G460)</f>
        <v>1391508.31</v>
      </c>
      <c r="H461" s="65">
        <f>SUM(H455:H460)</f>
        <v>0</v>
      </c>
      <c r="I461" s="65">
        <f>SUM(I455:I460)</f>
        <v>3417415.94</v>
      </c>
      <c r="J461" s="23" t="s">
        <v>288</v>
      </c>
      <c r="K461" s="23" t="s">
        <v>288</v>
      </c>
      <c r="L461" s="23" t="s">
        <v>288</v>
      </c>
      <c r="N461" s="130"/>
    </row>
    <row r="462" spans="1:86" ht="12.2" customHeight="1" thickTop="1" x14ac:dyDescent="0.2">
      <c r="A462" s="40" t="s">
        <v>424</v>
      </c>
      <c r="B462" s="41">
        <v>18</v>
      </c>
      <c r="C462" s="64">
        <v>21</v>
      </c>
      <c r="D462" s="114" t="s">
        <v>432</v>
      </c>
      <c r="E462" s="64"/>
      <c r="F462" s="39">
        <f>F453+F461</f>
        <v>2025907.63</v>
      </c>
      <c r="G462" s="39">
        <f>G453+G461</f>
        <v>1391508.31</v>
      </c>
      <c r="H462" s="39">
        <f>H453+H461</f>
        <v>0</v>
      </c>
      <c r="I462" s="39">
        <f>I453+I461</f>
        <v>3417415.94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1589566.32</v>
      </c>
      <c r="G466" s="18">
        <v>29758.81</v>
      </c>
      <c r="H466" s="18">
        <v>234024.28</v>
      </c>
      <c r="I466" s="18">
        <v>0</v>
      </c>
      <c r="J466" s="18">
        <v>3129432.88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32699497.739999998</v>
      </c>
      <c r="G469" s="18">
        <v>1024232.1100000001</v>
      </c>
      <c r="H469" s="18">
        <v>3686113.42</v>
      </c>
      <c r="I469" s="18">
        <v>0</v>
      </c>
      <c r="J469" s="18">
        <v>273019.07</v>
      </c>
      <c r="K469" s="23" t="s">
        <v>288</v>
      </c>
      <c r="L469" s="23" t="s">
        <v>288</v>
      </c>
      <c r="N469" s="130"/>
    </row>
    <row r="470" spans="1:14" ht="12.2" customHeight="1" x14ac:dyDescent="0.2">
      <c r="A470" s="71" t="s">
        <v>611</v>
      </c>
      <c r="B470" s="22">
        <v>19</v>
      </c>
      <c r="C470" s="31">
        <v>3</v>
      </c>
      <c r="D470" s="2" t="s">
        <v>432</v>
      </c>
      <c r="E470" s="31"/>
      <c r="F470" s="18">
        <v>380725.68</v>
      </c>
      <c r="G470" s="18"/>
      <c r="H470" s="18"/>
      <c r="I470" s="18"/>
      <c r="J470" s="18">
        <v>14963.99</v>
      </c>
      <c r="K470" s="23" t="s">
        <v>288</v>
      </c>
      <c r="L470" s="23" t="s">
        <v>288</v>
      </c>
      <c r="N470" s="130"/>
    </row>
    <row r="471" spans="1:14" ht="12.2" customHeight="1" x14ac:dyDescent="0.2">
      <c r="A471" s="32" t="s">
        <v>425</v>
      </c>
      <c r="B471" s="22">
        <v>19</v>
      </c>
      <c r="C471" s="31">
        <v>4</v>
      </c>
      <c r="D471" s="2" t="s">
        <v>432</v>
      </c>
      <c r="E471" s="31"/>
      <c r="F471" s="19">
        <f>SUM(F469:F470)</f>
        <v>33080223.419999998</v>
      </c>
      <c r="G471" s="19">
        <f>SUM(G469:G470)</f>
        <v>1024232.1100000001</v>
      </c>
      <c r="H471" s="19">
        <f>SUM(H469:H470)</f>
        <v>3686113.42</v>
      </c>
      <c r="I471" s="19">
        <f>SUM(I469:I470)</f>
        <v>0</v>
      </c>
      <c r="J471" s="19">
        <f>SUM(J469:J470)</f>
        <v>287983.06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33374062.760000002</v>
      </c>
      <c r="G473" s="18">
        <v>980173.11</v>
      </c>
      <c r="H473" s="18">
        <v>3662035.01</v>
      </c>
      <c r="I473" s="18">
        <v>0</v>
      </c>
      <c r="J473" s="18">
        <v>0</v>
      </c>
      <c r="K473" s="23" t="s">
        <v>288</v>
      </c>
      <c r="L473" s="23" t="s">
        <v>288</v>
      </c>
      <c r="N473" s="130"/>
    </row>
    <row r="474" spans="1:14" ht="12.2" customHeight="1" x14ac:dyDescent="0.2">
      <c r="A474" s="71" t="s">
        <v>613</v>
      </c>
      <c r="B474" s="22">
        <v>19</v>
      </c>
      <c r="C474" s="31">
        <v>6</v>
      </c>
      <c r="D474" s="2" t="s">
        <v>432</v>
      </c>
      <c r="E474" s="31"/>
      <c r="F474" s="18"/>
      <c r="G474" s="18">
        <v>50280.81</v>
      </c>
      <c r="H474" s="18"/>
      <c r="I474" s="18"/>
      <c r="J474" s="18"/>
      <c r="K474" s="23" t="s">
        <v>288</v>
      </c>
      <c r="L474" s="23" t="s">
        <v>288</v>
      </c>
      <c r="N474" s="130"/>
    </row>
    <row r="475" spans="1:14" ht="12.2" customHeight="1" x14ac:dyDescent="0.2">
      <c r="A475" s="32" t="s">
        <v>426</v>
      </c>
      <c r="B475" s="22">
        <v>19</v>
      </c>
      <c r="C475" s="31">
        <v>7</v>
      </c>
      <c r="D475" s="2" t="s">
        <v>432</v>
      </c>
      <c r="E475" s="31"/>
      <c r="F475" s="19">
        <f>SUM(F473:F474)</f>
        <v>33374062.760000002</v>
      </c>
      <c r="G475" s="19">
        <f>SUM(G473:G474)</f>
        <v>1030453.9199999999</v>
      </c>
      <c r="H475" s="19">
        <f>SUM(H473:H474)</f>
        <v>3662035.01</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1295726.979999993</v>
      </c>
      <c r="G477" s="19">
        <f>(G466+G471)- G475</f>
        <v>23537.000000000233</v>
      </c>
      <c r="H477" s="19">
        <f>(H466+H471)- H475</f>
        <v>258102.68999999994</v>
      </c>
      <c r="I477" s="19">
        <f>(I466+I471)- I475</f>
        <v>0</v>
      </c>
      <c r="J477" s="19">
        <f>(J466+J471)- J475</f>
        <v>3417415.94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1840</v>
      </c>
      <c r="B481" s="73"/>
      <c r="C481" s="73"/>
      <c r="D481" s="73"/>
      <c r="E481" s="73"/>
      <c r="F481" s="73"/>
      <c r="G481" s="73"/>
      <c r="H481" s="73"/>
      <c r="I481" s="73" t="s">
        <v>401</v>
      </c>
      <c r="J481" s="73"/>
      <c r="K481" s="73"/>
      <c r="L481" s="73"/>
      <c r="N481" s="130"/>
    </row>
    <row r="482" spans="1:14" ht="12.2" customHeight="1" x14ac:dyDescent="0.2">
      <c r="A482" s="20" t="s">
        <v>1841</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5</v>
      </c>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v>2000000</v>
      </c>
      <c r="G494" s="18">
        <v>44686</v>
      </c>
      <c r="H494" s="18"/>
      <c r="I494" s="18"/>
      <c r="J494" s="18"/>
      <c r="K494" s="23" t="s">
        <v>288</v>
      </c>
      <c r="L494" s="23" t="s">
        <v>288</v>
      </c>
      <c r="N494" s="130"/>
    </row>
    <row r="495" spans="1:14" ht="12.2" customHeight="1" x14ac:dyDescent="0.2">
      <c r="A495" s="21" t="s">
        <v>618</v>
      </c>
      <c r="B495" s="22">
        <v>20</v>
      </c>
      <c r="C495" s="22">
        <v>5</v>
      </c>
      <c r="D495" s="2" t="s">
        <v>432</v>
      </c>
      <c r="E495" s="22"/>
      <c r="F495" s="18">
        <v>3.99</v>
      </c>
      <c r="G495" s="18">
        <v>5.25</v>
      </c>
      <c r="H495" s="18"/>
      <c r="I495" s="18"/>
      <c r="J495" s="18"/>
      <c r="K495" s="23" t="s">
        <v>288</v>
      </c>
      <c r="L495" s="23" t="s">
        <v>288</v>
      </c>
      <c r="N495" s="130"/>
    </row>
    <row r="496" spans="1:14" ht="12.2" customHeight="1" x14ac:dyDescent="0.2">
      <c r="A496" s="21" t="s">
        <v>619</v>
      </c>
      <c r="B496" s="22">
        <v>20</v>
      </c>
      <c r="C496" s="22">
        <v>6</v>
      </c>
      <c r="D496" s="2" t="s">
        <v>432</v>
      </c>
      <c r="E496" s="22"/>
      <c r="F496" s="18">
        <v>200000</v>
      </c>
      <c r="G496" s="18">
        <v>9634</v>
      </c>
      <c r="H496" s="18"/>
      <c r="I496" s="18"/>
      <c r="J496" s="18"/>
      <c r="K496" s="19">
        <f>SUM(F496:J496)</f>
        <v>209634</v>
      </c>
      <c r="L496" s="23" t="s">
        <v>288</v>
      </c>
      <c r="N496" s="130"/>
    </row>
    <row r="497" spans="1:14" ht="12.2" customHeight="1" x14ac:dyDescent="0.2">
      <c r="A497" s="21" t="s">
        <v>620</v>
      </c>
      <c r="B497" s="22">
        <v>20</v>
      </c>
      <c r="C497" s="22">
        <v>7</v>
      </c>
      <c r="D497" s="2" t="s">
        <v>432</v>
      </c>
      <c r="E497" s="22"/>
      <c r="F497" s="18">
        <v>0</v>
      </c>
      <c r="G497" s="18">
        <v>0</v>
      </c>
      <c r="H497" s="18"/>
      <c r="I497" s="18"/>
      <c r="J497" s="18"/>
      <c r="K497" s="19">
        <f t="shared" ref="K497:K504" si="37">SUM(F497:J497)</f>
        <v>0</v>
      </c>
      <c r="L497" s="23" t="s">
        <v>288</v>
      </c>
      <c r="N497" s="130"/>
    </row>
    <row r="498" spans="1:14" ht="12.2" customHeight="1" x14ac:dyDescent="0.2">
      <c r="A498" s="21" t="s">
        <v>621</v>
      </c>
      <c r="B498" s="22">
        <v>20</v>
      </c>
      <c r="C498" s="22">
        <v>8</v>
      </c>
      <c r="D498" s="2" t="s">
        <v>432</v>
      </c>
      <c r="E498" s="22"/>
      <c r="F498" s="18">
        <v>100000</v>
      </c>
      <c r="G498" s="18">
        <v>9634</v>
      </c>
      <c r="H498" s="18"/>
      <c r="I498" s="18"/>
      <c r="J498" s="18"/>
      <c r="K498" s="19">
        <f t="shared" si="37"/>
        <v>109634</v>
      </c>
      <c r="L498" s="23" t="s">
        <v>288</v>
      </c>
      <c r="N498" s="130"/>
    </row>
    <row r="499" spans="1:14" ht="12.2" customHeight="1" x14ac:dyDescent="0.2">
      <c r="A499" s="143" t="s">
        <v>622</v>
      </c>
      <c r="B499" s="144">
        <v>20</v>
      </c>
      <c r="C499" s="144">
        <v>9</v>
      </c>
      <c r="D499" s="145" t="s">
        <v>432</v>
      </c>
      <c r="E499" s="144"/>
      <c r="F499" s="146">
        <v>100000</v>
      </c>
      <c r="G499" s="146">
        <v>0</v>
      </c>
      <c r="H499" s="146"/>
      <c r="I499" s="146"/>
      <c r="J499" s="146"/>
      <c r="K499" s="147">
        <f t="shared" si="37"/>
        <v>100000</v>
      </c>
      <c r="L499" s="148" t="s">
        <v>288</v>
      </c>
      <c r="N499" s="130"/>
    </row>
    <row r="500" spans="1:14" ht="12.2" customHeight="1" thickBot="1" x14ac:dyDescent="0.25">
      <c r="A500" s="21" t="s">
        <v>623</v>
      </c>
      <c r="B500" s="22">
        <v>20</v>
      </c>
      <c r="C500" s="22">
        <v>10</v>
      </c>
      <c r="D500" s="2" t="s">
        <v>432</v>
      </c>
      <c r="E500" s="22"/>
      <c r="F500" s="18">
        <v>427</v>
      </c>
      <c r="G500" s="18">
        <v>0</v>
      </c>
      <c r="H500" s="18"/>
      <c r="I500" s="18"/>
      <c r="J500" s="18"/>
      <c r="K500" s="19">
        <f t="shared" si="37"/>
        <v>427</v>
      </c>
      <c r="L500" s="23" t="s">
        <v>288</v>
      </c>
      <c r="N500" s="130"/>
    </row>
    <row r="501" spans="1:14" ht="12.2" customHeight="1" thickTop="1" x14ac:dyDescent="0.2">
      <c r="A501" s="97" t="s">
        <v>624</v>
      </c>
      <c r="B501" s="41">
        <v>20</v>
      </c>
      <c r="C501" s="41">
        <v>11</v>
      </c>
      <c r="D501" s="36" t="s">
        <v>432</v>
      </c>
      <c r="E501" s="41"/>
      <c r="F501" s="39">
        <f>SUM(F499:F500)</f>
        <v>100427</v>
      </c>
      <c r="G501" s="39">
        <f>SUM(G499:G500)</f>
        <v>0</v>
      </c>
      <c r="H501" s="39">
        <f>SUM(H499:H500)</f>
        <v>0</v>
      </c>
      <c r="I501" s="39">
        <f>SUM(I499:I500)</f>
        <v>0</v>
      </c>
      <c r="J501" s="39">
        <f>SUM(J499:J500)</f>
        <v>0</v>
      </c>
      <c r="K501" s="39">
        <f t="shared" si="37"/>
        <v>100427</v>
      </c>
      <c r="L501" s="42" t="s">
        <v>288</v>
      </c>
      <c r="N501" s="130"/>
    </row>
    <row r="502" spans="1:14" ht="12.2" customHeight="1" x14ac:dyDescent="0.2">
      <c r="A502" s="143" t="s">
        <v>651</v>
      </c>
      <c r="B502" s="144">
        <v>20</v>
      </c>
      <c r="C502" s="144">
        <v>12</v>
      </c>
      <c r="D502" s="145" t="s">
        <v>432</v>
      </c>
      <c r="E502" s="144"/>
      <c r="F502" s="146">
        <v>100000</v>
      </c>
      <c r="G502" s="146">
        <v>0</v>
      </c>
      <c r="H502" s="146"/>
      <c r="I502" s="146"/>
      <c r="J502" s="146"/>
      <c r="K502" s="147">
        <f t="shared" si="37"/>
        <v>100000</v>
      </c>
      <c r="L502" s="148" t="s">
        <v>288</v>
      </c>
      <c r="N502" s="130"/>
    </row>
    <row r="503" spans="1:14" ht="12.2" customHeight="1" thickBot="1" x14ac:dyDescent="0.25">
      <c r="A503" s="21" t="s">
        <v>625</v>
      </c>
      <c r="B503" s="22">
        <v>20</v>
      </c>
      <c r="C503" s="22">
        <v>13</v>
      </c>
      <c r="D503" s="2" t="s">
        <v>432</v>
      </c>
      <c r="E503" s="22"/>
      <c r="F503" s="18">
        <v>427</v>
      </c>
      <c r="G503" s="18">
        <v>0</v>
      </c>
      <c r="H503" s="18"/>
      <c r="I503" s="18"/>
      <c r="J503" s="18"/>
      <c r="K503" s="19">
        <f t="shared" si="37"/>
        <v>427</v>
      </c>
      <c r="L503" s="23" t="s">
        <v>288</v>
      </c>
      <c r="N503" s="130"/>
    </row>
    <row r="504" spans="1:14" ht="12.2" customHeight="1" thickTop="1" x14ac:dyDescent="0.2">
      <c r="A504" s="97" t="s">
        <v>626</v>
      </c>
      <c r="B504" s="41">
        <v>20</v>
      </c>
      <c r="C504" s="41">
        <v>14</v>
      </c>
      <c r="D504" s="36" t="s">
        <v>432</v>
      </c>
      <c r="E504" s="41"/>
      <c r="F504" s="39">
        <f>SUM(F502:F503)</f>
        <v>100427</v>
      </c>
      <c r="G504" s="39">
        <f>SUM(G502:G503)</f>
        <v>0</v>
      </c>
      <c r="H504" s="39">
        <f>SUM(H502:H503)</f>
        <v>0</v>
      </c>
      <c r="I504" s="39">
        <f>SUM(I502:I503)</f>
        <v>0</v>
      </c>
      <c r="J504" s="39">
        <f>SUM(J502:J503)</f>
        <v>0</v>
      </c>
      <c r="K504" s="39">
        <f t="shared" si="37"/>
        <v>100427</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2884144.6</v>
      </c>
      <c r="G522" s="18">
        <v>1137139.48</v>
      </c>
      <c r="H522" s="18">
        <v>1425640.05</v>
      </c>
      <c r="I522" s="18">
        <v>33792.42</v>
      </c>
      <c r="J522" s="18">
        <v>3333</v>
      </c>
      <c r="K522" s="18">
        <v>1410.46</v>
      </c>
      <c r="L522" s="69">
        <f>SUM(F522:K522)</f>
        <v>5485460.0099999998</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v>1181185.6100000001</v>
      </c>
      <c r="G524" s="18">
        <v>548225.02</v>
      </c>
      <c r="H524" s="18">
        <v>654152.93000000005</v>
      </c>
      <c r="I524" s="18">
        <v>23615.53</v>
      </c>
      <c r="J524" s="18">
        <v>1847</v>
      </c>
      <c r="K524" s="18">
        <v>1220.6300000000001</v>
      </c>
      <c r="L524" s="69">
        <f>SUM(F524:K524)</f>
        <v>2410246.7199999997</v>
      </c>
      <c r="N524" s="130"/>
    </row>
    <row r="525" spans="1:14" ht="12.2" customHeight="1" thickTop="1" x14ac:dyDescent="0.2">
      <c r="A525" s="97" t="s">
        <v>63</v>
      </c>
      <c r="B525" s="41">
        <v>21</v>
      </c>
      <c r="C525" s="41">
        <v>4</v>
      </c>
      <c r="D525" s="115" t="s">
        <v>432</v>
      </c>
      <c r="E525" s="41"/>
      <c r="F525" s="81">
        <f>SUM(F522:F524)</f>
        <v>4065330.21</v>
      </c>
      <c r="G525" s="81">
        <f t="shared" ref="G525:L525" si="38">SUM(G522:G524)</f>
        <v>1685364.5</v>
      </c>
      <c r="H525" s="81">
        <f t="shared" si="38"/>
        <v>2079792.98</v>
      </c>
      <c r="I525" s="81">
        <f t="shared" si="38"/>
        <v>57407.95</v>
      </c>
      <c r="J525" s="81">
        <f t="shared" si="38"/>
        <v>5180</v>
      </c>
      <c r="K525" s="81">
        <f t="shared" si="38"/>
        <v>2631.09</v>
      </c>
      <c r="L525" s="70">
        <f t="shared" si="38"/>
        <v>7895706.7299999995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388382.15</v>
      </c>
      <c r="G527" s="18">
        <v>197546.75</v>
      </c>
      <c r="H527" s="18">
        <v>113100.46</v>
      </c>
      <c r="I527" s="18">
        <v>0</v>
      </c>
      <c r="J527" s="18">
        <v>0</v>
      </c>
      <c r="K527" s="18">
        <v>0</v>
      </c>
      <c r="L527" s="69">
        <f>SUM(F527:K527)</f>
        <v>699029.36</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v>191292.7</v>
      </c>
      <c r="G529" s="18">
        <v>97299.15</v>
      </c>
      <c r="H529" s="18">
        <v>55706.19</v>
      </c>
      <c r="I529" s="18">
        <v>0</v>
      </c>
      <c r="J529" s="18">
        <v>0</v>
      </c>
      <c r="K529" s="18">
        <v>0</v>
      </c>
      <c r="L529" s="69">
        <f>SUM(F529:K529)</f>
        <v>344298.04</v>
      </c>
      <c r="M529" s="8"/>
      <c r="N529" s="164"/>
    </row>
    <row r="530" spans="1:14" s="3" customFormat="1" ht="12.2" customHeight="1" thickTop="1" x14ac:dyDescent="0.15">
      <c r="A530" s="97" t="s">
        <v>65</v>
      </c>
      <c r="B530" s="41">
        <v>21</v>
      </c>
      <c r="C530" s="41">
        <v>8</v>
      </c>
      <c r="D530" s="115" t="s">
        <v>432</v>
      </c>
      <c r="E530" s="41"/>
      <c r="F530" s="70">
        <f>SUM(F527:F529)</f>
        <v>579674.85000000009</v>
      </c>
      <c r="G530" s="70">
        <f t="shared" ref="G530:L530" si="39">SUM(G527:G529)</f>
        <v>294845.90000000002</v>
      </c>
      <c r="H530" s="70">
        <f t="shared" si="39"/>
        <v>168806.65000000002</v>
      </c>
      <c r="I530" s="70">
        <f t="shared" si="39"/>
        <v>0</v>
      </c>
      <c r="J530" s="70">
        <f t="shared" si="39"/>
        <v>0</v>
      </c>
      <c r="K530" s="70">
        <f t="shared" si="39"/>
        <v>0</v>
      </c>
      <c r="L530" s="70">
        <f t="shared" si="39"/>
        <v>1043327.3999999999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93875.18</v>
      </c>
      <c r="G532" s="18">
        <v>50050.46</v>
      </c>
      <c r="H532" s="18">
        <f>3791.81+147.53+24833.8</f>
        <v>28773.14</v>
      </c>
      <c r="I532" s="18">
        <v>6161.02</v>
      </c>
      <c r="J532" s="18">
        <v>3350</v>
      </c>
      <c r="K532" s="18">
        <v>1417.65</v>
      </c>
      <c r="L532" s="69">
        <f>SUM(F532:K532)</f>
        <v>183627.44999999995</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46237.03</v>
      </c>
      <c r="G534" s="18">
        <v>24651.72</v>
      </c>
      <c r="H534" s="18">
        <f>1867.61+7266+12231.57</f>
        <v>21365.18</v>
      </c>
      <c r="I534" s="18">
        <v>3034.53</v>
      </c>
      <c r="J534" s="18">
        <v>1650</v>
      </c>
      <c r="K534" s="18">
        <v>698.25</v>
      </c>
      <c r="L534" s="69">
        <f>SUM(F534:K534)</f>
        <v>97636.709999999992</v>
      </c>
      <c r="M534" s="8"/>
      <c r="N534" s="164"/>
    </row>
    <row r="535" spans="1:14" s="3" customFormat="1" ht="12.2" customHeight="1" thickTop="1" x14ac:dyDescent="0.15">
      <c r="A535" s="97" t="s">
        <v>67</v>
      </c>
      <c r="B535" s="41">
        <v>21</v>
      </c>
      <c r="C535" s="41">
        <v>12</v>
      </c>
      <c r="D535" s="115" t="s">
        <v>432</v>
      </c>
      <c r="E535" s="41"/>
      <c r="F535" s="70">
        <f>SUM(F532:F534)</f>
        <v>140112.21</v>
      </c>
      <c r="G535" s="70">
        <f t="shared" ref="G535:L535" si="40">SUM(G532:G534)</f>
        <v>74702.179999999993</v>
      </c>
      <c r="H535" s="70">
        <f t="shared" si="40"/>
        <v>50138.32</v>
      </c>
      <c r="I535" s="70">
        <f t="shared" si="40"/>
        <v>9195.5500000000011</v>
      </c>
      <c r="J535" s="70">
        <f t="shared" si="40"/>
        <v>5000</v>
      </c>
      <c r="K535" s="70">
        <f t="shared" si="40"/>
        <v>2115.9</v>
      </c>
      <c r="L535" s="70">
        <f t="shared" si="40"/>
        <v>281264.15999999992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243.56</v>
      </c>
      <c r="I537" s="18">
        <v>0</v>
      </c>
      <c r="J537" s="18">
        <v>0</v>
      </c>
      <c r="K537" s="18">
        <v>0</v>
      </c>
      <c r="L537" s="69">
        <f>SUM(F537:K537)</f>
        <v>243.56</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119.96</v>
      </c>
      <c r="I539" s="18">
        <v>0</v>
      </c>
      <c r="J539" s="18">
        <v>0</v>
      </c>
      <c r="K539" s="18">
        <v>0</v>
      </c>
      <c r="L539" s="69">
        <f>SUM(F539:K539)</f>
        <v>119.96</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363.52</v>
      </c>
      <c r="I540" s="70">
        <f t="shared" si="41"/>
        <v>0</v>
      </c>
      <c r="J540" s="70">
        <f t="shared" si="41"/>
        <v>0</v>
      </c>
      <c r="K540" s="70">
        <f t="shared" si="41"/>
        <v>0</v>
      </c>
      <c r="L540" s="70">
        <f t="shared" si="41"/>
        <v>363.52</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61987.33</v>
      </c>
      <c r="G542" s="18">
        <v>9384.7199999999993</v>
      </c>
      <c r="H542" s="18">
        <v>54779.27</v>
      </c>
      <c r="I542" s="18">
        <v>0</v>
      </c>
      <c r="J542" s="18">
        <v>0</v>
      </c>
      <c r="K542" s="18">
        <v>0</v>
      </c>
      <c r="L542" s="69">
        <f>SUM(F542:K542)</f>
        <v>126151.32</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v>30531.07</v>
      </c>
      <c r="G544" s="18">
        <v>4622.33</v>
      </c>
      <c r="H544" s="18">
        <v>12615.78</v>
      </c>
      <c r="I544" s="18">
        <v>0</v>
      </c>
      <c r="J544" s="18">
        <v>0</v>
      </c>
      <c r="K544" s="18">
        <v>0</v>
      </c>
      <c r="L544" s="69">
        <f>SUM(F544:K544)</f>
        <v>47769.18</v>
      </c>
      <c r="M544" s="8"/>
      <c r="N544" s="164"/>
    </row>
    <row r="545" spans="1:14" s="3" customFormat="1" ht="12.2" customHeight="1" thickTop="1" thickBot="1" x14ac:dyDescent="0.2">
      <c r="A545" s="93" t="s">
        <v>71</v>
      </c>
      <c r="B545" s="63">
        <v>21</v>
      </c>
      <c r="C545" s="63">
        <v>20</v>
      </c>
      <c r="D545" s="139" t="s">
        <v>432</v>
      </c>
      <c r="E545" s="63"/>
      <c r="F545" s="140">
        <f>SUM(F542:F544)</f>
        <v>92518.399999999994</v>
      </c>
      <c r="G545" s="140">
        <f t="shared" ref="G545:L545" si="42">SUM(G542:G544)</f>
        <v>14007.05</v>
      </c>
      <c r="H545" s="140">
        <f t="shared" si="42"/>
        <v>67395.05</v>
      </c>
      <c r="I545" s="140">
        <f t="shared" si="42"/>
        <v>0</v>
      </c>
      <c r="J545" s="140">
        <f t="shared" si="42"/>
        <v>0</v>
      </c>
      <c r="K545" s="140">
        <f t="shared" si="42"/>
        <v>0</v>
      </c>
      <c r="L545" s="140">
        <f t="shared" si="42"/>
        <v>173920.5</v>
      </c>
      <c r="M545" s="8"/>
      <c r="N545" s="164"/>
    </row>
    <row r="546" spans="1:14" s="3" customFormat="1" ht="12.2" customHeight="1" thickTop="1" x14ac:dyDescent="0.15">
      <c r="A546" s="75" t="s">
        <v>72</v>
      </c>
      <c r="B546" s="41">
        <v>21</v>
      </c>
      <c r="C546" s="41">
        <v>21</v>
      </c>
      <c r="D546" s="115" t="s">
        <v>432</v>
      </c>
      <c r="E546" s="41"/>
      <c r="F546" s="70">
        <f>F525+F530+F535+F540+F545</f>
        <v>4877635.6700000009</v>
      </c>
      <c r="G546" s="70">
        <f t="shared" ref="G546:L546" si="43">G525+G530+G535+G540+G545</f>
        <v>2068919.63</v>
      </c>
      <c r="H546" s="70">
        <f t="shared" si="43"/>
        <v>2366496.5199999996</v>
      </c>
      <c r="I546" s="70">
        <f t="shared" si="43"/>
        <v>66603.5</v>
      </c>
      <c r="J546" s="70">
        <f t="shared" si="43"/>
        <v>10180</v>
      </c>
      <c r="K546" s="70">
        <f t="shared" si="43"/>
        <v>4746.99</v>
      </c>
      <c r="L546" s="70">
        <f t="shared" si="43"/>
        <v>9394582.3099999987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5485460.0099999998</v>
      </c>
      <c r="G550" s="69">
        <f>L527</f>
        <v>699029.36</v>
      </c>
      <c r="H550" s="69">
        <f>L532</f>
        <v>183627.44999999995</v>
      </c>
      <c r="I550" s="69">
        <f>L537</f>
        <v>243.56</v>
      </c>
      <c r="J550" s="69">
        <f>L542</f>
        <v>126151.32</v>
      </c>
      <c r="K550" s="69">
        <f>SUM(F550:J550)</f>
        <v>6494511.7000000002</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2410246.7199999997</v>
      </c>
      <c r="G552" s="69">
        <f>L529</f>
        <v>344298.04</v>
      </c>
      <c r="H552" s="69">
        <f>L534</f>
        <v>97636.709999999992</v>
      </c>
      <c r="I552" s="69">
        <f>L539</f>
        <v>119.96</v>
      </c>
      <c r="J552" s="69">
        <f>L544</f>
        <v>47769.18</v>
      </c>
      <c r="K552" s="69">
        <f>SUM(F552:J552)</f>
        <v>2900070.61</v>
      </c>
      <c r="L552" s="23" t="s">
        <v>288</v>
      </c>
      <c r="M552" s="8"/>
      <c r="N552" s="164"/>
    </row>
    <row r="553" spans="1:14" s="3" customFormat="1" ht="12.2" customHeight="1" thickTop="1" x14ac:dyDescent="0.15">
      <c r="A553" s="126" t="s">
        <v>340</v>
      </c>
      <c r="B553" s="41">
        <v>21</v>
      </c>
      <c r="C553" s="41">
        <v>25</v>
      </c>
      <c r="D553" s="36" t="s">
        <v>432</v>
      </c>
      <c r="E553" s="41"/>
      <c r="F553" s="70">
        <f t="shared" ref="F553:K553" si="44">SUM(F550:F552)</f>
        <v>7895706.7299999995</v>
      </c>
      <c r="G553" s="70">
        <f t="shared" si="44"/>
        <v>1043327.3999999999</v>
      </c>
      <c r="H553" s="70">
        <f t="shared" si="44"/>
        <v>281264.15999999992</v>
      </c>
      <c r="I553" s="70">
        <f t="shared" si="44"/>
        <v>363.52</v>
      </c>
      <c r="J553" s="70">
        <f t="shared" si="44"/>
        <v>173920.5</v>
      </c>
      <c r="K553" s="70">
        <f t="shared" si="44"/>
        <v>9394582.3100000005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7">SUM(G568:G570)</f>
        <v>0</v>
      </c>
      <c r="H571" s="140">
        <f t="shared" si="47"/>
        <v>0</v>
      </c>
      <c r="I571" s="140">
        <f t="shared" si="47"/>
        <v>0</v>
      </c>
      <c r="J571" s="140">
        <f t="shared" si="47"/>
        <v>0</v>
      </c>
      <c r="K571" s="140">
        <f t="shared" si="47"/>
        <v>0</v>
      </c>
      <c r="L571" s="140">
        <f t="shared" si="47"/>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9"/>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9"/>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9"/>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9"/>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9"/>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287147.64</v>
      </c>
      <c r="G583" s="18"/>
      <c r="H583" s="18">
        <v>549977.25</v>
      </c>
      <c r="I583" s="69">
        <f t="shared" si="49"/>
        <v>837124.89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463815.39</v>
      </c>
      <c r="I584" s="69">
        <f t="shared" si="49"/>
        <v>463815.39</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27891.91</v>
      </c>
      <c r="I585" s="69">
        <f t="shared" si="49"/>
        <v>27891.91</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271278</v>
      </c>
      <c r="I586" s="69">
        <f t="shared" si="49"/>
        <v>271278</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9"/>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9"/>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287147.64</v>
      </c>
      <c r="G589" s="79">
        <f t="shared" ref="G589:I589" si="50">SUM(G576:G588)</f>
        <v>0</v>
      </c>
      <c r="H589" s="79">
        <f t="shared" si="50"/>
        <v>1312962.55</v>
      </c>
      <c r="I589" s="79">
        <f t="shared" si="50"/>
        <v>1600110.19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856959.45</v>
      </c>
      <c r="I592" s="18"/>
      <c r="J592" s="18">
        <v>542890.55000000005</v>
      </c>
      <c r="K592" s="80">
        <f t="shared" ref="K592:K598" si="51">SUM(H592:J592)</f>
        <v>1399850</v>
      </c>
      <c r="L592" s="23" t="s">
        <v>288</v>
      </c>
      <c r="M592" s="8"/>
      <c r="N592" s="164"/>
    </row>
    <row r="593" spans="1:14" s="3" customFormat="1" ht="12.2" customHeight="1" x14ac:dyDescent="0.15">
      <c r="A593" s="3" t="s">
        <v>638</v>
      </c>
      <c r="B593" s="22">
        <v>23</v>
      </c>
      <c r="C593" s="22">
        <v>2</v>
      </c>
      <c r="D593" s="2" t="s">
        <v>432</v>
      </c>
      <c r="E593" s="22"/>
      <c r="F593" s="78">
        <v>2722</v>
      </c>
      <c r="G593" s="79" t="s">
        <v>97</v>
      </c>
      <c r="H593" s="18">
        <v>100851.53790000001</v>
      </c>
      <c r="I593" s="18"/>
      <c r="J593" s="18">
        <v>64478.852100000011</v>
      </c>
      <c r="K593" s="80">
        <f t="shared" si="51"/>
        <v>165330.39000000001</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c r="J594" s="18">
        <v>46244.3</v>
      </c>
      <c r="K594" s="80">
        <f t="shared" si="51"/>
        <v>46244.3</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c r="J595" s="18">
        <v>32320.03</v>
      </c>
      <c r="K595" s="80">
        <f t="shared" si="51"/>
        <v>32320.03</v>
      </c>
      <c r="L595" s="23" t="s">
        <v>288</v>
      </c>
      <c r="M595" s="8"/>
      <c r="N595" s="164"/>
    </row>
    <row r="596" spans="1:14" s="3" customFormat="1" ht="12.2" customHeight="1" x14ac:dyDescent="0.15">
      <c r="A596" s="103" t="s">
        <v>652</v>
      </c>
      <c r="B596" s="22">
        <v>23</v>
      </c>
      <c r="C596" s="22">
        <v>5</v>
      </c>
      <c r="D596" s="2" t="s">
        <v>432</v>
      </c>
      <c r="E596" s="22"/>
      <c r="F596" s="78">
        <v>2725</v>
      </c>
      <c r="G596" s="79" t="s">
        <v>97</v>
      </c>
      <c r="H596" s="18">
        <v>9239.7800000000007</v>
      </c>
      <c r="I596" s="18"/>
      <c r="J596" s="18">
        <v>13585.23</v>
      </c>
      <c r="K596" s="80">
        <f t="shared" si="51"/>
        <v>22825.010000000002</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1"/>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967050.76789999998</v>
      </c>
      <c r="I599" s="81">
        <f>SUM(I592:I598)</f>
        <v>0</v>
      </c>
      <c r="J599" s="81">
        <f>SUM(J592:J598)</f>
        <v>699518.96210000012</v>
      </c>
      <c r="K599" s="81">
        <f>SUM(K592:K598)</f>
        <v>1666569.7300000002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442586.06</v>
      </c>
      <c r="I605" s="18"/>
      <c r="J605" s="18">
        <v>307346.03000000003</v>
      </c>
      <c r="K605" s="80">
        <f>SUM(H605:J605)</f>
        <v>749932.09000000008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442586.06</v>
      </c>
      <c r="I606" s="81">
        <f>SUM(I603:I605)</f>
        <v>0</v>
      </c>
      <c r="J606" s="81">
        <f>SUM(J603:J605)</f>
        <v>307346.03000000003</v>
      </c>
      <c r="K606" s="81">
        <f>SUM(K603:K605)</f>
        <v>749932.09000000008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4166766.7385250055</v>
      </c>
      <c r="H618" s="80">
        <f>SUM(F52)</f>
        <v>4166766.7399999998</v>
      </c>
      <c r="I618" s="87" t="s">
        <v>871</v>
      </c>
      <c r="J618" s="80">
        <f>G618-H618</f>
        <v>-1.4749942347407341E-3</v>
      </c>
      <c r="K618" s="80"/>
      <c r="L618" s="80"/>
      <c r="M618" s="8"/>
    </row>
    <row r="619" spans="1:14" s="3" customFormat="1" ht="12.2" customHeight="1" x14ac:dyDescent="0.15">
      <c r="A619" s="74" t="s">
        <v>100</v>
      </c>
      <c r="B619" s="22"/>
      <c r="C619" s="22"/>
      <c r="D619" s="22"/>
      <c r="E619" s="22"/>
      <c r="F619" s="87" t="s">
        <v>684</v>
      </c>
      <c r="G619" s="80">
        <f>SUM(G19)</f>
        <v>287592.18</v>
      </c>
      <c r="H619" s="80">
        <f>SUM(G52)</f>
        <v>287592.18</v>
      </c>
      <c r="I619" s="87" t="s">
        <v>872</v>
      </c>
      <c r="J619" s="80">
        <f>G619-H619</f>
        <v>0</v>
      </c>
      <c r="K619" s="80"/>
      <c r="L619" s="80"/>
      <c r="M619" s="8"/>
    </row>
    <row r="620" spans="1:14" s="3" customFormat="1" ht="12.2" customHeight="1" x14ac:dyDescent="0.15">
      <c r="A620" s="74"/>
      <c r="B620" s="22"/>
      <c r="C620" s="22"/>
      <c r="D620" s="22"/>
      <c r="E620" s="22"/>
      <c r="F620" s="87" t="s">
        <v>685</v>
      </c>
      <c r="G620" s="80">
        <f>SUM(H19)</f>
        <v>3455559.63</v>
      </c>
      <c r="H620" s="80">
        <f>SUM(H52)</f>
        <v>3455559.63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3417415.94</v>
      </c>
      <c r="H622" s="80">
        <f>SUM(J52)</f>
        <v>3417415.94</v>
      </c>
      <c r="I622" s="87" t="s">
        <v>875</v>
      </c>
      <c r="J622" s="80">
        <f>G622-H622</f>
        <v>0</v>
      </c>
      <c r="K622" s="80"/>
      <c r="L622" s="80"/>
      <c r="M622" s="8"/>
    </row>
    <row r="623" spans="1:14" s="3" customFormat="1" ht="12.2" customHeight="1" x14ac:dyDescent="0.15">
      <c r="A623" s="74"/>
      <c r="B623" s="22"/>
      <c r="C623" s="22"/>
      <c r="D623" s="22"/>
      <c r="E623" s="22"/>
      <c r="F623" s="87" t="s">
        <v>861</v>
      </c>
      <c r="G623" s="80">
        <f>F51</f>
        <v>1295726.98</v>
      </c>
      <c r="H623" s="80">
        <f>F477</f>
        <v>1295726.979999993</v>
      </c>
      <c r="I623" s="87" t="s">
        <v>101</v>
      </c>
      <c r="J623" s="80">
        <f t="shared" ref="J623:J656" si="53">G623-H623</f>
        <v>6.9849193096160889E-9</v>
      </c>
      <c r="K623" s="80"/>
      <c r="L623" s="80"/>
      <c r="M623" s="8"/>
    </row>
    <row r="624" spans="1:14" s="3" customFormat="1" ht="12.2" customHeight="1" x14ac:dyDescent="0.15">
      <c r="A624" s="74"/>
      <c r="B624" s="22"/>
      <c r="C624" s="85"/>
      <c r="D624" s="85"/>
      <c r="E624" s="85"/>
      <c r="F624" s="85" t="s">
        <v>862</v>
      </c>
      <c r="G624" s="80">
        <f>G51</f>
        <v>23537</v>
      </c>
      <c r="H624" s="80">
        <f>G477</f>
        <v>23537.000000000233</v>
      </c>
      <c r="I624" s="87" t="s">
        <v>102</v>
      </c>
      <c r="J624" s="80">
        <f t="shared" si="53"/>
        <v>-2.3283064365386963E-10</v>
      </c>
      <c r="K624" s="80"/>
      <c r="L624" s="80"/>
      <c r="M624" s="8"/>
    </row>
    <row r="625" spans="1:13" s="3" customFormat="1" ht="12.2" customHeight="1" x14ac:dyDescent="0.15">
      <c r="A625" s="74"/>
      <c r="B625" s="22"/>
      <c r="C625" s="22"/>
      <c r="D625" s="22"/>
      <c r="E625" s="22"/>
      <c r="F625" s="86" t="s">
        <v>863</v>
      </c>
      <c r="G625" s="80">
        <f>H51</f>
        <v>258102.69</v>
      </c>
      <c r="H625" s="80">
        <f>H477</f>
        <v>258102.68999999994</v>
      </c>
      <c r="I625" s="87" t="s">
        <v>103</v>
      </c>
      <c r="J625" s="80">
        <f t="shared" si="53"/>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865</v>
      </c>
      <c r="G627" s="80">
        <f>J51</f>
        <v>3417415.94</v>
      </c>
      <c r="H627" s="80">
        <f>J477</f>
        <v>3417415.94</v>
      </c>
      <c r="I627" s="87" t="s">
        <v>105</v>
      </c>
      <c r="J627" s="80">
        <f t="shared" si="53"/>
        <v>0</v>
      </c>
      <c r="K627" s="67"/>
      <c r="L627" s="69"/>
      <c r="M627" s="8"/>
    </row>
    <row r="628" spans="1:13" s="3" customFormat="1" ht="12.2" customHeight="1" x14ac:dyDescent="0.15">
      <c r="A628" s="21"/>
      <c r="B628" s="22"/>
      <c r="C628" s="22"/>
      <c r="D628" s="22"/>
      <c r="E628" s="22"/>
      <c r="F628" s="86" t="s">
        <v>658</v>
      </c>
      <c r="G628" s="80">
        <f>F194</f>
        <v>32699497.739999998</v>
      </c>
      <c r="H628" s="80">
        <f>SUM(F469)</f>
        <v>32699497.739999998</v>
      </c>
      <c r="I628" s="87" t="s">
        <v>106</v>
      </c>
      <c r="J628" s="80">
        <f>G628-H628</f>
        <v>0</v>
      </c>
      <c r="K628" s="67"/>
      <c r="L628" s="69"/>
      <c r="M628" s="8"/>
    </row>
    <row r="629" spans="1:13" s="3" customFormat="1" ht="12.2" customHeight="1" x14ac:dyDescent="0.15">
      <c r="A629" s="21"/>
      <c r="B629" s="22"/>
      <c r="C629" s="22"/>
      <c r="D629" s="22"/>
      <c r="E629" s="22"/>
      <c r="F629" s="86" t="s">
        <v>659</v>
      </c>
      <c r="G629" s="80">
        <f>G194</f>
        <v>1024232.1100000001</v>
      </c>
      <c r="H629" s="80">
        <f>SUM(G469)</f>
        <v>1024232.1100000001</v>
      </c>
      <c r="I629" s="87" t="s">
        <v>107</v>
      </c>
      <c r="J629" s="80">
        <f>G629-H629</f>
        <v>0</v>
      </c>
      <c r="K629" s="67"/>
      <c r="L629" s="69"/>
      <c r="M629" s="8"/>
    </row>
    <row r="630" spans="1:13" s="3" customFormat="1" ht="12.2" customHeight="1" x14ac:dyDescent="0.15">
      <c r="A630" s="21"/>
      <c r="B630" s="22"/>
      <c r="C630" s="22"/>
      <c r="D630" s="22"/>
      <c r="E630" s="22"/>
      <c r="F630" s="86" t="s">
        <v>660</v>
      </c>
      <c r="G630" s="80">
        <f>H194</f>
        <v>3686113.4199999995</v>
      </c>
      <c r="H630" s="80">
        <f>SUM(H469)</f>
        <v>3686113.42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273019.07</v>
      </c>
      <c r="H632" s="80">
        <f>SUM(J469)</f>
        <v>273019.07</v>
      </c>
      <c r="I632" s="87" t="s">
        <v>110</v>
      </c>
      <c r="J632" s="80">
        <f>G632-H632</f>
        <v>0</v>
      </c>
      <c r="K632" s="67"/>
      <c r="L632" s="69"/>
      <c r="M632" s="8"/>
    </row>
    <row r="633" spans="1:13" s="3" customFormat="1" ht="12.2" customHeight="1" x14ac:dyDescent="0.15">
      <c r="A633" s="21"/>
      <c r="B633" s="22"/>
      <c r="C633" s="22"/>
      <c r="D633" s="22"/>
      <c r="E633" s="22"/>
      <c r="F633" s="86" t="s">
        <v>394</v>
      </c>
      <c r="G633" s="80">
        <f>SUM(L272)</f>
        <v>33374062.756666664</v>
      </c>
      <c r="H633" s="80">
        <f>SUM(F473)</f>
        <v>33374062.760000002</v>
      </c>
      <c r="I633" s="87" t="s">
        <v>111</v>
      </c>
      <c r="J633" s="80">
        <f t="shared" si="53"/>
        <v>-3.3333376049995422E-3</v>
      </c>
      <c r="K633" s="67"/>
      <c r="L633" s="69"/>
      <c r="M633" s="8"/>
    </row>
    <row r="634" spans="1:13" s="3" customFormat="1" ht="12.2" customHeight="1" x14ac:dyDescent="0.15">
      <c r="A634" s="21"/>
      <c r="B634" s="22"/>
      <c r="C634" s="22"/>
      <c r="D634" s="22"/>
      <c r="E634" s="22"/>
      <c r="F634" s="86" t="s">
        <v>395</v>
      </c>
      <c r="G634" s="80">
        <f>SUM(L353)</f>
        <v>3662035.0100000002</v>
      </c>
      <c r="H634" s="80">
        <f>SUM(H473)</f>
        <v>3662035.01</v>
      </c>
      <c r="I634" s="87" t="s">
        <v>112</v>
      </c>
      <c r="J634" s="80">
        <f>G634-H634</f>
        <v>0</v>
      </c>
      <c r="K634" s="67"/>
      <c r="L634" s="69"/>
      <c r="M634" s="8"/>
    </row>
    <row r="635" spans="1:13" s="124" customFormat="1" ht="12.2" customHeight="1" x14ac:dyDescent="0.15">
      <c r="A635" s="21"/>
      <c r="B635" s="22"/>
      <c r="C635" s="22"/>
      <c r="D635" s="22"/>
      <c r="E635" s="22"/>
      <c r="F635" s="99" t="s">
        <v>247</v>
      </c>
      <c r="G635" s="80">
        <f>I363</f>
        <v>410138.74999999994</v>
      </c>
      <c r="H635" s="80">
        <f>I370</f>
        <v>410138.75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980173.10999999987</v>
      </c>
      <c r="H636" s="80">
        <f>SUM(G473)</f>
        <v>980173.11</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273019.07</v>
      </c>
      <c r="H638" s="108">
        <f>SUM(J469)</f>
        <v>273019.07</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2025907.63</v>
      </c>
      <c r="H640" s="80">
        <f>SUM(F462)</f>
        <v>2025907.63</v>
      </c>
      <c r="I640" s="87" t="s">
        <v>837</v>
      </c>
      <c r="J640" s="80">
        <f t="shared" si="53"/>
        <v>0</v>
      </c>
      <c r="K640" s="67"/>
      <c r="L640" s="69"/>
      <c r="M640" s="8"/>
    </row>
    <row r="641" spans="1:13" s="3" customFormat="1" ht="12.2" customHeight="1" x14ac:dyDescent="0.15">
      <c r="A641" s="21"/>
      <c r="B641" s="22"/>
      <c r="C641" s="22"/>
      <c r="D641" s="22"/>
      <c r="E641" s="22"/>
      <c r="F641" s="86" t="s">
        <v>119</v>
      </c>
      <c r="G641" s="80">
        <f>SUM(G447)</f>
        <v>1391508.31</v>
      </c>
      <c r="H641" s="80">
        <f>SUM(G462)</f>
        <v>1391508.31</v>
      </c>
      <c r="I641" s="87" t="s">
        <v>838</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3"/>
        <v>0</v>
      </c>
      <c r="K642" s="67"/>
      <c r="L642" s="69"/>
      <c r="M642" s="8"/>
    </row>
    <row r="643" spans="1:13" s="3" customFormat="1" ht="12.2" customHeight="1" x14ac:dyDescent="0.15">
      <c r="A643" s="21"/>
      <c r="B643" s="22"/>
      <c r="C643" s="22"/>
      <c r="D643" s="22"/>
      <c r="E643" s="22"/>
      <c r="F643" s="86" t="s">
        <v>121</v>
      </c>
      <c r="G643" s="80">
        <f>SUM(I447)</f>
        <v>3417415.94</v>
      </c>
      <c r="H643" s="80">
        <f>SUM(I462)</f>
        <v>3417415.94</v>
      </c>
      <c r="I643" s="87" t="s">
        <v>840</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23019.07</v>
      </c>
      <c r="H645" s="80">
        <f>H409</f>
        <v>23019.07</v>
      </c>
      <c r="I645" s="87" t="s">
        <v>480</v>
      </c>
      <c r="J645" s="80">
        <f t="shared" si="53"/>
        <v>0</v>
      </c>
      <c r="K645" s="67"/>
      <c r="L645" s="69"/>
      <c r="M645" s="8"/>
    </row>
    <row r="646" spans="1:13" s="3" customFormat="1" ht="12.2" customHeight="1" x14ac:dyDescent="0.15">
      <c r="A646" s="21"/>
      <c r="B646" s="22"/>
      <c r="C646" s="22"/>
      <c r="D646" s="22"/>
      <c r="E646" s="22"/>
      <c r="F646" s="86" t="s">
        <v>664</v>
      </c>
      <c r="G646" s="80">
        <f>J184</f>
        <v>250000</v>
      </c>
      <c r="H646" s="80">
        <f>G409</f>
        <v>250000</v>
      </c>
      <c r="I646" s="87" t="s">
        <v>481</v>
      </c>
      <c r="J646" s="80">
        <f t="shared" si="53"/>
        <v>0</v>
      </c>
      <c r="K646" s="67"/>
      <c r="L646" s="69"/>
      <c r="M646" s="8"/>
    </row>
    <row r="647" spans="1:13" s="3" customFormat="1" ht="12.2" customHeight="1" x14ac:dyDescent="0.15">
      <c r="A647" s="21"/>
      <c r="B647" s="22"/>
      <c r="C647" s="22"/>
      <c r="D647" s="22"/>
      <c r="E647" s="22"/>
      <c r="F647" s="86" t="s">
        <v>662</v>
      </c>
      <c r="G647" s="80">
        <f>J194</f>
        <v>273019.07</v>
      </c>
      <c r="H647" s="80">
        <f>L409</f>
        <v>273019.07</v>
      </c>
      <c r="I647" s="87" t="s">
        <v>477</v>
      </c>
      <c r="J647" s="80">
        <f t="shared" si="53"/>
        <v>0</v>
      </c>
      <c r="K647" s="67"/>
      <c r="L647" s="69"/>
      <c r="M647" s="8"/>
    </row>
    <row r="648" spans="1:13" s="3" customFormat="1" ht="12.2" customHeight="1" x14ac:dyDescent="0.15">
      <c r="A648" s="21"/>
      <c r="B648" s="22"/>
      <c r="C648" s="22"/>
      <c r="D648" s="22"/>
      <c r="E648" s="22"/>
      <c r="F648" s="86" t="s">
        <v>51</v>
      </c>
      <c r="G648" s="80">
        <f>K599</f>
        <v>1666569.7300000002</v>
      </c>
      <c r="H648" s="80">
        <f>L209+L227+L245</f>
        <v>1666569.73</v>
      </c>
      <c r="I648" s="87" t="s">
        <v>396</v>
      </c>
      <c r="J648" s="80">
        <f t="shared" si="53"/>
        <v>0</v>
      </c>
      <c r="K648" s="67"/>
      <c r="L648" s="69"/>
      <c r="M648" s="8"/>
    </row>
    <row r="649" spans="1:13" s="3" customFormat="1" ht="12.2" customHeight="1" x14ac:dyDescent="0.15">
      <c r="A649" s="21"/>
      <c r="B649" s="22"/>
      <c r="C649" s="22"/>
      <c r="D649" s="22"/>
      <c r="E649" s="22"/>
      <c r="F649" s="86" t="s">
        <v>52</v>
      </c>
      <c r="G649" s="80">
        <f>K606</f>
        <v>749932.09000000008</v>
      </c>
      <c r="H649" s="80">
        <f>(J258+J339)-(J256+J337)</f>
        <v>749932.09</v>
      </c>
      <c r="I649" s="87" t="s">
        <v>699</v>
      </c>
      <c r="J649" s="80">
        <f t="shared" si="53"/>
        <v>0</v>
      </c>
      <c r="K649" s="67"/>
      <c r="L649" s="69"/>
      <c r="M649" s="8"/>
    </row>
    <row r="650" spans="1:13" s="3" customFormat="1" ht="12.2" customHeight="1" x14ac:dyDescent="0.15">
      <c r="A650" s="21"/>
      <c r="B650" s="22"/>
      <c r="C650" s="22"/>
      <c r="D650" s="22"/>
      <c r="E650" s="22"/>
      <c r="F650" s="86" t="s">
        <v>387</v>
      </c>
      <c r="G650" s="80">
        <f>L209</f>
        <v>967050.77169399988</v>
      </c>
      <c r="H650" s="80">
        <f>H599</f>
        <v>967050.76789999998</v>
      </c>
      <c r="I650" s="87" t="s">
        <v>388</v>
      </c>
      <c r="J650" s="80">
        <f t="shared" si="53"/>
        <v>3.7939999019727111E-3</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3"/>
        <v>0</v>
      </c>
      <c r="K651" s="67"/>
      <c r="L651" s="69"/>
      <c r="M651" s="8"/>
    </row>
    <row r="652" spans="1:13" s="3" customFormat="1" ht="12.2" customHeight="1" x14ac:dyDescent="0.15">
      <c r="A652" s="21"/>
      <c r="B652" s="22"/>
      <c r="C652" s="22"/>
      <c r="D652" s="22"/>
      <c r="E652" s="22"/>
      <c r="F652" s="86" t="s">
        <v>393</v>
      </c>
      <c r="G652" s="80">
        <f>L245</f>
        <v>699518.95830599999</v>
      </c>
      <c r="H652" s="80">
        <f>J599</f>
        <v>699518.96210000012</v>
      </c>
      <c r="I652" s="87" t="s">
        <v>390</v>
      </c>
      <c r="J652" s="80">
        <f t="shared" si="53"/>
        <v>-3.7940001348033547E-3</v>
      </c>
      <c r="K652" s="67"/>
      <c r="L652" s="69"/>
      <c r="M652" s="8"/>
    </row>
    <row r="653" spans="1:13" s="3" customFormat="1" ht="12.2" customHeight="1" x14ac:dyDescent="0.15">
      <c r="A653" s="21"/>
      <c r="B653" s="22"/>
      <c r="C653" s="22"/>
      <c r="D653" s="22"/>
      <c r="E653" s="22"/>
      <c r="F653" s="86" t="s">
        <v>665</v>
      </c>
      <c r="G653" s="80">
        <f>G180+G182</f>
        <v>310441.34000000003</v>
      </c>
      <c r="H653" s="80">
        <f>K264+K346</f>
        <v>310441.34000000003</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250000</v>
      </c>
      <c r="H656" s="80">
        <f>K267+K348</f>
        <v>250000</v>
      </c>
      <c r="I656" s="87" t="s">
        <v>400</v>
      </c>
      <c r="J656" s="80">
        <f t="shared" si="53"/>
        <v>0</v>
      </c>
      <c r="K656" s="67"/>
      <c r="L656" s="69"/>
      <c r="M656" s="9"/>
    </row>
    <row r="657" spans="1:13" s="3" customFormat="1" ht="12.2" customHeight="1" x14ac:dyDescent="0.15">
      <c r="F657" s="25" t="s">
        <v>122</v>
      </c>
      <c r="G657" s="13"/>
      <c r="H657" s="80">
        <f>SUM(G618:G656)-SUM(H618:H656)</f>
        <v>-4.8083215951919556E-3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25284503.692252666</v>
      </c>
      <c r="G661" s="13">
        <f>(L230+L310+L360)</f>
        <v>0</v>
      </c>
      <c r="H661" s="13">
        <f>(L248+L329+L361)</f>
        <v>11866592.714414001</v>
      </c>
      <c r="I661" s="13">
        <f>SUM(F661:H661)</f>
        <v>37151096.406666666</v>
      </c>
      <c r="J661" s="13"/>
      <c r="K661" s="13"/>
      <c r="L661" s="13"/>
      <c r="M661" s="9"/>
    </row>
    <row r="662" spans="1:13" s="3" customFormat="1" ht="12.2" customHeight="1" x14ac:dyDescent="0.2">
      <c r="A662" s="1" t="s">
        <v>127</v>
      </c>
      <c r="F662" s="13">
        <f>(L359/IF(SUM(L359:L361)=0,1,SUM(L359:L361))*(SUM(G97:G110)))</f>
        <v>225935.28941572466</v>
      </c>
      <c r="G662" s="13">
        <f>(L360/IF(SUM(L359:L361)=0,1,SUM(L359:L361))*(SUM(G97:G110)))</f>
        <v>0</v>
      </c>
      <c r="H662" s="13">
        <f>(L361/IF(SUM(L359:L361)=0,1,SUM(L359:L361))*(SUM(G97:G110)))</f>
        <v>69746.100584275366</v>
      </c>
      <c r="I662" s="13">
        <f>SUM(F662:H662)</f>
        <v>295681.39</v>
      </c>
      <c r="J662"/>
      <c r="K662" s="13"/>
      <c r="L662" s="13"/>
      <c r="M662" s="8"/>
    </row>
    <row r="663" spans="1:13" s="3" customFormat="1" ht="12.2" customHeight="1" x14ac:dyDescent="0.2">
      <c r="A663" s="1" t="s">
        <v>128</v>
      </c>
      <c r="F663" s="13">
        <f>(L209+L288)-(J209+J288)</f>
        <v>816316.94969399995</v>
      </c>
      <c r="G663" s="13">
        <f>(L227+L307)-(J227+J307)</f>
        <v>0</v>
      </c>
      <c r="H663" s="13">
        <f>(L245+L326)-(J245+J326)</f>
        <v>597477.57030599995</v>
      </c>
      <c r="I663" s="13">
        <f>SUM(F663:H663)</f>
        <v>1413794.52</v>
      </c>
      <c r="J663"/>
      <c r="K663" s="13"/>
      <c r="L663" s="13"/>
      <c r="M663" s="9"/>
    </row>
    <row r="664" spans="1:13" s="3" customFormat="1" ht="12.2" customHeight="1" x14ac:dyDescent="0.15">
      <c r="A664" s="141" t="s">
        <v>129</v>
      </c>
      <c r="B664" s="124"/>
      <c r="C664" s="124"/>
      <c r="D664" s="124"/>
      <c r="E664" s="124"/>
      <c r="F664" s="142">
        <f>SUM(F576:F588)+SUM(H603:H605)+SUM(L612)</f>
        <v>729733.7</v>
      </c>
      <c r="G664" s="142">
        <f>SUM(G576:G588)+SUM(I603:I605)+L613</f>
        <v>0</v>
      </c>
      <c r="H664" s="142">
        <f>SUM(H576:H588)+SUM(J603:J605)+L614</f>
        <v>1620308.58</v>
      </c>
      <c r="I664" s="13">
        <f>SUM(F664:H664)</f>
        <v>2350042.2800000003</v>
      </c>
      <c r="J664" s="13"/>
      <c r="K664" s="13"/>
      <c r="L664" s="13"/>
      <c r="M664" s="9"/>
    </row>
    <row r="665" spans="1:13" s="3" customFormat="1" ht="12.2" customHeight="1" x14ac:dyDescent="0.15">
      <c r="A665" s="1" t="s">
        <v>130</v>
      </c>
      <c r="F665" s="13">
        <f>F661-SUM(F662:F664)</f>
        <v>23512517.753142942</v>
      </c>
      <c r="G665" s="13">
        <f>G661-SUM(G662:G664)</f>
        <v>0</v>
      </c>
      <c r="H665" s="13">
        <f>H661-SUM(H662:H664)</f>
        <v>9579060.463523725</v>
      </c>
      <c r="I665" s="13">
        <f>I661-SUM(I662:I664)</f>
        <v>33091578.216666665</v>
      </c>
      <c r="J665" s="13"/>
      <c r="K665" s="13"/>
      <c r="L665" s="13"/>
      <c r="M665" s="8"/>
    </row>
    <row r="666" spans="1:13" s="3" customFormat="1" ht="12.2" customHeight="1" x14ac:dyDescent="0.2">
      <c r="A666" s="1" t="s">
        <v>131</v>
      </c>
      <c r="F666" s="182">
        <v>894.03</v>
      </c>
      <c r="G666" s="183"/>
      <c r="H666" s="183">
        <v>487.58</v>
      </c>
      <c r="I666" s="13">
        <f>SUM(F666:H666)</f>
        <v>1381.61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26299.47</v>
      </c>
      <c r="G668" s="13" t="e">
        <f>ROUND(G665/G666,2)</f>
        <v>#DIV/0!</v>
      </c>
      <c r="H668" s="13">
        <f>ROUND(H665/H666,2)</f>
        <v>19646.13</v>
      </c>
      <c r="I668" s="13">
        <f>ROUND(I665/I666,2)</f>
        <v>23951.46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t="str">
        <f t="shared" si="54"/>
        <v/>
      </c>
      <c r="I670" s="13">
        <f>SUM(F670:H670)</f>
        <v>0</v>
      </c>
      <c r="J670" s="13"/>
      <c r="K670" s="13"/>
      <c r="L670" s="13"/>
      <c r="M670" s="9"/>
    </row>
    <row r="671" spans="1:13" s="3" customFormat="1" ht="12.2" customHeight="1" x14ac:dyDescent="0.15">
      <c r="A671" s="1" t="s">
        <v>135</v>
      </c>
      <c r="F671" s="18"/>
      <c r="G671" s="18"/>
      <c r="H671" s="18">
        <v>-7.45</v>
      </c>
      <c r="I671" s="13">
        <f>SUM(F671:H671)</f>
        <v>-7.45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26299.47</v>
      </c>
      <c r="G673" s="13" t="e">
        <f>ROUND((G665+G670)/(G666+G671),2)</f>
        <v>#DIV/0!</v>
      </c>
      <c r="H673" s="13">
        <f>ROUND((H665+H670)/(H666+H671),2)</f>
        <v>19950.97</v>
      </c>
      <c r="I673" s="13">
        <f>ROUND((I665+I670)/(I666+I671),2)</f>
        <v>24081.31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Normal="100" workbookViewId="0">
      <selection activeCell="A21" sqref="A21"/>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0" t="s">
        <v>1611</v>
      </c>
      <c r="D2" s="320"/>
      <c r="E2" s="320"/>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100388.12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81890.23</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0</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18497.89</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A21" sqref="A21"/>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1547</v>
      </c>
      <c r="B1" s="321"/>
      <c r="C1" s="321"/>
      <c r="D1" s="321"/>
      <c r="E1" s="321"/>
      <c r="F1" s="321"/>
      <c r="G1" s="321"/>
      <c r="H1" s="321"/>
    </row>
    <row r="2" spans="1:9" ht="15" x14ac:dyDescent="0.2">
      <c r="A2" s="321" t="s">
        <v>1787</v>
      </c>
      <c r="B2" s="321"/>
      <c r="C2" s="321"/>
      <c r="D2" s="321"/>
      <c r="E2" s="321"/>
      <c r="F2" s="321"/>
      <c r="G2" s="321"/>
      <c r="H2" s="321"/>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2" t="str">
        <f>'DOE25'!A2</f>
        <v>Fall Mountain Regional</v>
      </c>
      <c r="C5" s="323"/>
      <c r="D5" s="323"/>
      <c r="E5" s="323"/>
      <c r="F5" s="323"/>
    </row>
    <row r="8" spans="1:9" ht="18" x14ac:dyDescent="0.25">
      <c r="A8" s="239" t="s">
        <v>1548</v>
      </c>
      <c r="F8" s="246" t="s">
        <v>1566</v>
      </c>
    </row>
    <row r="9" spans="1:9" ht="15" x14ac:dyDescent="0.2">
      <c r="A9" s="237" t="s">
        <v>1549</v>
      </c>
      <c r="B9" s="240">
        <f>'DOE25'!G97</f>
        <v>295681.39</v>
      </c>
      <c r="F9" s="237" t="s">
        <v>1562</v>
      </c>
    </row>
    <row r="10" spans="1:9" ht="15" x14ac:dyDescent="0.2">
      <c r="A10" s="237" t="s">
        <v>1550</v>
      </c>
      <c r="B10" s="240">
        <f>'DOE25'!G112-'DOE25'!G97</f>
        <v>0</v>
      </c>
      <c r="F10" s="237" t="s">
        <v>1563</v>
      </c>
    </row>
    <row r="11" spans="1:9" ht="15" x14ac:dyDescent="0.2">
      <c r="A11" s="237" t="s">
        <v>1551</v>
      </c>
      <c r="B11" s="240">
        <f>'DOE25'!G140</f>
        <v>13053.4</v>
      </c>
      <c r="F11" s="237" t="s">
        <v>1564</v>
      </c>
    </row>
    <row r="12" spans="1:9" ht="15" x14ac:dyDescent="0.2">
      <c r="A12" s="237" t="s">
        <v>1552</v>
      </c>
      <c r="B12" s="240">
        <f>'DOE25'!G170</f>
        <v>405055.98000000004</v>
      </c>
      <c r="F12" s="237" t="s">
        <v>1565</v>
      </c>
    </row>
    <row r="13" spans="1:9" ht="15" x14ac:dyDescent="0.2">
      <c r="A13" s="237" t="s">
        <v>1553</v>
      </c>
      <c r="B13" s="240">
        <f>'DOE25'!G193-'DOE25'!G180</f>
        <v>0</v>
      </c>
      <c r="F13" s="237" t="s">
        <v>1575</v>
      </c>
    </row>
    <row r="14" spans="1:9" ht="18" x14ac:dyDescent="0.25">
      <c r="A14" s="239" t="s">
        <v>732</v>
      </c>
      <c r="B14" s="241">
        <f>SUM(B9:B13)</f>
        <v>713790.77</v>
      </c>
    </row>
    <row r="16" spans="1:9" ht="18" x14ac:dyDescent="0.25">
      <c r="A16" s="239" t="s">
        <v>783</v>
      </c>
      <c r="F16" s="246" t="s">
        <v>1567</v>
      </c>
    </row>
    <row r="17" spans="1:6" ht="15" x14ac:dyDescent="0.2">
      <c r="A17" s="237" t="s">
        <v>1554</v>
      </c>
      <c r="B17" s="240">
        <f>'DOE25'!L363-'DOE25'!L362</f>
        <v>980173.10999999987</v>
      </c>
      <c r="F17" s="237" t="s">
        <v>1568</v>
      </c>
    </row>
    <row r="18" spans="1:6" ht="15" x14ac:dyDescent="0.2">
      <c r="A18" s="237" t="s">
        <v>1555</v>
      </c>
      <c r="B18" s="250"/>
      <c r="F18" s="246" t="s">
        <v>1592</v>
      </c>
    </row>
    <row r="19" spans="1:6" ht="18" x14ac:dyDescent="0.25">
      <c r="A19" s="239" t="s">
        <v>725</v>
      </c>
      <c r="B19" s="241">
        <f>SUM(B17:B18)</f>
        <v>980173.10999999987</v>
      </c>
    </row>
    <row r="21" spans="1:6" ht="18.75" thickBot="1" x14ac:dyDescent="0.3">
      <c r="A21" s="239" t="s">
        <v>1556</v>
      </c>
    </row>
    <row r="22" spans="1:6" ht="18.75" thickTop="1" x14ac:dyDescent="0.25">
      <c r="A22" s="239" t="s">
        <v>1557</v>
      </c>
      <c r="B22" s="245">
        <f>B14-B19</f>
        <v>-266382.33999999985</v>
      </c>
      <c r="F22" s="237" t="s">
        <v>1569</v>
      </c>
    </row>
    <row r="26" spans="1:6" ht="18" x14ac:dyDescent="0.25">
      <c r="A26" s="239" t="s">
        <v>186</v>
      </c>
    </row>
    <row r="27" spans="1:6" ht="15" x14ac:dyDescent="0.2">
      <c r="A27" s="237" t="s">
        <v>1558</v>
      </c>
      <c r="B27" s="240">
        <f>'DOE25'!G180</f>
        <v>310441.34000000003</v>
      </c>
      <c r="F27" s="237" t="s">
        <v>1570</v>
      </c>
    </row>
    <row r="28" spans="1:6" ht="15" x14ac:dyDescent="0.2">
      <c r="A28" s="237" t="s">
        <v>1560</v>
      </c>
      <c r="B28" s="240">
        <f>'DOE25'!L362</f>
        <v>0</v>
      </c>
      <c r="F28" s="237" t="s">
        <v>1571</v>
      </c>
    </row>
    <row r="31" spans="1:6" ht="15" x14ac:dyDescent="0.2">
      <c r="A31" s="237" t="s">
        <v>1789</v>
      </c>
      <c r="B31" s="240">
        <f>'DOE25'!G466</f>
        <v>29758.81</v>
      </c>
      <c r="F31" s="237" t="s">
        <v>1572</v>
      </c>
    </row>
    <row r="33" spans="1:6" ht="15" x14ac:dyDescent="0.2">
      <c r="A33" s="237" t="s">
        <v>1790</v>
      </c>
      <c r="B33" s="240">
        <f>'DOE25'!G477</f>
        <v>23537.000000000233</v>
      </c>
      <c r="F33" s="237" t="s">
        <v>1573</v>
      </c>
    </row>
    <row r="36" spans="1:6" ht="15" x14ac:dyDescent="0.2">
      <c r="A36" s="237" t="s">
        <v>1559</v>
      </c>
      <c r="B36" s="251">
        <v>48864.66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6" zoomScaleNormal="100" workbookViewId="0">
      <selection activeCell="A21" sqref="A21"/>
    </sheetView>
  </sheetViews>
  <sheetFormatPr defaultRowHeight="11.25" x14ac:dyDescent="0.2"/>
  <cols>
    <col min="1" max="1" width="26.6640625" customWidth="1"/>
    <col min="2" max="2" width="33.6640625" customWidth="1"/>
    <col min="3" max="3" width="29.5" customWidth="1"/>
  </cols>
  <sheetData>
    <row r="1" spans="1:3" x14ac:dyDescent="0.2">
      <c r="A1" s="170" t="s">
        <v>778</v>
      </c>
      <c r="B1" s="169" t="str">
        <f>'DOE25'!A2</f>
        <v>Fall Mountain Regional</v>
      </c>
      <c r="C1" s="174" t="s">
        <v>820</v>
      </c>
    </row>
    <row r="2" spans="1:3" x14ac:dyDescent="0.2">
      <c r="A2" s="170"/>
      <c r="B2" s="169"/>
    </row>
    <row r="3" spans="1:3" x14ac:dyDescent="0.2">
      <c r="A3" s="320" t="s">
        <v>777</v>
      </c>
      <c r="B3" s="320"/>
      <c r="C3" s="320"/>
    </row>
    <row r="4" spans="1:3" x14ac:dyDescent="0.2">
      <c r="A4" s="173"/>
      <c r="B4" s="24" t="str">
        <f>'DOE25'!H1</f>
        <v>DOE 25  2023-2024</v>
      </c>
      <c r="C4" s="173"/>
    </row>
    <row r="5" spans="1:3" x14ac:dyDescent="0.2">
      <c r="A5" s="170"/>
      <c r="B5" s="169"/>
    </row>
    <row r="6" spans="1:3" x14ac:dyDescent="0.2">
      <c r="A6" s="164"/>
      <c r="B6" s="326" t="s">
        <v>776</v>
      </c>
      <c r="C6" s="326"/>
    </row>
    <row r="7" spans="1:3" x14ac:dyDescent="0.2">
      <c r="A7" s="175" t="s">
        <v>779</v>
      </c>
      <c r="B7" s="324" t="s">
        <v>775</v>
      </c>
      <c r="C7" s="325"/>
    </row>
    <row r="8" spans="1:3" x14ac:dyDescent="0.2">
      <c r="B8" s="165" t="s">
        <v>54</v>
      </c>
      <c r="C8" s="165" t="s">
        <v>769</v>
      </c>
    </row>
    <row r="9" spans="1:3" x14ac:dyDescent="0.2">
      <c r="A9" s="32" t="s">
        <v>770</v>
      </c>
      <c r="B9" s="166">
        <f>'DOE25'!F198+'DOE25'!F216+'DOE25'!F234+'DOE25'!F277+'DOE25'!F296+'DOE25'!F315</f>
        <v>7696103.1700000009</v>
      </c>
      <c r="C9" s="166">
        <f>'DOE25'!G198+'DOE25'!G216+'DOE25'!G234+'DOE25'!G277+'DOE25'!G296+'DOE25'!G315</f>
        <v>4173994.7199999997</v>
      </c>
    </row>
    <row r="10" spans="1:3" x14ac:dyDescent="0.2">
      <c r="A10" t="s">
        <v>772</v>
      </c>
      <c r="B10" s="176">
        <v>7254648.8700000001</v>
      </c>
      <c r="C10" s="176">
        <v>3934571.23</v>
      </c>
    </row>
    <row r="11" spans="1:3" x14ac:dyDescent="0.2">
      <c r="A11" t="s">
        <v>773</v>
      </c>
      <c r="B11" s="176">
        <v>218779.55</v>
      </c>
      <c r="C11" s="176">
        <v>118655.46</v>
      </c>
    </row>
    <row r="12" spans="1:3" x14ac:dyDescent="0.2">
      <c r="A12" t="s">
        <v>774</v>
      </c>
      <c r="B12" s="176">
        <v>222674.75</v>
      </c>
      <c r="C12" s="176">
        <v>120768.03</v>
      </c>
    </row>
    <row r="13" spans="1:3" x14ac:dyDescent="0.2">
      <c r="A13" t="str">
        <f>IF(B9=B13,IF(C9=C13,"Check Total OK","Check Total Error"),"Check Total Error")</f>
        <v>Check Total OK</v>
      </c>
      <c r="B13" s="168">
        <f>SUM(B10:B12)</f>
        <v>7696103.1699999999</v>
      </c>
      <c r="C13" s="168">
        <f>SUM(C10:C12)</f>
        <v>4173994.7199999997</v>
      </c>
    </row>
    <row r="14" spans="1:3" x14ac:dyDescent="0.2">
      <c r="B14" s="167"/>
      <c r="C14" s="167"/>
    </row>
    <row r="15" spans="1:3" x14ac:dyDescent="0.2">
      <c r="B15" s="326" t="s">
        <v>776</v>
      </c>
      <c r="C15" s="326"/>
    </row>
    <row r="16" spans="1:3" x14ac:dyDescent="0.2">
      <c r="A16" s="175" t="s">
        <v>780</v>
      </c>
      <c r="B16" s="324" t="s">
        <v>703</v>
      </c>
      <c r="C16" s="325"/>
    </row>
    <row r="17" spans="1:3" x14ac:dyDescent="0.2">
      <c r="B17" s="165" t="s">
        <v>54</v>
      </c>
      <c r="C17" s="165" t="s">
        <v>769</v>
      </c>
    </row>
    <row r="18" spans="1:3" x14ac:dyDescent="0.2">
      <c r="A18" s="32" t="s">
        <v>770</v>
      </c>
      <c r="B18" s="166">
        <f>'DOE25'!F199+'DOE25'!F217+'DOE25'!F235+'DOE25'!F278+'DOE25'!F297+'DOE25'!F316</f>
        <v>4065330.21</v>
      </c>
      <c r="C18" s="166">
        <f>'DOE25'!G199+'DOE25'!G217+'DOE25'!G235+'DOE25'!G278+'DOE25'!G297+'DOE25'!G316</f>
        <v>1685364.5</v>
      </c>
    </row>
    <row r="19" spans="1:3" x14ac:dyDescent="0.2">
      <c r="A19" t="s">
        <v>772</v>
      </c>
      <c r="B19" s="176">
        <v>2223677.64</v>
      </c>
      <c r="C19" s="176">
        <v>921870.34</v>
      </c>
    </row>
    <row r="20" spans="1:3" x14ac:dyDescent="0.2">
      <c r="A20" t="s">
        <v>773</v>
      </c>
      <c r="B20" s="176">
        <v>1752653.17</v>
      </c>
      <c r="C20" s="176">
        <v>726597.67</v>
      </c>
    </row>
    <row r="21" spans="1:3" x14ac:dyDescent="0.2">
      <c r="A21" t="s">
        <v>774</v>
      </c>
      <c r="B21" s="176">
        <v>88999.4</v>
      </c>
      <c r="C21" s="176">
        <v>36896.49</v>
      </c>
    </row>
    <row r="22" spans="1:3" x14ac:dyDescent="0.2">
      <c r="A22" t="str">
        <f>IF(B18=B22,IF(C18=C22,"Check Total OK","Check Total Error"),"Check Total Error")</f>
        <v>Check Total OK</v>
      </c>
      <c r="B22" s="168">
        <f>SUM(B19:B21)</f>
        <v>4065330.21</v>
      </c>
      <c r="C22" s="168">
        <f>SUM(C19:C21)</f>
        <v>1685364.5</v>
      </c>
    </row>
    <row r="23" spans="1:3" x14ac:dyDescent="0.2">
      <c r="B23" s="167"/>
      <c r="C23" s="167"/>
    </row>
    <row r="24" spans="1:3" x14ac:dyDescent="0.2">
      <c r="B24" s="326" t="s">
        <v>776</v>
      </c>
      <c r="C24" s="326"/>
    </row>
    <row r="25" spans="1:3" x14ac:dyDescent="0.2">
      <c r="A25" s="175" t="s">
        <v>781</v>
      </c>
      <c r="B25" s="324" t="s">
        <v>704</v>
      </c>
      <c r="C25" s="325"/>
    </row>
    <row r="26" spans="1:3" x14ac:dyDescent="0.2">
      <c r="B26" s="165" t="s">
        <v>54</v>
      </c>
      <c r="C26" s="165" t="s">
        <v>769</v>
      </c>
    </row>
    <row r="27" spans="1:3" x14ac:dyDescent="0.2">
      <c r="A27" s="32" t="s">
        <v>770</v>
      </c>
      <c r="B27" s="171">
        <f>'DOE25'!F200+'DOE25'!F218+'DOE25'!F236+'DOE25'!F279+'DOE25'!F298+'DOE25'!F317</f>
        <v>392876.98</v>
      </c>
      <c r="C27" s="171">
        <f>'DOE25'!G200+'DOE25'!G218+'DOE25'!G236+'DOE25'!G279+'DOE25'!G298+'DOE25'!G317</f>
        <v>142804.66</v>
      </c>
    </row>
    <row r="28" spans="1:3" x14ac:dyDescent="0.2">
      <c r="A28" t="s">
        <v>772</v>
      </c>
      <c r="B28" s="176">
        <v>374922.61</v>
      </c>
      <c r="C28" s="176">
        <v>136278.51999999999</v>
      </c>
    </row>
    <row r="29" spans="1:3" x14ac:dyDescent="0.2">
      <c r="A29" t="s">
        <v>773</v>
      </c>
      <c r="B29" s="176">
        <v>0</v>
      </c>
      <c r="C29" s="176">
        <v>0</v>
      </c>
    </row>
    <row r="30" spans="1:3" x14ac:dyDescent="0.2">
      <c r="A30" t="s">
        <v>774</v>
      </c>
      <c r="B30" s="176">
        <v>17954.37</v>
      </c>
      <c r="C30" s="176">
        <v>6526.14</v>
      </c>
    </row>
    <row r="31" spans="1:3" x14ac:dyDescent="0.2">
      <c r="A31" t="str">
        <f>IF(B27=B31,IF(C27=C31,"Check Total OK","Check Total Error"),"Check Total Error")</f>
        <v>Check Total OK</v>
      </c>
      <c r="B31" s="168">
        <f>SUM(B28:B30)</f>
        <v>392876.98</v>
      </c>
      <c r="C31" s="168">
        <f>SUM(C28:C30)</f>
        <v>142804.66</v>
      </c>
    </row>
    <row r="33" spans="1:3" x14ac:dyDescent="0.2">
      <c r="B33" s="326" t="s">
        <v>776</v>
      </c>
      <c r="C33" s="326"/>
    </row>
    <row r="34" spans="1:3" x14ac:dyDescent="0.2">
      <c r="A34" s="175" t="s">
        <v>782</v>
      </c>
      <c r="B34" s="324" t="s">
        <v>705</v>
      </c>
      <c r="C34" s="325"/>
    </row>
    <row r="35" spans="1:3" x14ac:dyDescent="0.2">
      <c r="B35" s="165" t="s">
        <v>54</v>
      </c>
      <c r="C35" s="165" t="s">
        <v>769</v>
      </c>
    </row>
    <row r="36" spans="1:3" x14ac:dyDescent="0.2">
      <c r="A36" s="32" t="s">
        <v>770</v>
      </c>
      <c r="B36" s="172">
        <f>'DOE25'!F201+'DOE25'!F219+'DOE25'!F237+'DOE25'!F280+'DOE25'!F299+'DOE25'!F318</f>
        <v>350839.69000000006</v>
      </c>
      <c r="C36" s="172">
        <f>'DOE25'!G201+'DOE25'!G219+'DOE25'!G237+'DOE25'!G280+'DOE25'!G299+'DOE25'!G318</f>
        <v>100042.41999999998</v>
      </c>
    </row>
    <row r="37" spans="1:3" x14ac:dyDescent="0.2">
      <c r="A37" t="s">
        <v>772</v>
      </c>
      <c r="B37" s="176"/>
      <c r="C37" s="176"/>
    </row>
    <row r="38" spans="1:3" x14ac:dyDescent="0.2">
      <c r="A38" t="s">
        <v>773</v>
      </c>
      <c r="B38" s="176"/>
      <c r="C38" s="176"/>
    </row>
    <row r="39" spans="1:3" x14ac:dyDescent="0.2">
      <c r="A39" t="s">
        <v>774</v>
      </c>
      <c r="B39" s="176">
        <v>350839.69000000006</v>
      </c>
      <c r="C39" s="176">
        <v>100042.42</v>
      </c>
    </row>
    <row r="40" spans="1:3" x14ac:dyDescent="0.2">
      <c r="A40" t="str">
        <f>IF(B36=B40,IF(C36=C40,"Check Total OK","Check Total Error"),"Check Total Error")</f>
        <v>Check Total OK</v>
      </c>
      <c r="B40" s="168">
        <f>SUM(B37:B39)</f>
        <v>350839.69000000006</v>
      </c>
      <c r="C40" s="168">
        <f>SUM(C37:C39)</f>
        <v>100042.42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98" zoomScaleNormal="98" workbookViewId="0">
      <pane ySplit="4" topLeftCell="A5" activePane="bottomLeft" state="frozen"/>
      <selection activeCell="A21" sqref="A21"/>
      <selection pane="bottomLeft" activeCell="A21" sqref="A21"/>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6" t="s">
        <v>886</v>
      </c>
      <c r="B1" s="329"/>
      <c r="C1" s="329"/>
      <c r="D1" s="329"/>
      <c r="E1" s="329"/>
      <c r="F1" s="329"/>
      <c r="G1" s="329"/>
      <c r="H1" s="329"/>
      <c r="I1" s="130"/>
    </row>
    <row r="2" spans="1:9" x14ac:dyDescent="0.2">
      <c r="A2" s="32" t="s">
        <v>713</v>
      </c>
      <c r="B2" s="195" t="str">
        <f>'DOE25'!A2</f>
        <v>Fall Mountain Regional</v>
      </c>
      <c r="C2" s="207"/>
      <c r="D2" s="130" t="s">
        <v>784</v>
      </c>
      <c r="E2" s="130" t="s">
        <v>786</v>
      </c>
      <c r="F2" s="327" t="s">
        <v>885</v>
      </c>
      <c r="G2" s="328"/>
      <c r="H2" s="328"/>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19913059.830000002</v>
      </c>
      <c r="D5" s="19">
        <f>SUM('DOE25'!L198:L201)+SUM('DOE25'!L216:L219)+SUM('DOE25'!L234:L237)-F5-G5-H5</f>
        <v>19726849.719999999</v>
      </c>
      <c r="E5" s="179"/>
      <c r="F5" s="180"/>
      <c r="G5" s="19">
        <f>SUM('DOE25'!J198:J201)+SUM('DOE25'!J216:J219)+SUM('DOE25'!J234:J237)</f>
        <v>160025.51</v>
      </c>
      <c r="H5" s="19">
        <f>SUM('DOE25'!K198:K201)+SUM('DOE25'!K216:K219)+SUM('DOE25'!K234:K237)</f>
        <v>26184.6</v>
      </c>
      <c r="I5" s="191"/>
    </row>
    <row r="6" spans="1:9" x14ac:dyDescent="0.2">
      <c r="A6" s="31">
        <v>2100</v>
      </c>
      <c r="B6" t="s">
        <v>793</v>
      </c>
      <c r="C6" s="205">
        <f t="shared" si="0"/>
        <v>2503154.46</v>
      </c>
      <c r="D6" s="19">
        <f>'DOE25'!L203+'DOE25'!L221+'DOE25'!L239-F6-G6-H6</f>
        <v>2422712.4699999997</v>
      </c>
      <c r="E6" s="179"/>
      <c r="F6" s="180">
        <v>79804.990000000005</v>
      </c>
      <c r="G6" s="19">
        <f>'DOE25'!J203+'DOE25'!J221+'DOE25'!J239</f>
        <v>0</v>
      </c>
      <c r="H6" s="19">
        <f>'DOE25'!K203+'DOE25'!K221+'DOE25'!K239</f>
        <v>637</v>
      </c>
      <c r="I6" s="191"/>
    </row>
    <row r="7" spans="1:9" x14ac:dyDescent="0.2">
      <c r="A7" s="31">
        <v>2200</v>
      </c>
      <c r="B7" t="s">
        <v>817</v>
      </c>
      <c r="C7" s="205">
        <f t="shared" si="0"/>
        <v>1791521.75</v>
      </c>
      <c r="D7" s="19">
        <f>'DOE25'!L204+'DOE25'!L222+'DOE25'!L240-F7-G7-H7</f>
        <v>1584426.75</v>
      </c>
      <c r="E7" s="179"/>
      <c r="F7" s="180">
        <v>139710</v>
      </c>
      <c r="G7" s="19">
        <f>'DOE25'!J204+'DOE25'!J222+'DOE25'!J240</f>
        <v>46301.09</v>
      </c>
      <c r="H7" s="19">
        <f>'DOE25'!K204+'DOE25'!K222+'DOE25'!K240</f>
        <v>21083.909999999996</v>
      </c>
      <c r="I7" s="191"/>
    </row>
    <row r="8" spans="1:9" x14ac:dyDescent="0.2">
      <c r="A8" s="31">
        <v>2300</v>
      </c>
      <c r="B8" t="s">
        <v>794</v>
      </c>
      <c r="C8" s="205">
        <f t="shared" si="0"/>
        <v>515557.69666666654</v>
      </c>
      <c r="D8" s="179"/>
      <c r="E8" s="19">
        <f>'DOE25'!L205+'DOE25'!L223+'DOE25'!L241-F8-G8-H8-D9-D11</f>
        <v>503134.91666666651</v>
      </c>
      <c r="F8" s="180"/>
      <c r="G8" s="19">
        <f>'DOE25'!J205+'DOE25'!J223+'DOE25'!J241</f>
        <v>3897</v>
      </c>
      <c r="H8" s="19">
        <f>'DOE25'!K205+'DOE25'!K223+'DOE25'!K241</f>
        <v>8525.7800000000007</v>
      </c>
      <c r="I8" s="191"/>
    </row>
    <row r="9" spans="1:9" ht="14.25" x14ac:dyDescent="0.2">
      <c r="A9" s="31">
        <v>2310</v>
      </c>
      <c r="B9" s="71" t="s">
        <v>884</v>
      </c>
      <c r="C9" s="205">
        <f t="shared" si="0"/>
        <v>195153.17</v>
      </c>
      <c r="D9" s="180">
        <v>195153.17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1847123.8800000001</v>
      </c>
      <c r="D12" s="19">
        <f>'DOE25'!L206+'DOE25'!L224+'DOE25'!L242-F12-G12-H12</f>
        <v>1824377.1</v>
      </c>
      <c r="E12" s="179"/>
      <c r="F12" s="180"/>
      <c r="G12" s="19">
        <f>'DOE25'!J206+'DOE25'!J224+'DOE25'!J242</f>
        <v>19449.78</v>
      </c>
      <c r="H12" s="19">
        <f>'DOE25'!K206+'DOE25'!K224+'DOE25'!K242</f>
        <v>3297</v>
      </c>
      <c r="I12" s="191"/>
    </row>
    <row r="13" spans="1:9" x14ac:dyDescent="0.2">
      <c r="A13" s="31">
        <v>2500</v>
      </c>
      <c r="B13" t="s">
        <v>795</v>
      </c>
      <c r="C13" s="205">
        <f t="shared" si="0"/>
        <v>471908.61</v>
      </c>
      <c r="D13" s="179"/>
      <c r="E13" s="19">
        <f>'DOE25'!L207+'DOE25'!L225+'DOE25'!L243-F13-G13-H13</f>
        <v>466778.74</v>
      </c>
      <c r="F13" s="180"/>
      <c r="G13" s="19">
        <f>'DOE25'!J207+'DOE25'!J225+'DOE25'!J243</f>
        <v>4060.87</v>
      </c>
      <c r="H13" s="19">
        <f>'DOE25'!K207+'DOE25'!K225+'DOE25'!K243</f>
        <v>1069</v>
      </c>
      <c r="I13" s="191"/>
    </row>
    <row r="14" spans="1:9" x14ac:dyDescent="0.2">
      <c r="A14" s="31">
        <v>2600</v>
      </c>
      <c r="B14" t="s">
        <v>815</v>
      </c>
      <c r="C14" s="205">
        <f t="shared" si="0"/>
        <v>3623373.3200000003</v>
      </c>
      <c r="D14" s="19">
        <f>'DOE25'!L208+'DOE25'!L226+'DOE25'!L244-F14-G14-H14</f>
        <v>3042797.16</v>
      </c>
      <c r="E14" s="179"/>
      <c r="F14" s="180">
        <v>489687.62</v>
      </c>
      <c r="G14" s="19">
        <f>'DOE25'!J208+'DOE25'!J226+'DOE25'!J244</f>
        <v>90888.539999999979</v>
      </c>
      <c r="H14" s="19">
        <f>'DOE25'!K208+'DOE25'!K226+'DOE25'!K244</f>
        <v>0</v>
      </c>
      <c r="I14" s="191"/>
    </row>
    <row r="15" spans="1:9" x14ac:dyDescent="0.2">
      <c r="A15" s="31">
        <v>2700</v>
      </c>
      <c r="B15" t="s">
        <v>796</v>
      </c>
      <c r="C15" s="205">
        <f t="shared" si="0"/>
        <v>1666569.73</v>
      </c>
      <c r="D15" s="19">
        <f>'DOE25'!L209+'DOE25'!L227+'DOE25'!L245-F15-G15-H15</f>
        <v>586383.86999999988</v>
      </c>
      <c r="E15" s="179"/>
      <c r="F15" s="180">
        <v>818820.54</v>
      </c>
      <c r="G15" s="19">
        <f>'DOE25'!J209+'DOE25'!J227+'DOE25'!J245</f>
        <v>261365.32</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200653.97</v>
      </c>
      <c r="D22" s="179"/>
      <c r="E22" s="179"/>
      <c r="F22" s="179"/>
      <c r="G22" s="19">
        <f>'DOE25'!L256+'DOE25'!L337</f>
        <v>200653.97</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103002.5</v>
      </c>
      <c r="D25" s="179"/>
      <c r="E25" s="179"/>
      <c r="F25" s="190"/>
      <c r="G25" s="179"/>
      <c r="H25" s="179"/>
      <c r="I25" s="189">
        <f>'DOE25'!L261+'DOE25'!L262+'DOE25'!L342+'DOE25'!L343</f>
        <v>103002.5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185533.04999999981</v>
      </c>
      <c r="D29" s="211">
        <f>'DOE25'!L359+'DOE25'!L360+'DOE25'!L361-'DOE25'!I368-F29-G29-H29-F39</f>
        <v>137180.30999999982</v>
      </c>
      <c r="E29" s="179"/>
      <c r="F29" s="179"/>
      <c r="G29" s="19">
        <f>'DOE25'!J359+'DOE25'!J360+'DOE25'!J361</f>
        <v>48352.74</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3643500.85</v>
      </c>
      <c r="D31" s="19">
        <f>'DOE25'!L291+'DOE25'!L310+'DOE25'!L329+'DOE25'!L334+'DOE25'!L335+'DOE25'!L336-F31-G31-H31</f>
        <v>3085781.16</v>
      </c>
      <c r="E31" s="179"/>
      <c r="F31" s="180">
        <v>388373.14</v>
      </c>
      <c r="G31" s="19">
        <f>'DOE25'!J291+'DOE25'!J310+'DOE25'!J329+'DOE25'!J334+'DOE25'!J335+'DOE25'!J336</f>
        <v>163943.97999999998</v>
      </c>
      <c r="H31" s="19">
        <f>'DOE25'!K291+'DOE25'!K310+'DOE25'!K329+'DOE25'!K334+'DOE25'!K335+'DOE25'!K336</f>
        <v>5402.5700000000006</v>
      </c>
      <c r="I31" s="191"/>
    </row>
    <row r="32" spans="1:9" ht="12" thickBot="1" x14ac:dyDescent="0.25">
      <c r="C32" s="206"/>
      <c r="G32" s="187"/>
      <c r="H32" s="187"/>
      <c r="I32" s="193"/>
    </row>
    <row r="33" spans="1:9" ht="12" thickTop="1" x14ac:dyDescent="0.2">
      <c r="B33" t="s">
        <v>806</v>
      </c>
      <c r="D33" s="181">
        <f t="shared" ref="D33:I33" si="1">SUM(D5:D31)</f>
        <v>32605661.710000001</v>
      </c>
      <c r="E33" s="181">
        <f t="shared" si="1"/>
        <v>969913.6566666665</v>
      </c>
      <c r="F33" s="181">
        <f t="shared" si="1"/>
        <v>1916396.29</v>
      </c>
      <c r="G33" s="181">
        <f t="shared" si="1"/>
        <v>998938.79999999993</v>
      </c>
      <c r="H33" s="181">
        <f t="shared" si="1"/>
        <v>66199.86</v>
      </c>
      <c r="I33" s="181">
        <f t="shared" si="1"/>
        <v>103002.5</v>
      </c>
    </row>
    <row r="34" spans="1:9" ht="12" thickBot="1" x14ac:dyDescent="0.25"/>
    <row r="35" spans="1:9" ht="12" thickBot="1" x14ac:dyDescent="0.25">
      <c r="B35" s="187" t="s">
        <v>827</v>
      </c>
      <c r="D35" s="188">
        <f>E33</f>
        <v>969913.6566666665</v>
      </c>
      <c r="E35" s="184"/>
      <c r="F35" s="294" t="s">
        <v>1596</v>
      </c>
      <c r="G35" s="295"/>
      <c r="H35" s="295"/>
      <c r="I35" s="296"/>
    </row>
    <row r="36" spans="1:9" ht="12" thickTop="1" x14ac:dyDescent="0.2">
      <c r="B36" t="s">
        <v>807</v>
      </c>
      <c r="D36" s="19">
        <f>D33</f>
        <v>32605661.710000001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397320.03</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1774</v>
      </c>
      <c r="C54" s="330"/>
      <c r="D54" s="330"/>
      <c r="E54" s="330"/>
      <c r="F54" s="330"/>
      <c r="G54" s="330"/>
      <c r="H54" s="330"/>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H1" zoomScaleNormal="100" workbookViewId="0">
      <selection activeCell="R38" sqref="R38"/>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6640625" customWidth="1"/>
    <col min="8" max="8" width="19.1640625" customWidth="1"/>
    <col min="9" max="9" width="26.6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2" ht="51.75" customHeight="1" x14ac:dyDescent="0.25">
      <c r="A1" t="s">
        <v>893</v>
      </c>
      <c r="B1" t="s">
        <v>894</v>
      </c>
      <c r="D1" s="32" t="s">
        <v>1546</v>
      </c>
      <c r="J1" s="314" t="s">
        <v>1797</v>
      </c>
      <c r="K1" s="314"/>
      <c r="L1" s="314"/>
      <c r="M1" s="314"/>
      <c r="N1" s="314"/>
      <c r="O1" s="331" t="s">
        <v>1802</v>
      </c>
      <c r="P1" s="332"/>
      <c r="Q1" s="332"/>
      <c r="R1" s="332"/>
      <c r="S1" s="332"/>
      <c r="T1" s="332"/>
      <c r="U1" s="332"/>
      <c r="V1" s="332"/>
    </row>
    <row r="2" spans="1:22" ht="15.75" customHeight="1" thickBot="1" x14ac:dyDescent="0.25">
      <c r="A2" s="220" t="str">
        <f>'DOE25'!A2</f>
        <v>Fall Mountain Regional</v>
      </c>
      <c r="B2">
        <f>'DOE25'!B2</f>
        <v>174</v>
      </c>
      <c r="J2" s="223" t="s">
        <v>1799</v>
      </c>
      <c r="K2" s="308">
        <f>SUM('DOE25'!L198:L201)+SUM('DOE25'!L277:L280)</f>
        <v>15395534.70992</v>
      </c>
      <c r="L2" s="308">
        <f>'DOE25'!L203+'DOE25'!L282</f>
        <v>2084755.6091933332</v>
      </c>
      <c r="M2" s="308">
        <f>'DOE25'!L204+'DOE25'!L283</f>
        <v>1309304.4635146665</v>
      </c>
      <c r="N2" s="308">
        <f>'DOE25'!L206+'DOE25'!L285</f>
        <v>1292186.4600000002</v>
      </c>
      <c r="O2" s="316">
        <f>'Salaries-Benefits'!B10+'Salaries-Benefits'!B12+'Salaries-Benefits'!B19+'Salaries-Benefits'!B21+'Salaries-Benefits'!B28+'Salaries-Benefits'!B30+'Salaries-Benefits'!B37+'Salaries-Benefits'!B39</f>
        <v>10533717.329999998</v>
      </c>
      <c r="P2" s="316">
        <f>'Salaries-Benefits'!B11+'Salaries-Benefits'!B20+'Salaries-Benefits'!B29+'Salaries-Benefits'!B38</f>
        <v>1971432.72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24535536.382252663</v>
      </c>
      <c r="G4" s="228">
        <f>'DOE25'!L212+'DOE25'!L291</f>
        <v>24535536.382252667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287147.64</v>
      </c>
      <c r="E5" s="219"/>
      <c r="F5" s="231">
        <f>D5+E5</f>
        <v>287147.64</v>
      </c>
      <c r="G5" s="222"/>
      <c r="H5" s="222"/>
      <c r="J5" s="71" t="s">
        <v>1798</v>
      </c>
      <c r="K5" s="20">
        <v>287147.64</v>
      </c>
      <c r="L5" s="20"/>
      <c r="M5" s="20"/>
      <c r="N5" s="20"/>
      <c r="O5" s="20"/>
      <c r="P5" s="20"/>
      <c r="Q5" s="20"/>
    </row>
    <row r="6" spans="1:22" x14ac:dyDescent="0.2">
      <c r="A6" t="str" cm="1">
        <f t="array" ref="A6">IFERROR(INDEX('School Tables'!$A$4:$G$365,'School Tables'!$J4,3),"")</f>
        <v>Acworth Elementary School</v>
      </c>
      <c r="B6" s="229">
        <f>IFERROR(VLOOKUP(A6,'School Tables'!$C$3:$D$365,2,FALSE),"")</f>
        <v>22960</v>
      </c>
      <c r="C6" s="222" t="str">
        <f>IFERROR(INDEX('School Tables'!$B$3:$B$365,MATCH('School Level Expenditures'!B6,'School Tables'!$D$3:$D$365,0)),"")</f>
        <v>Fall Mountain Regional</v>
      </c>
      <c r="D6" s="219">
        <v>813614.80156718357</v>
      </c>
      <c r="E6" s="219">
        <v>114181.08698532368</v>
      </c>
      <c r="F6" s="231">
        <f t="shared" ref="F6:F20" si="2">D6+E6</f>
        <v>927795.88855250727</v>
      </c>
      <c r="G6" s="222"/>
      <c r="H6" s="222"/>
      <c r="J6" t="str">
        <f t="shared" ref="J6:J20" si="3">A6</f>
        <v>Acworth Elementary School</v>
      </c>
      <c r="K6" s="20">
        <v>574287.17838392034</v>
      </c>
      <c r="L6" s="20">
        <v>88495.581585508116</v>
      </c>
      <c r="M6" s="307">
        <v>55062.64089431733</v>
      </c>
      <c r="N6" s="20">
        <v>53995.46</v>
      </c>
      <c r="O6" s="20">
        <v>267751.6259409131</v>
      </c>
      <c r="P6" s="20">
        <v>25071.120530307166</v>
      </c>
      <c r="Q6" s="319">
        <v>2108.5389613733132</v>
      </c>
    </row>
    <row r="7" spans="1:22" x14ac:dyDescent="0.2">
      <c r="A7" t="str" cm="1">
        <f t="array" ref="A7">IFERROR(INDEX('School Tables'!$A$4:$G$365,'School Tables'!$J5,3),"")</f>
        <v>Alstead Primary School</v>
      </c>
      <c r="B7" s="229">
        <f>IFERROR(VLOOKUP(A7,'School Tables'!$C$3:$D$365,2,FALSE),"")</f>
        <v>22965</v>
      </c>
      <c r="C7" s="222" t="str">
        <f>IFERROR(INDEX('School Tables'!$B$3:$B$365,MATCH('School Level Expenditures'!B7,'School Tables'!$D$3:$D$365,0)),"")</f>
        <v>Fall Mountain Regional</v>
      </c>
      <c r="D7" s="219">
        <v>1791195.0175643971</v>
      </c>
      <c r="E7" s="219">
        <v>246710.500975553</v>
      </c>
      <c r="F7" s="231">
        <f t="shared" si="2"/>
        <v>2037905.51853995</v>
      </c>
      <c r="G7" s="222"/>
      <c r="H7" s="222"/>
      <c r="J7" t="str">
        <f t="shared" si="3"/>
        <v>Alstead Primary School</v>
      </c>
      <c r="K7" s="20">
        <v>1274081.0245926839</v>
      </c>
      <c r="L7" s="20">
        <v>175239.75221090287</v>
      </c>
      <c r="M7" s="307">
        <v>72584.085613970776</v>
      </c>
      <c r="N7" s="20">
        <v>112649.9</v>
      </c>
      <c r="O7" s="20">
        <v>626847.73917490221</v>
      </c>
      <c r="P7" s="20">
        <v>154218.29544560579</v>
      </c>
      <c r="Q7" s="319">
        <v>865.55814128453881</v>
      </c>
    </row>
    <row r="8" spans="1:22" x14ac:dyDescent="0.2">
      <c r="A8" t="str" cm="1">
        <f t="array" ref="A8">IFERROR(INDEX('School Tables'!$A$4:$G$365,'School Tables'!$J6,3),"")</f>
        <v>Charlestown Middle School</v>
      </c>
      <c r="B8" s="229">
        <f>IFERROR(VLOOKUP(A8,'School Tables'!$C$3:$D$365,2,FALSE),"")</f>
        <v>22975</v>
      </c>
      <c r="C8" s="222" t="str">
        <f>IFERROR(INDEX('School Tables'!$B$3:$B$365,MATCH('School Level Expenditures'!B8,'School Tables'!$D$3:$D$365,0)),"")</f>
        <v>Fall Mountain Regional</v>
      </c>
      <c r="D8" s="219">
        <v>3655126.2449548733</v>
      </c>
      <c r="E8" s="219">
        <v>506092.14841199497</v>
      </c>
      <c r="F8" s="231">
        <f t="shared" si="2"/>
        <v>4161218.3933668681</v>
      </c>
      <c r="G8" s="222"/>
      <c r="H8" s="222"/>
      <c r="J8" t="str">
        <f t="shared" si="3"/>
        <v>Charlestown Middle School</v>
      </c>
      <c r="K8" s="20">
        <v>2594339.0849349089</v>
      </c>
      <c r="L8" s="20">
        <v>321454.21787699696</v>
      </c>
      <c r="M8" s="307">
        <v>226374.6057115359</v>
      </c>
      <c r="N8" s="20">
        <v>275954.26999999996</v>
      </c>
      <c r="O8" s="20">
        <v>1269676.6113216639</v>
      </c>
      <c r="P8" s="20">
        <v>269216.28265584284</v>
      </c>
      <c r="Q8" s="319">
        <v>2271.3623811707735</v>
      </c>
    </row>
    <row r="9" spans="1:22" x14ac:dyDescent="0.2">
      <c r="A9" t="str" cm="1">
        <f t="array" ref="A9">IFERROR(INDEX('School Tables'!$A$4:$G$365,'School Tables'!$J7,3),"")</f>
        <v>Charlestown Primary School</v>
      </c>
      <c r="B9" s="229">
        <f>IFERROR(VLOOKUP(A9,'School Tables'!$C$3:$D$365,2,FALSE),"")</f>
        <v>22985</v>
      </c>
      <c r="C9" s="222" t="str">
        <f>IFERROR(INDEX('School Tables'!$B$3:$B$365,MATCH('School Level Expenditures'!B9,'School Tables'!$D$3:$D$365,0)),"")</f>
        <v>Fall Mountain Regional</v>
      </c>
      <c r="D9" s="219">
        <v>4932635.5995460758</v>
      </c>
      <c r="E9" s="219">
        <v>683902.14445503347</v>
      </c>
      <c r="F9" s="231">
        <f t="shared" si="2"/>
        <v>5616537.7440011092</v>
      </c>
      <c r="G9" s="222"/>
      <c r="H9" s="222"/>
      <c r="J9" t="str">
        <f t="shared" si="3"/>
        <v>Charlestown Primary School</v>
      </c>
      <c r="K9" s="20">
        <v>3499152.3577601733</v>
      </c>
      <c r="L9" s="20">
        <v>433373.48388201074</v>
      </c>
      <c r="M9" s="307">
        <v>248027.87840271846</v>
      </c>
      <c r="N9" s="20">
        <v>239670.11000000002</v>
      </c>
      <c r="O9" s="20">
        <v>1597483.549427588</v>
      </c>
      <c r="P9" s="20">
        <v>458086.59160532651</v>
      </c>
      <c r="Q9" s="319">
        <v>3640.4035717561592</v>
      </c>
    </row>
    <row r="10" spans="1:22" x14ac:dyDescent="0.2">
      <c r="A10" t="str" cm="1">
        <f t="array" ref="A10">IFERROR(INDEX('School Tables'!$A$4:$G$365,'School Tables'!$J8,3),"")</f>
        <v>Fall Mountain Regional -Pre School Program</v>
      </c>
      <c r="B10" s="229">
        <f>IFERROR(VLOOKUP(A10,'School Tables'!$C$3:$D$365,2,FALSE),"")</f>
        <v>27395</v>
      </c>
      <c r="C10" s="222" t="str">
        <f>IFERROR(INDEX('School Tables'!$B$3:$B$365,MATCH('School Level Expenditures'!B10,'School Tables'!$D$3:$D$365,0)),"")</f>
        <v>Fall Mountain Regional</v>
      </c>
      <c r="D10" s="219">
        <v>0</v>
      </c>
      <c r="E10" s="219">
        <v>0</v>
      </c>
      <c r="F10" s="231">
        <f t="shared" si="2"/>
        <v>0</v>
      </c>
      <c r="G10" s="222"/>
      <c r="H10" s="222"/>
      <c r="J10" t="str">
        <f t="shared" si="3"/>
        <v>Fall Mountain Regional -Pre School Program</v>
      </c>
      <c r="K10" s="20">
        <v>0</v>
      </c>
      <c r="L10" s="20">
        <v>0</v>
      </c>
      <c r="M10" s="20">
        <v>0</v>
      </c>
      <c r="N10" s="20"/>
      <c r="O10" s="20">
        <v>0</v>
      </c>
      <c r="P10" s="20">
        <v>0</v>
      </c>
      <c r="Q10" s="319">
        <v>0</v>
      </c>
    </row>
    <row r="11" spans="1:22" x14ac:dyDescent="0.2">
      <c r="A11" t="str" cm="1">
        <f t="array" ref="A11">IFERROR(INDEX('School Tables'!$A$4:$G$365,'School Tables'!$J9,3),"")</f>
        <v>N. Charlestown Community School</v>
      </c>
      <c r="B11" s="229">
        <f>IFERROR(VLOOKUP(A11,'School Tables'!$C$3:$D$365,2,FALSE),"")</f>
        <v>22980</v>
      </c>
      <c r="C11" s="222" t="str">
        <f>IFERROR(INDEX('School Tables'!$B$3:$B$365,MATCH('School Level Expenditures'!B11,'School Tables'!$D$3:$D$365,0)),"")</f>
        <v>Fall Mountain Regional</v>
      </c>
      <c r="D11" s="219">
        <v>482931.20196513139</v>
      </c>
      <c r="E11" s="219">
        <v>68811.666555971096</v>
      </c>
      <c r="F11" s="231">
        <f t="shared" si="2"/>
        <v>551742.86852110247</v>
      </c>
      <c r="G11" s="222"/>
      <c r="H11" s="222"/>
      <c r="J11" t="str">
        <f t="shared" si="3"/>
        <v>N. Charlestown Community School</v>
      </c>
      <c r="K11" s="20">
        <v>338699.49915924901</v>
      </c>
      <c r="L11" s="20">
        <v>65286.453640878477</v>
      </c>
      <c r="M11" s="20">
        <v>66025.777598250832</v>
      </c>
      <c r="N11" s="20">
        <v>63473.17</v>
      </c>
      <c r="O11" s="20">
        <v>57666.873629861198</v>
      </c>
      <c r="P11" s="20">
        <v>34808.002809971185</v>
      </c>
      <c r="Q11" s="319">
        <v>908.50636214277313</v>
      </c>
    </row>
    <row r="12" spans="1:22" x14ac:dyDescent="0.2">
      <c r="A12" t="str" cm="1">
        <f t="array" ref="A12">IFERROR(INDEX('School Tables'!$A$4:$G$365,'School Tables'!$J10,3),"")</f>
        <v>North Walpole School</v>
      </c>
      <c r="B12" s="229">
        <f>IFERROR(VLOOKUP(A12,'School Tables'!$C$3:$D$365,2,FALSE),"")</f>
        <v>23005</v>
      </c>
      <c r="C12" s="222" t="str">
        <f>IFERROR(INDEX('School Tables'!$B$3:$B$365,MATCH('School Level Expenditures'!B12,'School Tables'!$D$3:$D$365,0)),"")</f>
        <v>Fall Mountain Regional</v>
      </c>
      <c r="D12" s="219">
        <v>1687225.4846868494</v>
      </c>
      <c r="E12" s="219">
        <v>234008.82192306087</v>
      </c>
      <c r="F12" s="231">
        <f t="shared" si="2"/>
        <v>1921234.3066099102</v>
      </c>
      <c r="G12" s="222"/>
      <c r="H12" s="222"/>
      <c r="J12" t="str">
        <f t="shared" si="3"/>
        <v>North Walpole School</v>
      </c>
      <c r="K12" s="20">
        <v>1196734.6631906391</v>
      </c>
      <c r="L12" s="20">
        <v>260654.46901281079</v>
      </c>
      <c r="M12" s="20">
        <v>110206.17225237629</v>
      </c>
      <c r="N12" s="20">
        <v>86112.890000000014</v>
      </c>
      <c r="O12" s="20">
        <v>646841.90197020082</v>
      </c>
      <c r="P12" s="20">
        <v>76819.402374946556</v>
      </c>
      <c r="Q12" s="319">
        <v>1634.036607693087</v>
      </c>
    </row>
    <row r="13" spans="1:22" x14ac:dyDescent="0.2">
      <c r="A13" t="str" cm="1">
        <f t="array" ref="A13">IFERROR(INDEX('School Tables'!$A$4:$G$365,'School Tables'!$J11,3),"")</f>
        <v>Sarah Porter School</v>
      </c>
      <c r="B13" s="229">
        <f>IFERROR(VLOOKUP(A13,'School Tables'!$C$3:$D$365,2,FALSE),"")</f>
        <v>22995</v>
      </c>
      <c r="C13" s="222" t="str">
        <f>IFERROR(INDEX('School Tables'!$B$3:$B$365,MATCH('School Level Expenditures'!B13,'School Tables'!$D$3:$D$365,0)),"")</f>
        <v>Fall Mountain Regional</v>
      </c>
      <c r="D13" s="219">
        <v>620747.7031618061</v>
      </c>
      <c r="E13" s="219">
        <v>86992.877368520873</v>
      </c>
      <c r="F13" s="231">
        <f t="shared" si="2"/>
        <v>707740.58053032693</v>
      </c>
      <c r="G13" s="222"/>
      <c r="H13" s="222"/>
      <c r="J13" t="str">
        <f t="shared" si="3"/>
        <v>Sarah Porter School</v>
      </c>
      <c r="K13" s="20">
        <v>438407.53523927374</v>
      </c>
      <c r="L13" s="20">
        <v>74262.460524328795</v>
      </c>
      <c r="M13" s="20">
        <v>39150.740431233113</v>
      </c>
      <c r="N13" s="20">
        <v>33086.660000000003</v>
      </c>
      <c r="O13" s="20">
        <v>220292.9435876979</v>
      </c>
      <c r="P13" s="20">
        <v>26138.189532507877</v>
      </c>
      <c r="Q13" s="319">
        <v>2104.2348415083452</v>
      </c>
    </row>
    <row r="14" spans="1:22" x14ac:dyDescent="0.2">
      <c r="A14" t="str" cm="1">
        <f t="array" ref="A14">IFERROR(INDEX('School Tables'!$A$4:$G$365,'School Tables'!$J12,3),"")</f>
        <v>Vilas Elementary School</v>
      </c>
      <c r="B14" s="229">
        <f>IFERROR(VLOOKUP(A14,'School Tables'!$C$3:$D$365,2,FALSE),"")</f>
        <v>22970</v>
      </c>
      <c r="C14" s="222" t="str">
        <f>IFERROR(INDEX('School Tables'!$B$3:$B$365,MATCH('School Level Expenditures'!B14,'School Tables'!$D$3:$D$365,0)),"")</f>
        <v>Fall Mountain Regional</v>
      </c>
      <c r="D14" s="219">
        <v>2498766.4016349637</v>
      </c>
      <c r="E14" s="219">
        <v>344498.66894682834</v>
      </c>
      <c r="F14" s="231">
        <f t="shared" si="2"/>
        <v>2843265.0705817919</v>
      </c>
      <c r="G14" s="222"/>
      <c r="H14" s="222"/>
      <c r="J14" t="str">
        <f t="shared" si="3"/>
        <v>Vilas Elementary School</v>
      </c>
      <c r="K14" s="20">
        <v>1776684.9273235505</v>
      </c>
      <c r="L14" s="20">
        <v>215305.94249926161</v>
      </c>
      <c r="M14" s="20">
        <v>151244.5755626251</v>
      </c>
      <c r="N14" s="20">
        <v>183620.52999999997</v>
      </c>
      <c r="O14" s="20">
        <v>882213.15904392838</v>
      </c>
      <c r="P14" s="20">
        <v>174251.17419852043</v>
      </c>
      <c r="Q14" s="319">
        <v>3694.0899890989735</v>
      </c>
    </row>
    <row r="15" spans="1:22" x14ac:dyDescent="0.2">
      <c r="A15" t="str" cm="1">
        <f t="array" ref="A15">IFERROR(INDEX('School Tables'!$A$4:$G$365,'School Tables'!$J13,3),"")</f>
        <v>Walpole Elementary School</v>
      </c>
      <c r="B15" s="229">
        <f>IFERROR(VLOOKUP(A15,'School Tables'!$C$3:$D$365,2,FALSE),"")</f>
        <v>23015</v>
      </c>
      <c r="C15" s="222" t="str">
        <f>IFERROR(INDEX('School Tables'!$B$3:$B$365,MATCH('School Level Expenditures'!B15,'School Tables'!$D$3:$D$365,0)),"")</f>
        <v>Fall Mountain Regional</v>
      </c>
      <c r="D15" s="219">
        <v>3051185.1023093201</v>
      </c>
      <c r="E15" s="219">
        <v>423013.46005573636</v>
      </c>
      <c r="F15" s="231">
        <f t="shared" si="2"/>
        <v>3474198.5623650565</v>
      </c>
      <c r="G15" s="222"/>
      <c r="H15" s="222"/>
      <c r="J15" t="str">
        <f t="shared" si="3"/>
        <v>Walpole Elementary School</v>
      </c>
      <c r="K15" s="20">
        <v>2164533.8306965316</v>
      </c>
      <c r="L15" s="20">
        <v>334307.06655646046</v>
      </c>
      <c r="M15" s="20">
        <v>243861.59189921085</v>
      </c>
      <c r="N15" s="20">
        <v>165606.22999999998</v>
      </c>
      <c r="O15" s="20">
        <v>1061239.8371752668</v>
      </c>
      <c r="P15" s="20">
        <v>134002.98581595378</v>
      </c>
      <c r="Q15" s="319">
        <v>15259.427701314689</v>
      </c>
    </row>
    <row r="16" spans="1:22" x14ac:dyDescent="0.2">
      <c r="A16" t="str" cm="1">
        <f t="array" ref="A16">IFERROR(INDEX('School Tables'!$A$4:$G$365,'School Tables'!$J14,3),"")</f>
        <v>Walpole Primary School</v>
      </c>
      <c r="B16" s="229">
        <f>IFERROR(VLOOKUP(A16,'School Tables'!$C$3:$D$365,2,FALSE),"")</f>
        <v>23010</v>
      </c>
      <c r="C16" s="222" t="str">
        <f>IFERROR(INDEX('School Tables'!$B$3:$B$365,MATCH('School Level Expenditures'!B16,'School Tables'!$D$3:$D$365,0)),"")</f>
        <v>Fall Mountain Regional</v>
      </c>
      <c r="D16" s="219">
        <v>1762798.2084620676</v>
      </c>
      <c r="E16" s="219">
        <v>243951.60072197689</v>
      </c>
      <c r="F16" s="231">
        <f t="shared" si="2"/>
        <v>2006749.8091840446</v>
      </c>
      <c r="G16" s="222"/>
      <c r="H16" s="222"/>
      <c r="J16" t="str">
        <f t="shared" si="3"/>
        <v>Walpole Primary School</v>
      </c>
      <c r="K16" s="20">
        <v>1251466.9686390692</v>
      </c>
      <c r="L16" s="20">
        <v>116376.18140417406</v>
      </c>
      <c r="M16" s="20">
        <v>96766.395148427968</v>
      </c>
      <c r="N16" s="20">
        <v>78017.240000000005</v>
      </c>
      <c r="O16" s="20">
        <v>633613.12872797367</v>
      </c>
      <c r="P16" s="20">
        <v>144221.77503101798</v>
      </c>
      <c r="Q16" s="319">
        <v>1434.7638506573451</v>
      </c>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21583373.405852668</v>
      </c>
      <c r="E21" s="261">
        <f>SUM(E5:E20)</f>
        <v>2952162.9763999996</v>
      </c>
      <c r="F21" s="216"/>
      <c r="G21" s="216"/>
      <c r="H21" s="216"/>
      <c r="K21" s="262">
        <f t="shared" ref="K21:Q21" si="4">SUM(K5:K20)</f>
        <v>15395534.709919997</v>
      </c>
      <c r="L21" s="262">
        <f t="shared" si="4"/>
        <v>2084755.6091933327</v>
      </c>
      <c r="M21" s="262">
        <f t="shared" si="4"/>
        <v>1309304.4635146668</v>
      </c>
      <c r="N21" s="262">
        <f t="shared" si="4"/>
        <v>1292186.46</v>
      </c>
      <c r="O21" s="262">
        <f t="shared" si="4"/>
        <v>7263627.3699999964</v>
      </c>
      <c r="P21" s="262">
        <f t="shared" si="4"/>
        <v>1496833.82</v>
      </c>
      <c r="Q21" s="262">
        <f t="shared" si="4"/>
        <v>33920.922407999999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1798</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7124096.5100799995</v>
      </c>
      <c r="L36" s="19">
        <f>'DOE25'!L239+'DOE25'!L320</f>
        <v>1097797.2508066664</v>
      </c>
      <c r="M36" s="19">
        <f>'DOE25'!L240+'DOE25'!L321</f>
        <v>672812.50648533343</v>
      </c>
      <c r="N36" s="19">
        <f>'DOE25'!L242+'DOE25'!L323</f>
        <v>554937.41999999993</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11635386.914414</v>
      </c>
      <c r="G38" s="228">
        <f>'DOE25'!L248+'DOE25'!L329</f>
        <v>11635386.914414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1312962.55</v>
      </c>
      <c r="E39" s="219"/>
      <c r="F39" s="231">
        <f t="shared" ref="F39:F44" si="10">D39+E39</f>
        <v>1312962.55</v>
      </c>
      <c r="G39" s="222"/>
      <c r="H39" s="222"/>
      <c r="J39" s="71" t="s">
        <v>1798</v>
      </c>
      <c r="K39" s="315">
        <v>1312962.55</v>
      </c>
      <c r="L39" s="315"/>
      <c r="M39" s="315"/>
      <c r="N39" s="315"/>
      <c r="O39" s="315"/>
      <c r="P39" s="315"/>
      <c r="Q39" s="315"/>
    </row>
    <row r="40" spans="1:17" x14ac:dyDescent="0.2">
      <c r="A40" t="str" cm="1">
        <f t="array" ref="A40">IFERROR(INDEX('School Tables'!$W$4:$AC$120,'School Tables'!$AF4,3),"")</f>
        <v>Fall Mountain Regional High School</v>
      </c>
      <c r="B40" s="229">
        <f>IFERROR(VLOOKUP(A40,'School Tables'!$Y$4:$Z$120,2,FALSE),"")</f>
        <v>22990</v>
      </c>
      <c r="C40" s="222" t="str">
        <f>IFERROR(INDEX('School Tables'!$X$4:$X$120,MATCH('School Level Expenditures'!A40,'School Tables'!$Y$4:$Y$120,0)),"")</f>
        <v>Fall Mountain Regional</v>
      </c>
      <c r="D40" s="219">
        <v>9631086.5108139999</v>
      </c>
      <c r="E40" s="219">
        <v>691337.85359999991</v>
      </c>
      <c r="F40" s="231">
        <f t="shared" si="10"/>
        <v>10322424.364413999</v>
      </c>
      <c r="G40" s="222"/>
      <c r="H40" s="222"/>
      <c r="J40" t="str">
        <f>A40</f>
        <v>Fall Mountain Regional High School</v>
      </c>
      <c r="K40" s="20">
        <v>5811133.9600799996</v>
      </c>
      <c r="L40" s="20">
        <v>1097797.2508066664</v>
      </c>
      <c r="M40" s="307">
        <v>672812.50648533343</v>
      </c>
      <c r="N40" s="20">
        <v>554937.42000000004</v>
      </c>
      <c r="O40" s="20">
        <v>3270089.96</v>
      </c>
      <c r="P40" s="20">
        <v>474598.9</v>
      </c>
      <c r="Q40" s="319">
        <v>31460.187592000002</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10944049.060814001</v>
      </c>
      <c r="E45" s="262">
        <f>SUM(E39:E44)</f>
        <v>691337.85359999991</v>
      </c>
      <c r="K45" s="262">
        <f t="shared" ref="K45:Q45" si="11">SUM(K39:K44)</f>
        <v>7124096.5100799995</v>
      </c>
      <c r="L45" s="262">
        <f t="shared" si="11"/>
        <v>1097797.2508066664</v>
      </c>
      <c r="M45" s="262">
        <f t="shared" si="11"/>
        <v>672812.50648533343</v>
      </c>
      <c r="N45" s="262">
        <f t="shared" si="11"/>
        <v>554937.42000000004</v>
      </c>
      <c r="O45" s="262">
        <f t="shared" si="11"/>
        <v>3270089.96</v>
      </c>
      <c r="P45" s="262">
        <f t="shared" si="11"/>
        <v>474598.9</v>
      </c>
      <c r="Q45" s="262">
        <f t="shared" si="11"/>
        <v>31460.187592000002</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0"/>
      <c r="B60" s="330"/>
      <c r="C60" s="330"/>
      <c r="D60" s="330"/>
      <c r="E60" s="330"/>
      <c r="F60" s="330"/>
      <c r="G60" s="330"/>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8" sqref="C8"/>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Fall Mountain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936637.90852500545</v>
      </c>
      <c r="D8" s="73">
        <f>'DOE25'!G9</f>
        <v>0</v>
      </c>
      <c r="E8" s="73">
        <f>'DOE25'!H9</f>
        <v>111405.16</v>
      </c>
      <c r="F8" s="73">
        <f>'DOE25'!I9</f>
        <v>0</v>
      </c>
      <c r="G8" s="73">
        <f>'DOE25'!J9</f>
        <v>0</v>
      </c>
      <c r="H8" s="13">
        <f>SUM(C8:G8)</f>
        <v>1048043.0685250055</v>
      </c>
      <c r="I8" s="90"/>
    </row>
    <row r="9" spans="1:9" x14ac:dyDescent="0.2">
      <c r="A9" s="1" t="s">
        <v>140</v>
      </c>
      <c r="B9" s="6">
        <v>110</v>
      </c>
      <c r="C9" s="73">
        <f>'DOE25'!F10</f>
        <v>0</v>
      </c>
      <c r="D9" s="73">
        <f>'DOE25'!G10</f>
        <v>0</v>
      </c>
      <c r="E9" s="73">
        <f>'DOE25'!H10</f>
        <v>105887.51</v>
      </c>
      <c r="F9" s="73">
        <f>'DOE25'!I10</f>
        <v>0</v>
      </c>
      <c r="G9" s="73">
        <f>'DOE25'!J10</f>
        <v>0</v>
      </c>
      <c r="H9" s="13">
        <f t="shared" ref="H9:H18" si="0">SUM(C9:G9)</f>
        <v>105887.51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3197456.94</v>
      </c>
      <c r="D11" s="73">
        <f>'DOE25'!G12</f>
        <v>0</v>
      </c>
      <c r="E11" s="73">
        <f>'DOE25'!H12</f>
        <v>0</v>
      </c>
      <c r="F11" s="73">
        <f>'DOE25'!I12</f>
        <v>0</v>
      </c>
      <c r="G11" s="73">
        <f>'DOE25'!J12</f>
        <v>0</v>
      </c>
      <c r="H11" s="13">
        <f t="shared" si="0"/>
        <v>3197456.94</v>
      </c>
      <c r="I11" s="90"/>
    </row>
    <row r="12" spans="1:9" x14ac:dyDescent="0.2">
      <c r="A12" s="1" t="s">
        <v>143</v>
      </c>
      <c r="B12" s="6">
        <v>140</v>
      </c>
      <c r="C12" s="73">
        <f>'DOE25'!F13</f>
        <v>25471.89</v>
      </c>
      <c r="D12" s="73">
        <f>'DOE25'!G13</f>
        <v>264055.18</v>
      </c>
      <c r="E12" s="73">
        <f>'DOE25'!H13</f>
        <v>3238266.96</v>
      </c>
      <c r="F12" s="73">
        <f>'DOE25'!I13</f>
        <v>0</v>
      </c>
      <c r="G12" s="73">
        <f>'DOE25'!J13</f>
        <v>3417415.94</v>
      </c>
      <c r="H12" s="13">
        <f t="shared" si="0"/>
        <v>6945209.9699999997</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23537</v>
      </c>
      <c r="E15" s="73">
        <f>'DOE25'!H16</f>
        <v>0</v>
      </c>
      <c r="F15" s="73">
        <f>'DOE25'!I16</f>
        <v>0</v>
      </c>
      <c r="G15" s="23" t="s">
        <v>288</v>
      </c>
      <c r="H15" s="13">
        <f t="shared" si="0"/>
        <v>23537</v>
      </c>
      <c r="I15" s="90"/>
    </row>
    <row r="16" spans="1:9" x14ac:dyDescent="0.2">
      <c r="A16" s="1" t="s">
        <v>147</v>
      </c>
      <c r="B16" s="6">
        <v>180</v>
      </c>
      <c r="C16" s="73">
        <f>'DOE25'!F17</f>
        <v>7200</v>
      </c>
      <c r="D16" s="73">
        <f>'DOE25'!G17</f>
        <v>0</v>
      </c>
      <c r="E16" s="73">
        <f>'DOE25'!H17</f>
        <v>0</v>
      </c>
      <c r="F16" s="73">
        <f>'DOE25'!I17</f>
        <v>0</v>
      </c>
      <c r="G16" s="73">
        <f>'DOE25'!J17</f>
        <v>0</v>
      </c>
      <c r="H16" s="13">
        <f t="shared" si="0"/>
        <v>7200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4166766.7385250055</v>
      </c>
      <c r="D18" s="38">
        <f>SUM(D8:D17)</f>
        <v>287592.18</v>
      </c>
      <c r="E18" s="38">
        <f>SUM(E8:E17)</f>
        <v>3455559.63</v>
      </c>
      <c r="F18" s="38">
        <f>SUM(F8:F17)</f>
        <v>0</v>
      </c>
      <c r="G18" s="38">
        <f>SUM(G8:G17)</f>
        <v>3417415.94</v>
      </c>
      <c r="H18" s="38">
        <f t="shared" si="0"/>
        <v>11327334.488525005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3197456.94</v>
      </c>
      <c r="F21" s="73">
        <f>'DOE25'!I22</f>
        <v>0</v>
      </c>
      <c r="G21" s="73">
        <f>'DOE25'!J22</f>
        <v>0</v>
      </c>
      <c r="H21" s="13">
        <f t="shared" ref="H21:H31" si="1">SUM(C21:G21)</f>
        <v>3197456.94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271557.03999999998</v>
      </c>
      <c r="D23" s="73">
        <f>'DOE25'!G24</f>
        <v>57873.37</v>
      </c>
      <c r="E23" s="73">
        <f>'DOE25'!H24</f>
        <v>0</v>
      </c>
      <c r="F23" s="73">
        <f>'DOE25'!I24</f>
        <v>0</v>
      </c>
      <c r="G23" s="73">
        <f>'DOE25'!J24</f>
        <v>0</v>
      </c>
      <c r="H23" s="13">
        <f t="shared" si="1"/>
        <v>329430.40999999997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1993354.42</v>
      </c>
      <c r="D27" s="73">
        <f>'DOE25'!G28</f>
        <v>0</v>
      </c>
      <c r="E27" s="73">
        <f>'DOE25'!H28</f>
        <v>0</v>
      </c>
      <c r="F27" s="73">
        <f>'DOE25'!I28</f>
        <v>0</v>
      </c>
      <c r="G27" s="23" t="s">
        <v>288</v>
      </c>
      <c r="H27" s="13">
        <f t="shared" si="1"/>
        <v>1993354.42</v>
      </c>
      <c r="I27" s="90"/>
    </row>
    <row r="28" spans="1:9" x14ac:dyDescent="0.2">
      <c r="A28" s="1" t="s">
        <v>157</v>
      </c>
      <c r="B28" s="6">
        <v>470</v>
      </c>
      <c r="C28" s="73">
        <f>'DOE25'!F29</f>
        <v>606128.30000000005</v>
      </c>
      <c r="D28" s="73">
        <f>'DOE25'!G29</f>
        <v>0</v>
      </c>
      <c r="E28" s="73">
        <f>'DOE25'!H29</f>
        <v>0</v>
      </c>
      <c r="F28" s="73">
        <f>'DOE25'!I29</f>
        <v>0</v>
      </c>
      <c r="G28" s="23" t="s">
        <v>288</v>
      </c>
      <c r="H28" s="13">
        <f t="shared" si="1"/>
        <v>606128.30000000005</v>
      </c>
      <c r="I28" s="90"/>
    </row>
    <row r="29" spans="1:9" x14ac:dyDescent="0.2">
      <c r="A29" s="1" t="s">
        <v>158</v>
      </c>
      <c r="B29" s="6">
        <v>480</v>
      </c>
      <c r="C29" s="73">
        <f>'DOE25'!F30</f>
        <v>0</v>
      </c>
      <c r="D29" s="73">
        <f>'DOE25'!G30</f>
        <v>206181.81</v>
      </c>
      <c r="E29" s="73">
        <f>'DOE25'!H30</f>
        <v>0</v>
      </c>
      <c r="F29" s="73">
        <f>'DOE25'!I30</f>
        <v>0</v>
      </c>
      <c r="G29" s="23" t="s">
        <v>288</v>
      </c>
      <c r="H29" s="13">
        <f t="shared" si="1"/>
        <v>206181.81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2871039.76</v>
      </c>
      <c r="D31" s="38">
        <f>SUM(D21:D30)</f>
        <v>264055.18</v>
      </c>
      <c r="E31" s="38">
        <f>SUM(E21:E30)</f>
        <v>3197456.94</v>
      </c>
      <c r="F31" s="38">
        <f>SUM(F21:F30)</f>
        <v>0</v>
      </c>
      <c r="G31" s="38">
        <f>SUM(G21:G30)</f>
        <v>0</v>
      </c>
      <c r="H31" s="38">
        <f t="shared" si="1"/>
        <v>6332551.8799999999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23537</v>
      </c>
      <c r="E34" s="73">
        <f>'DOE25'!H35</f>
        <v>0</v>
      </c>
      <c r="F34" s="73">
        <f>'DOE25'!I35</f>
        <v>0</v>
      </c>
      <c r="G34" s="23" t="s">
        <v>288</v>
      </c>
      <c r="H34" s="13">
        <f t="shared" ref="H34:H51" si="2">SUM(C34:G34)</f>
        <v>23537</v>
      </c>
      <c r="I34" s="90"/>
    </row>
    <row r="35" spans="1:9" x14ac:dyDescent="0.2">
      <c r="A35" s="1" t="s">
        <v>846</v>
      </c>
      <c r="B35" s="6">
        <v>752</v>
      </c>
      <c r="C35" s="73">
        <f>'DOE25'!F36</f>
        <v>7200</v>
      </c>
      <c r="D35" s="73">
        <f>'DOE25'!G36</f>
        <v>0</v>
      </c>
      <c r="E35" s="73">
        <f>'DOE25'!H36</f>
        <v>0</v>
      </c>
      <c r="F35" s="73">
        <f>'DOE25'!I36</f>
        <v>0</v>
      </c>
      <c r="G35" s="23" t="s">
        <v>288</v>
      </c>
      <c r="H35" s="13">
        <f t="shared" si="2"/>
        <v>7200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250000</v>
      </c>
      <c r="D43" s="73">
        <f>'DOE25'!G44</f>
        <v>0</v>
      </c>
      <c r="E43" s="73">
        <f>'DOE25'!H44</f>
        <v>0</v>
      </c>
      <c r="F43" s="73">
        <f>'DOE25'!I44</f>
        <v>0</v>
      </c>
      <c r="G43" s="23" t="s">
        <v>288</v>
      </c>
      <c r="H43" s="13">
        <f t="shared" si="2"/>
        <v>250000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258102.69</v>
      </c>
      <c r="F47" s="73">
        <f>'DOE25'!I48</f>
        <v>0</v>
      </c>
      <c r="G47" s="73">
        <f>'DOE25'!J48</f>
        <v>3417415.94</v>
      </c>
      <c r="H47" s="13">
        <f t="shared" si="2"/>
        <v>3675518.63</v>
      </c>
      <c r="I47" s="90"/>
    </row>
    <row r="48" spans="1:9" x14ac:dyDescent="0.2">
      <c r="A48" s="1" t="s">
        <v>878</v>
      </c>
      <c r="B48" s="6">
        <v>753</v>
      </c>
      <c r="C48" s="73">
        <f>'DOE25'!F49</f>
        <v>303903.61</v>
      </c>
      <c r="D48" s="73">
        <f>'DOE25'!G49</f>
        <v>0</v>
      </c>
      <c r="E48" s="73">
        <f>'DOE25'!H49</f>
        <v>0</v>
      </c>
      <c r="F48" s="73">
        <f>'DOE25'!I49</f>
        <v>0</v>
      </c>
      <c r="G48" s="73">
        <f>'DOE25'!J49</f>
        <v>0</v>
      </c>
      <c r="H48" s="13">
        <f t="shared" si="2"/>
        <v>303903.61</v>
      </c>
      <c r="I48" s="90"/>
    </row>
    <row r="49" spans="1:9" ht="12" thickBot="1" x14ac:dyDescent="0.25">
      <c r="A49" s="28" t="s">
        <v>879</v>
      </c>
      <c r="B49" s="56">
        <v>770</v>
      </c>
      <c r="C49" s="73">
        <f>'DOE25'!F50</f>
        <v>734623.37</v>
      </c>
      <c r="D49" s="23" t="s">
        <v>288</v>
      </c>
      <c r="E49" s="23" t="s">
        <v>288</v>
      </c>
      <c r="F49" s="23" t="s">
        <v>288</v>
      </c>
      <c r="G49" s="23" t="s">
        <v>288</v>
      </c>
      <c r="H49" s="13">
        <f t="shared" si="2"/>
        <v>734623.37</v>
      </c>
      <c r="I49" s="90"/>
    </row>
    <row r="50" spans="1:9" ht="12.75" thickTop="1" thickBot="1" x14ac:dyDescent="0.25">
      <c r="A50" s="35" t="s">
        <v>880</v>
      </c>
      <c r="B50" s="44"/>
      <c r="C50" s="38">
        <f>SUM(C34:C49)</f>
        <v>1295726.98</v>
      </c>
      <c r="D50" s="38">
        <f>SUM(D34:D49)</f>
        <v>23537</v>
      </c>
      <c r="E50" s="38">
        <f>SUM(E34:E49)</f>
        <v>258102.69</v>
      </c>
      <c r="F50" s="38">
        <f>SUM(F34:F49)</f>
        <v>0</v>
      </c>
      <c r="G50" s="38">
        <f>SUM(G34:G49)</f>
        <v>3417415.94</v>
      </c>
      <c r="H50" s="38">
        <f t="shared" si="2"/>
        <v>4994782.6099999994</v>
      </c>
      <c r="I50" s="90"/>
    </row>
    <row r="51" spans="1:9" ht="12" thickTop="1" x14ac:dyDescent="0.2">
      <c r="A51" s="35" t="s">
        <v>881</v>
      </c>
      <c r="B51" s="2"/>
      <c r="C51" s="38">
        <f>C50+C31</f>
        <v>4166766.7399999998</v>
      </c>
      <c r="D51" s="38">
        <f>D50+D31</f>
        <v>287592.18</v>
      </c>
      <c r="E51" s="38">
        <f>E50+E31</f>
        <v>3455559.63</v>
      </c>
      <c r="F51" s="38">
        <f>F50+F31</f>
        <v>0</v>
      </c>
      <c r="G51" s="38">
        <f>G50+G31</f>
        <v>3417415.94</v>
      </c>
      <c r="H51" s="38">
        <f t="shared" si="2"/>
        <v>11327334.49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19385345</v>
      </c>
      <c r="D56" s="73">
        <f>'DOE25'!G60</f>
        <v>0</v>
      </c>
      <c r="E56" s="73">
        <f>'DOE25'!H60</f>
        <v>0</v>
      </c>
      <c r="F56" s="73">
        <f>'DOE25'!I60</f>
        <v>0</v>
      </c>
      <c r="G56" s="73">
        <f>'DOE25'!J60</f>
        <v>0</v>
      </c>
      <c r="H56" s="13">
        <f t="shared" ref="H56:H63" si="3">SUM(C56:G56)</f>
        <v>19385345</v>
      </c>
      <c r="I56"/>
    </row>
    <row r="57" spans="1:9" x14ac:dyDescent="0.2">
      <c r="A57" s="1" t="s">
        <v>164</v>
      </c>
      <c r="B57" s="6" t="s">
        <v>165</v>
      </c>
      <c r="C57" s="73">
        <f>'DOE25'!F79</f>
        <v>737087.10000000009</v>
      </c>
      <c r="D57" s="23" t="s">
        <v>288</v>
      </c>
      <c r="E57" s="73">
        <f>'DOE25'!H79</f>
        <v>0</v>
      </c>
      <c r="F57" s="23" t="s">
        <v>288</v>
      </c>
      <c r="G57" s="23" t="s">
        <v>288</v>
      </c>
      <c r="H57" s="13">
        <f t="shared" si="3"/>
        <v>737087.10000000009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187388.63</v>
      </c>
      <c r="D59" s="73">
        <f>'DOE25'!G96</f>
        <v>0</v>
      </c>
      <c r="E59" s="73">
        <f>'DOE25'!H96</f>
        <v>0</v>
      </c>
      <c r="F59" s="73">
        <f>'DOE25'!I96</f>
        <v>0</v>
      </c>
      <c r="G59" s="73">
        <f>'DOE25'!J96</f>
        <v>23019.07</v>
      </c>
      <c r="H59" s="13">
        <f t="shared" si="3"/>
        <v>210407.7</v>
      </c>
      <c r="I59"/>
    </row>
    <row r="60" spans="1:9" x14ac:dyDescent="0.2">
      <c r="A60" s="1" t="s">
        <v>170</v>
      </c>
      <c r="B60" s="22" t="s">
        <v>171</v>
      </c>
      <c r="C60" s="23" t="s">
        <v>288</v>
      </c>
      <c r="D60" s="73">
        <f>'DOE25'!G97</f>
        <v>295681.39</v>
      </c>
      <c r="E60" s="23" t="s">
        <v>288</v>
      </c>
      <c r="F60" s="23" t="s">
        <v>288</v>
      </c>
      <c r="G60" s="23" t="s">
        <v>288</v>
      </c>
      <c r="H60" s="13">
        <f t="shared" si="3"/>
        <v>295681.39</v>
      </c>
      <c r="I60"/>
    </row>
    <row r="61" spans="1:9" ht="12" thickBot="1" x14ac:dyDescent="0.25">
      <c r="A61" s="1" t="s">
        <v>172</v>
      </c>
      <c r="B61" s="22" t="s">
        <v>173</v>
      </c>
      <c r="C61" s="73">
        <f>SUM('DOE25'!F98:F110)</f>
        <v>82940.239999999991</v>
      </c>
      <c r="D61" s="73">
        <f>SUM('DOE25'!G98:G110)</f>
        <v>0</v>
      </c>
      <c r="E61" s="73">
        <f>SUM('DOE25'!H98:H110)</f>
        <v>35668.32</v>
      </c>
      <c r="F61" s="73">
        <f>SUM('DOE25'!I98:I110)</f>
        <v>0</v>
      </c>
      <c r="G61" s="73">
        <f>SUM('DOE25'!J98:J110)</f>
        <v>0</v>
      </c>
      <c r="H61" s="13">
        <f t="shared" si="3"/>
        <v>118608.56</v>
      </c>
      <c r="I61"/>
    </row>
    <row r="62" spans="1:9" ht="12.75" thickTop="1" thickBot="1" x14ac:dyDescent="0.25">
      <c r="A62" s="28" t="s">
        <v>174</v>
      </c>
      <c r="B62" s="6"/>
      <c r="C62" s="93">
        <f>SUM(C57:C61)</f>
        <v>1007415.9700000001</v>
      </c>
      <c r="D62" s="93">
        <f>SUM(D57:D61)</f>
        <v>295681.39</v>
      </c>
      <c r="E62" s="93">
        <f>SUM(E57:E61)</f>
        <v>35668.32</v>
      </c>
      <c r="F62" s="93">
        <f>SUM(F57:F61)</f>
        <v>0</v>
      </c>
      <c r="G62" s="93">
        <f>SUM(G57:G61)</f>
        <v>23019.07</v>
      </c>
      <c r="H62" s="13">
        <f t="shared" si="3"/>
        <v>1361784.7500000002</v>
      </c>
      <c r="I62"/>
    </row>
    <row r="63" spans="1:9" ht="12" thickTop="1" x14ac:dyDescent="0.2">
      <c r="A63" s="28" t="s">
        <v>175</v>
      </c>
      <c r="B63" s="6"/>
      <c r="C63" s="21">
        <f>C56+C62</f>
        <v>20392760.969999999</v>
      </c>
      <c r="D63" s="21">
        <f>D56+D62</f>
        <v>295681.39</v>
      </c>
      <c r="E63" s="21">
        <f>E56+E62</f>
        <v>35668.32</v>
      </c>
      <c r="F63" s="21">
        <f>F56+F62</f>
        <v>0</v>
      </c>
      <c r="G63" s="21">
        <f>G56+G62</f>
        <v>23019.07</v>
      </c>
      <c r="H63" s="13">
        <f t="shared" si="3"/>
        <v>20747129.75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9330629.2699999996</v>
      </c>
      <c r="D66" s="23" t="s">
        <v>288</v>
      </c>
      <c r="E66" s="23" t="s">
        <v>288</v>
      </c>
      <c r="F66" s="23" t="s">
        <v>288</v>
      </c>
      <c r="G66" s="23" t="s">
        <v>288</v>
      </c>
      <c r="H66" s="13">
        <f t="shared" ref="H66:H81" si="4">SUM(C66:G66)</f>
        <v>9330629.2699999996</v>
      </c>
      <c r="I66"/>
    </row>
    <row r="67" spans="1:9" x14ac:dyDescent="0.2">
      <c r="A67" s="1" t="s">
        <v>767</v>
      </c>
      <c r="B67" s="6">
        <v>3112</v>
      </c>
      <c r="C67" s="73">
        <f>'DOE25'!F118</f>
        <v>1991374</v>
      </c>
      <c r="D67" s="23"/>
      <c r="E67" s="23"/>
      <c r="F67" s="23"/>
      <c r="G67" s="23"/>
      <c r="H67" s="13">
        <f t="shared" si="4"/>
        <v>1991374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10695.64</v>
      </c>
      <c r="D69" s="73">
        <f>'DOE25'!G120</f>
        <v>0</v>
      </c>
      <c r="E69" s="73">
        <f>'DOE25'!H120</f>
        <v>0</v>
      </c>
      <c r="F69" s="73">
        <f>'DOE25'!I120</f>
        <v>0</v>
      </c>
      <c r="G69" s="73">
        <f>'DOE25'!J120</f>
        <v>0</v>
      </c>
      <c r="H69" s="13">
        <f t="shared" si="4"/>
        <v>10695.64</v>
      </c>
      <c r="I69"/>
    </row>
    <row r="70" spans="1:9" ht="12" thickTop="1" x14ac:dyDescent="0.2">
      <c r="A70" s="28" t="s">
        <v>252</v>
      </c>
      <c r="B70" s="2"/>
      <c r="C70" s="97">
        <f>SUM(C66:C69)</f>
        <v>11332698.91</v>
      </c>
      <c r="D70" s="97">
        <f>D69</f>
        <v>0</v>
      </c>
      <c r="E70" s="97">
        <f>E69</f>
        <v>0</v>
      </c>
      <c r="F70" s="97">
        <f>F69</f>
        <v>0</v>
      </c>
      <c r="G70" s="97">
        <f>G69</f>
        <v>0</v>
      </c>
      <c r="H70" s="13">
        <f t="shared" si="4"/>
        <v>11332698.91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57038.49</v>
      </c>
      <c r="D72" s="23" t="s">
        <v>288</v>
      </c>
      <c r="E72" s="23" t="s">
        <v>288</v>
      </c>
      <c r="F72" s="73">
        <f>'DOE25'!I123</f>
        <v>0</v>
      </c>
      <c r="G72" s="23" t="s">
        <v>288</v>
      </c>
      <c r="H72" s="13">
        <f t="shared" si="4"/>
        <v>57038.49</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605155.81999999995</v>
      </c>
      <c r="D75" s="23" t="s">
        <v>288</v>
      </c>
      <c r="E75" s="23" t="s">
        <v>288</v>
      </c>
      <c r="F75" s="23" t="s">
        <v>288</v>
      </c>
      <c r="G75" s="23" t="s">
        <v>288</v>
      </c>
      <c r="H75" s="13">
        <f t="shared" si="4"/>
        <v>605155.81999999995</v>
      </c>
      <c r="I75"/>
    </row>
    <row r="76" spans="1:9" x14ac:dyDescent="0.2">
      <c r="A76" s="1" t="s">
        <v>257</v>
      </c>
      <c r="B76" s="6" t="s">
        <v>179</v>
      </c>
      <c r="C76" s="73">
        <f>SUM('DOE25'!F127:F130)</f>
        <v>140465.84</v>
      </c>
      <c r="D76" s="23" t="s">
        <v>288</v>
      </c>
      <c r="E76" s="73">
        <f>SUM('DOE25'!H127:H130)</f>
        <v>0</v>
      </c>
      <c r="F76" s="73">
        <f>SUM('DOE25'!I127:I130)</f>
        <v>0</v>
      </c>
      <c r="G76" s="23" t="s">
        <v>288</v>
      </c>
      <c r="H76" s="13">
        <f t="shared" si="4"/>
        <v>140465.84</v>
      </c>
      <c r="I76"/>
    </row>
    <row r="77" spans="1:9" ht="12" thickBot="1" x14ac:dyDescent="0.25">
      <c r="A77" s="1" t="s">
        <v>258</v>
      </c>
      <c r="B77" s="6" t="s">
        <v>180</v>
      </c>
      <c r="C77" s="73">
        <f>SUM('DOE25'!F131:F135)</f>
        <v>0</v>
      </c>
      <c r="D77" s="73">
        <f>SUM('DOE25'!G131:G135)</f>
        <v>13053.4</v>
      </c>
      <c r="E77" s="73">
        <f>SUM('DOE25'!H131:H135)</f>
        <v>0</v>
      </c>
      <c r="F77" s="73">
        <f>SUM('DOE25'!I131:I135)</f>
        <v>0</v>
      </c>
      <c r="G77" s="73">
        <f>SUM('DOE25'!J131:J135)</f>
        <v>0</v>
      </c>
      <c r="H77" s="13">
        <f t="shared" si="4"/>
        <v>13053.4</v>
      </c>
      <c r="I77"/>
    </row>
    <row r="78" spans="1:9" ht="12.75" thickTop="1" thickBot="1" x14ac:dyDescent="0.25">
      <c r="A78" s="28" t="s">
        <v>259</v>
      </c>
      <c r="B78" s="6"/>
      <c r="C78" s="93">
        <f>SUM(C72:C77)</f>
        <v>802660.14999999991</v>
      </c>
      <c r="D78" s="93">
        <f>SUM(D72:D77)</f>
        <v>13053.4</v>
      </c>
      <c r="E78" s="93">
        <f>SUM(E72:E77)</f>
        <v>0</v>
      </c>
      <c r="F78" s="93">
        <f>SUM(F72:F77)</f>
        <v>0</v>
      </c>
      <c r="G78" s="93">
        <f>SUM(G72:G77)</f>
        <v>0</v>
      </c>
      <c r="H78" s="13">
        <f t="shared" si="4"/>
        <v>815713.54999999993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12135359.060000001</v>
      </c>
      <c r="D81" s="93">
        <f>SUM(D79:D80)+D78+D70</f>
        <v>13053.4</v>
      </c>
      <c r="E81" s="93">
        <f>SUM(E79:E80)+E78+E70</f>
        <v>0</v>
      </c>
      <c r="F81" s="93">
        <f>SUM(F79:F80)+F78+F70</f>
        <v>0</v>
      </c>
      <c r="G81" s="93">
        <f>SUM(G79:G80)+G78+G70</f>
        <v>0</v>
      </c>
      <c r="H81" s="93">
        <f t="shared" si="4"/>
        <v>12148412.460000001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7194.28</v>
      </c>
      <c r="D87" s="23" t="s">
        <v>288</v>
      </c>
      <c r="E87" s="73">
        <f>SUM('DOE25'!H149:H152)</f>
        <v>0</v>
      </c>
      <c r="F87" s="73">
        <f>SUM('DOE25'!I149:I152)</f>
        <v>0</v>
      </c>
      <c r="G87" s="23" t="s">
        <v>288</v>
      </c>
      <c r="H87" s="13">
        <f t="shared" si="5"/>
        <v>7194.28</v>
      </c>
    </row>
    <row r="88" spans="1:9" x14ac:dyDescent="0.2">
      <c r="A88" s="216" t="s">
        <v>744</v>
      </c>
      <c r="B88" s="230" t="s">
        <v>184</v>
      </c>
      <c r="C88" s="252">
        <f>SUM('DOE25'!F153:F162)</f>
        <v>111183.44</v>
      </c>
      <c r="D88" s="252">
        <f>SUM('DOE25'!G153:G162)</f>
        <v>405055.98000000004</v>
      </c>
      <c r="E88" s="252">
        <f>SUM('DOE25'!H153:H162)</f>
        <v>3650445.0999999996</v>
      </c>
      <c r="F88" s="252">
        <f>SUM('DOE25'!I153:I162)</f>
        <v>0</v>
      </c>
      <c r="G88" s="23" t="s">
        <v>288</v>
      </c>
      <c r="H88" s="13">
        <f t="shared" si="5"/>
        <v>4166684.5199999996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118377.72</v>
      </c>
      <c r="D91" s="94">
        <f>SUM(D85:D90)</f>
        <v>405055.98000000004</v>
      </c>
      <c r="E91" s="94">
        <f>SUM(E85:E90)</f>
        <v>3650445.0999999996</v>
      </c>
      <c r="F91" s="94">
        <f>SUM(F85:F90)</f>
        <v>0</v>
      </c>
      <c r="G91" s="23" t="s">
        <v>288</v>
      </c>
      <c r="H91" s="13">
        <f t="shared" si="5"/>
        <v>4173878.8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310441.34000000003</v>
      </c>
      <c r="E96" s="73">
        <f>'DOE25'!H180</f>
        <v>0</v>
      </c>
      <c r="F96" s="73">
        <f>'DOE25'!I180</f>
        <v>0</v>
      </c>
      <c r="G96" s="73">
        <f>'DOE25'!J180</f>
        <v>250000</v>
      </c>
      <c r="H96" s="13">
        <f t="shared" si="5"/>
        <v>560441.34000000008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52999.99</v>
      </c>
      <c r="D99" s="73">
        <f>'DOE25'!G186</f>
        <v>0</v>
      </c>
      <c r="E99" s="73">
        <f>'DOE25'!H186</f>
        <v>0</v>
      </c>
      <c r="F99" s="73">
        <f>'DOE25'!I186</f>
        <v>0</v>
      </c>
      <c r="G99" s="23" t="s">
        <v>288</v>
      </c>
      <c r="H99" s="13">
        <f t="shared" si="5"/>
        <v>52999.99</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52999.99</v>
      </c>
      <c r="D103" s="68">
        <f>SUM(D93:D102)</f>
        <v>310441.34000000003</v>
      </c>
      <c r="E103" s="68">
        <f>SUM(E93:E102)</f>
        <v>0</v>
      </c>
      <c r="F103" s="68">
        <f>SUM(F93:F102)</f>
        <v>0</v>
      </c>
      <c r="G103" s="68">
        <f>SUM(G93:G102)</f>
        <v>250000</v>
      </c>
      <c r="H103" s="68">
        <f t="shared" si="5"/>
        <v>613441.33000000007</v>
      </c>
    </row>
    <row r="104" spans="1:8" ht="12.75" thickTop="1" thickBot="1" x14ac:dyDescent="0.25">
      <c r="A104" s="32" t="s">
        <v>758</v>
      </c>
      <c r="C104" s="68">
        <f>C63+C81+C91+C103</f>
        <v>32699497.739999998</v>
      </c>
      <c r="D104" s="68">
        <f>D63+D81+D91+D103</f>
        <v>1024232.1100000001</v>
      </c>
      <c r="E104" s="68">
        <f>E63+E81+E91+E103</f>
        <v>3686113.4199999995</v>
      </c>
      <c r="F104" s="68">
        <f>F63+F81+F91+F103</f>
        <v>0</v>
      </c>
      <c r="G104" s="68">
        <f>G63+G81+G103</f>
        <v>273019.07</v>
      </c>
      <c r="H104" s="68">
        <f t="shared" si="5"/>
        <v>37682862.340000004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11099244.26</v>
      </c>
      <c r="D109" s="23" t="s">
        <v>288</v>
      </c>
      <c r="E109" s="73">
        <f>('DOE25'!L277)+('DOE25'!L296)+('DOE25'!L315)</f>
        <v>1976534.73</v>
      </c>
      <c r="F109" s="23" t="s">
        <v>288</v>
      </c>
      <c r="G109" s="23" t="s">
        <v>288</v>
      </c>
      <c r="H109" s="13">
        <f t="shared" ref="H109:H115" si="6">SUM(C109:G109)</f>
        <v>13075778.99</v>
      </c>
    </row>
    <row r="110" spans="1:8" x14ac:dyDescent="0.2">
      <c r="A110" t="s">
        <v>198</v>
      </c>
      <c r="B110" s="31" t="s">
        <v>199</v>
      </c>
      <c r="C110" s="73">
        <f>('DOE25'!L199)+('DOE25'!L217)+('DOE25'!L235)</f>
        <v>7424222.6699999999</v>
      </c>
      <c r="D110" s="23" t="s">
        <v>288</v>
      </c>
      <c r="E110" s="73">
        <f>('DOE25'!L278)+('DOE25'!L297)+('DOE25'!L316)</f>
        <v>471484.05999999994</v>
      </c>
      <c r="F110" s="23" t="s">
        <v>288</v>
      </c>
      <c r="G110" s="23" t="s">
        <v>288</v>
      </c>
      <c r="H110" s="13">
        <f t="shared" si="6"/>
        <v>7895706.7299999995</v>
      </c>
    </row>
    <row r="111" spans="1:8" x14ac:dyDescent="0.2">
      <c r="A111" t="s">
        <v>200</v>
      </c>
      <c r="B111" s="31" t="s">
        <v>165</v>
      </c>
      <c r="C111" s="73">
        <f>('DOE25'!L200)+('DOE25'!L218)+('DOE25'!L236)</f>
        <v>870588.25</v>
      </c>
      <c r="D111" s="23" t="s">
        <v>288</v>
      </c>
      <c r="E111" s="73">
        <f>('DOE25'!L279)+('DOE25'!L298)+('DOE25'!L317)</f>
        <v>69263.89</v>
      </c>
      <c r="F111" s="23" t="s">
        <v>288</v>
      </c>
      <c r="G111" s="23" t="s">
        <v>288</v>
      </c>
      <c r="H111" s="13">
        <f t="shared" si="6"/>
        <v>939852.14</v>
      </c>
    </row>
    <row r="112" spans="1:8" x14ac:dyDescent="0.2">
      <c r="A112" t="s">
        <v>201</v>
      </c>
      <c r="B112" s="31" t="s">
        <v>167</v>
      </c>
      <c r="C112" s="73">
        <f>('DOE25'!L201)+('DOE25'!L219)+('DOE25'!L237)</f>
        <v>519004.65</v>
      </c>
      <c r="D112" s="23" t="s">
        <v>288</v>
      </c>
      <c r="E112" s="73">
        <f>+('DOE25'!L280)+('DOE25'!L299)+('DOE25'!L318)</f>
        <v>89288.71</v>
      </c>
      <c r="F112" s="23" t="s">
        <v>288</v>
      </c>
      <c r="G112" s="23" t="s">
        <v>288</v>
      </c>
      <c r="H112" s="13">
        <f t="shared" si="6"/>
        <v>608293.36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19913059.829999998</v>
      </c>
      <c r="D115" s="68">
        <f>SUM(D109:D114)</f>
        <v>0</v>
      </c>
      <c r="E115" s="68">
        <f>SUM(E109:E114)</f>
        <v>2606571.39</v>
      </c>
      <c r="F115" s="68">
        <f>SUM(F109:F114)</f>
        <v>0</v>
      </c>
      <c r="G115" s="68">
        <f>SUM(G109:G114)</f>
        <v>0</v>
      </c>
      <c r="H115" s="68">
        <f t="shared" si="6"/>
        <v>22519631.219999999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2503154.46</v>
      </c>
      <c r="D118" s="23" t="s">
        <v>288</v>
      </c>
      <c r="E118" s="73">
        <f>+('DOE25'!L282)+('DOE25'!L301)+('DOE25'!L320)</f>
        <v>679398.40000000002</v>
      </c>
      <c r="F118" s="23" t="s">
        <v>288</v>
      </c>
      <c r="G118" s="23" t="s">
        <v>288</v>
      </c>
      <c r="H118" s="13">
        <f t="shared" ref="H118:H145" si="7">SUM(C118:G118)</f>
        <v>3182552.86</v>
      </c>
    </row>
    <row r="119" spans="1:8" x14ac:dyDescent="0.2">
      <c r="A119" t="s">
        <v>208</v>
      </c>
      <c r="B119" s="31" t="s">
        <v>209</v>
      </c>
      <c r="C119" s="73">
        <f>('DOE25'!L204)+('DOE25'!L222)+('DOE25'!L240)</f>
        <v>1791521.75</v>
      </c>
      <c r="D119" s="23" t="s">
        <v>288</v>
      </c>
      <c r="E119" s="73">
        <f>+('DOE25'!L283)+('DOE25'!L302)+('DOE25'!L321)</f>
        <v>190595.22</v>
      </c>
      <c r="F119" s="23" t="s">
        <v>288</v>
      </c>
      <c r="G119" s="23" t="s">
        <v>288</v>
      </c>
      <c r="H119" s="13">
        <f t="shared" si="7"/>
        <v>1982116.97</v>
      </c>
    </row>
    <row r="120" spans="1:8" x14ac:dyDescent="0.2">
      <c r="A120" t="s">
        <v>210</v>
      </c>
      <c r="B120" s="31" t="s">
        <v>211</v>
      </c>
      <c r="C120" s="73">
        <f>('DOE25'!L205)+('DOE25'!L223)+('DOE25'!L241)</f>
        <v>710710.86666666658</v>
      </c>
      <c r="D120" s="23" t="s">
        <v>288</v>
      </c>
      <c r="E120" s="73">
        <f>+('DOE25'!L284)+('DOE25'!L303)+('DOE25'!L322)</f>
        <v>35777.22</v>
      </c>
      <c r="F120" s="23" t="s">
        <v>288</v>
      </c>
      <c r="G120" s="23" t="s">
        <v>288</v>
      </c>
      <c r="H120" s="13">
        <f t="shared" si="7"/>
        <v>746488.08666666655</v>
      </c>
    </row>
    <row r="121" spans="1:8" x14ac:dyDescent="0.2">
      <c r="A121" t="s">
        <v>212</v>
      </c>
      <c r="B121" s="31" t="s">
        <v>213</v>
      </c>
      <c r="C121" s="73">
        <f>('DOE25'!L206)+('DOE25'!L224)+('DOE25'!L242)</f>
        <v>1847123.8800000001</v>
      </c>
      <c r="D121" s="23" t="s">
        <v>288</v>
      </c>
      <c r="E121" s="73">
        <f>+('DOE25'!L285)+('DOE25'!L304)+('DOE25'!L323)</f>
        <v>0</v>
      </c>
      <c r="F121" s="23" t="s">
        <v>288</v>
      </c>
      <c r="G121" s="23" t="s">
        <v>288</v>
      </c>
      <c r="H121" s="13">
        <f t="shared" si="7"/>
        <v>1847123.8800000001</v>
      </c>
    </row>
    <row r="122" spans="1:8" x14ac:dyDescent="0.2">
      <c r="A122" t="s">
        <v>214</v>
      </c>
      <c r="B122" s="31" t="s">
        <v>215</v>
      </c>
      <c r="C122" s="73">
        <f>('DOE25'!L207)+('DOE25'!L225)+('DOE25'!L243)</f>
        <v>471908.61</v>
      </c>
      <c r="D122" s="23" t="s">
        <v>288</v>
      </c>
      <c r="E122" s="73">
        <f>+('DOE25'!L286)+('DOE25'!L305)+('DOE25'!L324)</f>
        <v>5151.9799999999996</v>
      </c>
      <c r="F122" s="23" t="s">
        <v>288</v>
      </c>
      <c r="G122" s="23" t="s">
        <v>288</v>
      </c>
      <c r="H122" s="13">
        <f t="shared" si="7"/>
        <v>477060.58999999997</v>
      </c>
    </row>
    <row r="123" spans="1:8" x14ac:dyDescent="0.2">
      <c r="A123" t="s">
        <v>216</v>
      </c>
      <c r="B123" s="31" t="s">
        <v>217</v>
      </c>
      <c r="C123" s="73">
        <f>('DOE25'!L208)+('DOE25'!L226)+('DOE25'!L244)</f>
        <v>3623373.3200000003</v>
      </c>
      <c r="D123" s="23" t="s">
        <v>288</v>
      </c>
      <c r="E123" s="73">
        <f>+('DOE25'!L287)+('DOE25'!L306)+('DOE25'!L325)</f>
        <v>79715.759999999995</v>
      </c>
      <c r="F123" s="23" t="s">
        <v>288</v>
      </c>
      <c r="G123" s="23" t="s">
        <v>288</v>
      </c>
      <c r="H123" s="13">
        <f t="shared" si="7"/>
        <v>3703089.08</v>
      </c>
    </row>
    <row r="124" spans="1:8" x14ac:dyDescent="0.2">
      <c r="A124" t="s">
        <v>218</v>
      </c>
      <c r="B124" s="31" t="s">
        <v>219</v>
      </c>
      <c r="C124" s="73">
        <f>('DOE25'!L209)+('DOE25'!L227)+('DOE25'!L245+'DOE25'!L255)</f>
        <v>1666569.73</v>
      </c>
      <c r="D124" s="23" t="s">
        <v>288</v>
      </c>
      <c r="E124" s="73">
        <f>+('DOE25'!L288)+('DOE25'!L307)+('DOE25'!L326)</f>
        <v>8590.11</v>
      </c>
      <c r="F124" s="23" t="s">
        <v>288</v>
      </c>
      <c r="G124" s="23" t="s">
        <v>288</v>
      </c>
      <c r="H124" s="13">
        <f t="shared" si="7"/>
        <v>1675159.84</v>
      </c>
    </row>
    <row r="125" spans="1:8" x14ac:dyDescent="0.2">
      <c r="A125" t="s">
        <v>220</v>
      </c>
      <c r="B125" s="31" t="s">
        <v>221</v>
      </c>
      <c r="C125" s="73">
        <f>('DOE25'!L210)+('DOE25'!L228)+('DOE25'!L246)</f>
        <v>0</v>
      </c>
      <c r="D125" s="23" t="s">
        <v>288</v>
      </c>
      <c r="E125" s="73">
        <f>+('DOE25'!L289)+('DOE25'!L308)+('DOE25'!L327)</f>
        <v>37700.769999999997</v>
      </c>
      <c r="F125" s="23" t="s">
        <v>288</v>
      </c>
      <c r="G125" s="23" t="s">
        <v>288</v>
      </c>
      <c r="H125" s="13">
        <f t="shared" si="7"/>
        <v>37700.769999999997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980173.10999999987</v>
      </c>
      <c r="E127" s="23" t="s">
        <v>288</v>
      </c>
      <c r="F127" s="23" t="s">
        <v>288</v>
      </c>
      <c r="G127" s="23" t="s">
        <v>288</v>
      </c>
      <c r="H127" s="13">
        <f t="shared" si="7"/>
        <v>980173.10999999987</v>
      </c>
    </row>
    <row r="128" spans="1:8" ht="12.75" thickTop="1" thickBot="1" x14ac:dyDescent="0.25">
      <c r="A128" s="32" t="s">
        <v>226</v>
      </c>
      <c r="C128" s="68">
        <f>SUM(C118:C127)</f>
        <v>12614362.616666667</v>
      </c>
      <c r="D128" s="68">
        <f>SUM(D118:D127)</f>
        <v>980173.10999999987</v>
      </c>
      <c r="E128" s="68">
        <f>SUM(E118:E127)</f>
        <v>1036929.46</v>
      </c>
      <c r="F128" s="68">
        <f>SUM(F118:F127)</f>
        <v>0</v>
      </c>
      <c r="G128" s="68">
        <f>SUM(G118:G127)</f>
        <v>0</v>
      </c>
      <c r="H128" s="68">
        <f t="shared" si="7"/>
        <v>14631465.186666667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183196.47</v>
      </c>
      <c r="D130" s="23" t="s">
        <v>288</v>
      </c>
      <c r="E130" s="92">
        <f>'DOE25'!L337</f>
        <v>17457.5</v>
      </c>
      <c r="F130" s="92">
        <f>SUM('DOE25'!L375:'DOE25'!L381)</f>
        <v>0</v>
      </c>
      <c r="G130" s="23" t="s">
        <v>288</v>
      </c>
      <c r="H130" s="13">
        <f t="shared" si="7"/>
        <v>200653.97</v>
      </c>
    </row>
    <row r="131" spans="1:8" x14ac:dyDescent="0.2">
      <c r="A131" t="s">
        <v>229</v>
      </c>
      <c r="B131" s="31">
        <v>5110</v>
      </c>
      <c r="C131" s="73">
        <f>'DOE25'!L261</f>
        <v>100000</v>
      </c>
      <c r="D131" s="23" t="s">
        <v>288</v>
      </c>
      <c r="E131" s="92">
        <f>'DOE25'!L342</f>
        <v>0</v>
      </c>
      <c r="F131" s="23" t="s">
        <v>288</v>
      </c>
      <c r="G131" s="23" t="s">
        <v>288</v>
      </c>
      <c r="H131" s="13">
        <f t="shared" si="7"/>
        <v>100000</v>
      </c>
    </row>
    <row r="132" spans="1:8" x14ac:dyDescent="0.2">
      <c r="A132" t="s">
        <v>230</v>
      </c>
      <c r="B132" s="31">
        <v>5120</v>
      </c>
      <c r="C132" s="73">
        <f>'DOE25'!L262</f>
        <v>3002.5</v>
      </c>
      <c r="D132" s="23" t="s">
        <v>288</v>
      </c>
      <c r="E132" s="92">
        <f>'DOE25'!L343</f>
        <v>0</v>
      </c>
      <c r="F132" s="23" t="s">
        <v>288</v>
      </c>
      <c r="G132" s="23" t="s">
        <v>288</v>
      </c>
      <c r="H132" s="13">
        <f t="shared" si="7"/>
        <v>3002.5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1076.6600000000001</v>
      </c>
      <c r="F134" s="73">
        <f>'DOE25'!K382</f>
        <v>0</v>
      </c>
      <c r="G134" s="73">
        <f>'DOE25'!K435</f>
        <v>0</v>
      </c>
      <c r="H134" s="13">
        <f t="shared" si="7"/>
        <v>1076.6600000000001</v>
      </c>
    </row>
    <row r="135" spans="1:8" x14ac:dyDescent="0.2">
      <c r="A135" t="s">
        <v>233</v>
      </c>
      <c r="B135" s="31" t="s">
        <v>234</v>
      </c>
      <c r="C135" s="73">
        <f>'DOE25'!L264</f>
        <v>310441.34000000003</v>
      </c>
      <c r="D135" s="23" t="s">
        <v>288</v>
      </c>
      <c r="E135" s="92">
        <f>'DOE25'!L346</f>
        <v>0</v>
      </c>
      <c r="F135" s="23" t="s">
        <v>288</v>
      </c>
      <c r="G135" s="23" t="s">
        <v>288</v>
      </c>
      <c r="H135" s="13">
        <f t="shared" si="7"/>
        <v>310441.34000000003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273019.07</v>
      </c>
      <c r="D139" s="23" t="s">
        <v>288</v>
      </c>
      <c r="E139" s="23" t="s">
        <v>288</v>
      </c>
      <c r="F139" s="23" t="s">
        <v>288</v>
      </c>
      <c r="G139" s="23" t="s">
        <v>288</v>
      </c>
      <c r="H139" s="13">
        <f t="shared" si="7"/>
        <v>273019.07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-23019.070000000007</v>
      </c>
      <c r="D141" s="23" t="s">
        <v>288</v>
      </c>
      <c r="E141" s="23" t="s">
        <v>288</v>
      </c>
      <c r="F141" s="23" t="s">
        <v>288</v>
      </c>
      <c r="G141" s="23" t="s">
        <v>288</v>
      </c>
      <c r="H141" s="13">
        <f t="shared" si="7"/>
        <v>-23019.070000000007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846640.31</v>
      </c>
      <c r="D144" s="98">
        <f>SUM(D130:D143)</f>
        <v>0</v>
      </c>
      <c r="E144" s="98">
        <f>SUM(E130:E143)</f>
        <v>18534.16</v>
      </c>
      <c r="F144" s="98">
        <f>SUM(F130:F143)</f>
        <v>0</v>
      </c>
      <c r="G144" s="98">
        <f>SUM(G130:G143)</f>
        <v>0</v>
      </c>
      <c r="H144" s="98">
        <f t="shared" si="7"/>
        <v>865174.47000000009</v>
      </c>
    </row>
    <row r="145" spans="1:9" ht="12.75" thickTop="1" thickBot="1" x14ac:dyDescent="0.25">
      <c r="A145" s="32" t="s">
        <v>244</v>
      </c>
      <c r="C145" s="68">
        <f>(C115+C128+C144)</f>
        <v>33374062.756666664</v>
      </c>
      <c r="D145" s="68">
        <f>(D115+D128+D144)</f>
        <v>980173.10999999987</v>
      </c>
      <c r="E145" s="68">
        <f>(E115+E128+E144)</f>
        <v>3662035.0100000002</v>
      </c>
      <c r="F145" s="68">
        <f>(F115+F128+F144)</f>
        <v>0</v>
      </c>
      <c r="G145" s="68">
        <f>(G115+G128+G144)</f>
        <v>0</v>
      </c>
      <c r="H145" s="68">
        <f t="shared" si="7"/>
        <v>38016270.876666665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5</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2000000</v>
      </c>
      <c r="C154" s="19">
        <f>'DOE25'!G494</f>
        <v>44686</v>
      </c>
      <c r="D154" s="19">
        <f>'DOE25'!H494</f>
        <v>0</v>
      </c>
      <c r="E154" s="19">
        <f>'DOE25'!I494</f>
        <v>0</v>
      </c>
      <c r="F154" s="19">
        <f>'DOE25'!J494</f>
        <v>0</v>
      </c>
      <c r="G154" s="23" t="s">
        <v>288</v>
      </c>
    </row>
    <row r="155" spans="1:9" x14ac:dyDescent="0.2">
      <c r="A155" s="21" t="s">
        <v>31</v>
      </c>
      <c r="B155" s="19">
        <f>'DOE25'!F495</f>
        <v>3.99</v>
      </c>
      <c r="C155" s="19">
        <f>'DOE25'!G495</f>
        <v>5.25</v>
      </c>
      <c r="D155" s="19">
        <f>'DOE25'!H495</f>
        <v>0</v>
      </c>
      <c r="E155" s="19">
        <f>'DOE25'!I495</f>
        <v>0</v>
      </c>
      <c r="F155" s="19">
        <f>'DOE25'!J495</f>
        <v>0</v>
      </c>
      <c r="G155" s="23" t="s">
        <v>288</v>
      </c>
    </row>
    <row r="156" spans="1:9" x14ac:dyDescent="0.2">
      <c r="A156" s="21" t="s">
        <v>32</v>
      </c>
      <c r="B156" s="19">
        <f>'DOE25'!F496</f>
        <v>200000</v>
      </c>
      <c r="C156" s="19">
        <f>'DOE25'!G496</f>
        <v>9634</v>
      </c>
      <c r="D156" s="19">
        <f>'DOE25'!H496</f>
        <v>0</v>
      </c>
      <c r="E156" s="19">
        <f>'DOE25'!I496</f>
        <v>0</v>
      </c>
      <c r="F156" s="19">
        <f>'DOE25'!J496</f>
        <v>0</v>
      </c>
      <c r="G156" s="96">
        <f>SUM(B156:F156)</f>
        <v>209634</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100000</v>
      </c>
      <c r="C158" s="19">
        <f>'DOE25'!G498</f>
        <v>9634</v>
      </c>
      <c r="D158" s="19">
        <f>'DOE25'!H498</f>
        <v>0</v>
      </c>
      <c r="E158" s="19">
        <f>'DOE25'!I498</f>
        <v>0</v>
      </c>
      <c r="F158" s="19">
        <f>'DOE25'!J498</f>
        <v>0</v>
      </c>
      <c r="G158" s="96">
        <f t="shared" si="8"/>
        <v>109634</v>
      </c>
    </row>
    <row r="159" spans="1:9" x14ac:dyDescent="0.2">
      <c r="A159" s="21" t="s">
        <v>35</v>
      </c>
      <c r="B159" s="19">
        <f>'DOE25'!F499</f>
        <v>100000</v>
      </c>
      <c r="C159" s="19">
        <f>'DOE25'!G499</f>
        <v>0</v>
      </c>
      <c r="D159" s="19">
        <f>'DOE25'!H499</f>
        <v>0</v>
      </c>
      <c r="E159" s="19">
        <f>'DOE25'!I499</f>
        <v>0</v>
      </c>
      <c r="F159" s="19">
        <f>'DOE25'!J499</f>
        <v>0</v>
      </c>
      <c r="G159" s="96">
        <f t="shared" si="8"/>
        <v>100000</v>
      </c>
    </row>
    <row r="160" spans="1:9" x14ac:dyDescent="0.2">
      <c r="A160" s="21" t="s">
        <v>36</v>
      </c>
      <c r="B160" s="19">
        <f>'DOE25'!F500</f>
        <v>427</v>
      </c>
      <c r="C160" s="19">
        <f>'DOE25'!G500</f>
        <v>0</v>
      </c>
      <c r="D160" s="19">
        <f>'DOE25'!H500</f>
        <v>0</v>
      </c>
      <c r="E160" s="19">
        <f>'DOE25'!I500</f>
        <v>0</v>
      </c>
      <c r="F160" s="19">
        <f>'DOE25'!J500</f>
        <v>0</v>
      </c>
      <c r="G160" s="96">
        <f t="shared" si="8"/>
        <v>427</v>
      </c>
    </row>
    <row r="161" spans="1:7" x14ac:dyDescent="0.2">
      <c r="A161" s="21" t="s">
        <v>37</v>
      </c>
      <c r="B161" s="19">
        <f>'DOE25'!F501</f>
        <v>100427</v>
      </c>
      <c r="C161" s="19">
        <f>'DOE25'!G501</f>
        <v>0</v>
      </c>
      <c r="D161" s="19">
        <f>'DOE25'!H501</f>
        <v>0</v>
      </c>
      <c r="E161" s="19">
        <f>'DOE25'!I501</f>
        <v>0</v>
      </c>
      <c r="F161" s="19">
        <f>'DOE25'!J501</f>
        <v>0</v>
      </c>
      <c r="G161" s="96">
        <f t="shared" si="8"/>
        <v>100427</v>
      </c>
    </row>
    <row r="162" spans="1:7" x14ac:dyDescent="0.2">
      <c r="A162" s="21" t="s">
        <v>38</v>
      </c>
      <c r="B162" s="19">
        <f>'DOE25'!F502</f>
        <v>100000</v>
      </c>
      <c r="C162" s="19">
        <f>'DOE25'!G502</f>
        <v>0</v>
      </c>
      <c r="D162" s="19">
        <f>'DOE25'!H502</f>
        <v>0</v>
      </c>
      <c r="E162" s="19">
        <f>'DOE25'!I502</f>
        <v>0</v>
      </c>
      <c r="F162" s="19">
        <f>'DOE25'!J502</f>
        <v>0</v>
      </c>
      <c r="G162" s="96">
        <f t="shared" si="8"/>
        <v>100000</v>
      </c>
    </row>
    <row r="163" spans="1:7" x14ac:dyDescent="0.2">
      <c r="A163" s="21" t="s">
        <v>39</v>
      </c>
      <c r="B163" s="19">
        <f>'DOE25'!F503</f>
        <v>427</v>
      </c>
      <c r="C163" s="19">
        <f>'DOE25'!G503</f>
        <v>0</v>
      </c>
      <c r="D163" s="19">
        <f>'DOE25'!H503</f>
        <v>0</v>
      </c>
      <c r="E163" s="19">
        <f>'DOE25'!I503</f>
        <v>0</v>
      </c>
      <c r="F163" s="19">
        <f>'DOE25'!J503</f>
        <v>0</v>
      </c>
      <c r="G163" s="96">
        <f t="shared" si="8"/>
        <v>427</v>
      </c>
    </row>
    <row r="164" spans="1:7" x14ac:dyDescent="0.2">
      <c r="A164" s="21" t="s">
        <v>246</v>
      </c>
      <c r="B164" s="19">
        <f>'DOE25'!F504</f>
        <v>100427</v>
      </c>
      <c r="C164" s="19">
        <f>'DOE25'!G504</f>
        <v>0</v>
      </c>
      <c r="D164" s="19">
        <f>'DOE25'!H504</f>
        <v>0</v>
      </c>
      <c r="E164" s="19">
        <f>'DOE25'!I504</f>
        <v>0</v>
      </c>
      <c r="F164" s="19">
        <f>'DOE25'!J504</f>
        <v>0</v>
      </c>
      <c r="G164" s="96">
        <f t="shared" si="8"/>
        <v>100427</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3" t="s">
        <v>736</v>
      </c>
      <c r="B1" s="333"/>
      <c r="C1" s="333"/>
      <c r="D1" s="333"/>
    </row>
    <row r="2" spans="1:4" x14ac:dyDescent="0.2">
      <c r="A2" s="135" t="s">
        <v>713</v>
      </c>
      <c r="B2" s="134" t="str">
        <f>'DOE25'!A2</f>
        <v>Fall Mountain Regional</v>
      </c>
    </row>
    <row r="3" spans="1:4" x14ac:dyDescent="0.2">
      <c r="B3" s="136" t="s">
        <v>1792</v>
      </c>
    </row>
    <row r="4" spans="1:4" x14ac:dyDescent="0.2">
      <c r="B4" t="s">
        <v>61</v>
      </c>
      <c r="C4" s="128">
        <f>IF('DOE25'!F666+'DOE25'!F671=0,0,ROUND('DOE25'!F673,0))</f>
        <v>26299</v>
      </c>
    </row>
    <row r="5" spans="1:4" x14ac:dyDescent="0.2">
      <c r="B5" t="s">
        <v>700</v>
      </c>
      <c r="C5" s="128">
        <f>IF('DOE25'!G666+'DOE25'!G671=0,0,ROUND('DOE25'!G673,0))</f>
        <v>0</v>
      </c>
    </row>
    <row r="6" spans="1:4" x14ac:dyDescent="0.2">
      <c r="B6" t="s">
        <v>62</v>
      </c>
      <c r="C6" s="128">
        <f>IF('DOE25'!H666+'DOE25'!H671=0,0,ROUND('DOE25'!H673,0))</f>
        <v>19951</v>
      </c>
    </row>
    <row r="7" spans="1:4" x14ac:dyDescent="0.2">
      <c r="B7" t="s">
        <v>701</v>
      </c>
      <c r="C7" s="128">
        <f>IF('DOE25'!I666+'DOE25'!I671=0,0,ROUND('DOE25'!I673,0))</f>
        <v>24081</v>
      </c>
    </row>
    <row r="9" spans="1:4" x14ac:dyDescent="0.2">
      <c r="A9" s="135" t="s">
        <v>94</v>
      </c>
      <c r="B9" s="136" t="s">
        <v>1793</v>
      </c>
      <c r="C9" s="130" t="s">
        <v>720</v>
      </c>
      <c r="D9" s="130" t="s">
        <v>721</v>
      </c>
    </row>
    <row r="10" spans="1:4" x14ac:dyDescent="0.2">
      <c r="A10">
        <v>1100</v>
      </c>
      <c r="B10" t="s">
        <v>702</v>
      </c>
      <c r="C10" s="128">
        <f>ROUND('DOE25'!L198+'DOE25'!L216+'DOE25'!L234+'DOE25'!L277+'DOE25'!L296+'DOE25'!L315,0)</f>
        <v>13075779</v>
      </c>
      <c r="D10" s="131">
        <f>ROUND((C10/$C$28)*100,1)</f>
        <v>35.5</v>
      </c>
    </row>
    <row r="11" spans="1:4" x14ac:dyDescent="0.2">
      <c r="A11">
        <v>1200</v>
      </c>
      <c r="B11" t="s">
        <v>703</v>
      </c>
      <c r="C11" s="128">
        <f>ROUND('DOE25'!L199+'DOE25'!L217+'DOE25'!L235+'DOE25'!L278+'DOE25'!L297+'DOE25'!L316,0)</f>
        <v>7895707</v>
      </c>
      <c r="D11" s="131">
        <f>ROUND((C11/$C$28)*100,1)</f>
        <v>21.4</v>
      </c>
    </row>
    <row r="12" spans="1:4" x14ac:dyDescent="0.2">
      <c r="A12">
        <v>1300</v>
      </c>
      <c r="B12" t="s">
        <v>704</v>
      </c>
      <c r="C12" s="128">
        <f>ROUND('DOE25'!L200+'DOE25'!L218+'DOE25'!L236+'DOE25'!L279+'DOE25'!L298+'DOE25'!L317,0)</f>
        <v>939852</v>
      </c>
      <c r="D12" s="131">
        <f>ROUND((C12/$C$28)*100,1)</f>
        <v>2.5</v>
      </c>
    </row>
    <row r="13" spans="1:4" x14ac:dyDescent="0.2">
      <c r="A13">
        <v>1400</v>
      </c>
      <c r="B13" t="s">
        <v>705</v>
      </c>
      <c r="C13" s="128">
        <f>ROUND('DOE25'!L201+'DOE25'!L219+'DOE25'!L237+'DOE25'!L280+'DOE25'!L299+'DOE25'!L318,0)</f>
        <v>608293</v>
      </c>
      <c r="D13" s="131">
        <f>ROUND((C13/$C$28)*100,1)</f>
        <v>1.7</v>
      </c>
    </row>
    <row r="14" spans="1:4" x14ac:dyDescent="0.2">
      <c r="D14" s="131"/>
    </row>
    <row r="15" spans="1:4" x14ac:dyDescent="0.2">
      <c r="A15">
        <v>2100</v>
      </c>
      <c r="B15" t="s">
        <v>706</v>
      </c>
      <c r="C15" s="128">
        <f>ROUND('DOE25'!L203+'DOE25'!L221+'DOE25'!L239+'DOE25'!L282+'DOE25'!L301+'DOE25'!L320,0)</f>
        <v>3182553</v>
      </c>
      <c r="D15" s="131">
        <f t="shared" ref="D15:D27" si="0">ROUND((C15/$C$28)*100,1)</f>
        <v>8.6</v>
      </c>
    </row>
    <row r="16" spans="1:4" x14ac:dyDescent="0.2">
      <c r="A16">
        <v>2200</v>
      </c>
      <c r="B16" t="s">
        <v>707</v>
      </c>
      <c r="C16" s="128">
        <f>ROUND('DOE25'!L204+'DOE25'!L222+'DOE25'!L240+'DOE25'!L283+'DOE25'!L302+'DOE25'!L321,0)</f>
        <v>1982117</v>
      </c>
      <c r="D16" s="131">
        <f t="shared" si="0"/>
        <v>5.4</v>
      </c>
    </row>
    <row r="17" spans="1:4" x14ac:dyDescent="0.2">
      <c r="A17" s="132" t="s">
        <v>723</v>
      </c>
      <c r="B17" t="s">
        <v>738</v>
      </c>
      <c r="C17" s="128">
        <f>ROUND('DOE25'!L205+'DOE25'!L210+'DOE25'!L223+'DOE25'!L228+'DOE25'!L241+'DOE25'!L246+'DOE25'!L284+'DOE25'!L289+'DOE25'!L303+'DOE25'!L308+'DOE25'!L322+'DOE25'!L327,0)</f>
        <v>784189</v>
      </c>
      <c r="D17" s="131">
        <f t="shared" si="0"/>
        <v>2.1</v>
      </c>
    </row>
    <row r="18" spans="1:4" x14ac:dyDescent="0.2">
      <c r="A18">
        <v>2400</v>
      </c>
      <c r="B18" t="s">
        <v>711</v>
      </c>
      <c r="C18" s="128">
        <f>ROUND('DOE25'!L206+'DOE25'!L224+'DOE25'!L242+'DOE25'!L285+'DOE25'!L304+'DOE25'!L323,0)</f>
        <v>1847124</v>
      </c>
      <c r="D18" s="131">
        <f t="shared" si="0"/>
        <v>5</v>
      </c>
    </row>
    <row r="19" spans="1:4" x14ac:dyDescent="0.2">
      <c r="A19">
        <v>2500</v>
      </c>
      <c r="B19" t="s">
        <v>708</v>
      </c>
      <c r="C19" s="128">
        <f>ROUND('DOE25'!L207+'DOE25'!L225+'DOE25'!L243+'DOE25'!L286+'DOE25'!L305+'DOE25'!L324,0)</f>
        <v>477061</v>
      </c>
      <c r="D19" s="131">
        <f t="shared" si="0"/>
        <v>1.3</v>
      </c>
    </row>
    <row r="20" spans="1:4" x14ac:dyDescent="0.2">
      <c r="A20">
        <v>2600</v>
      </c>
      <c r="B20" t="s">
        <v>709</v>
      </c>
      <c r="C20" s="128">
        <f>ROUND('DOE25'!L208+'DOE25'!L226+'DOE25'!L244+'DOE25'!L287+'DOE25'!L306+'DOE25'!L325,0)</f>
        <v>3703089</v>
      </c>
      <c r="D20" s="131">
        <f t="shared" si="0"/>
        <v>10</v>
      </c>
    </row>
    <row r="21" spans="1:4" x14ac:dyDescent="0.2">
      <c r="A21">
        <v>2700</v>
      </c>
      <c r="B21" t="s">
        <v>710</v>
      </c>
      <c r="C21" s="128">
        <f>ROUND('DOE25'!L209+'DOE25'!L227+'DOE25'!L245+'DOE25'!L288+'DOE25'!L307+'DOE25'!L326,0)</f>
        <v>1675160</v>
      </c>
      <c r="D21" s="131">
        <f t="shared" si="0"/>
        <v>4.5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3003</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684491.61</v>
      </c>
      <c r="D27" s="131">
        <f t="shared" si="0"/>
        <v>1.9</v>
      </c>
    </row>
    <row r="28" spans="1:4" x14ac:dyDescent="0.2">
      <c r="B28" s="135" t="s">
        <v>719</v>
      </c>
      <c r="C28" s="129">
        <f>SUM(C10:C27)</f>
        <v>36858418.609999999</v>
      </c>
      <c r="D28" s="133">
        <f>ROUND(SUM(D10:D27),0)</f>
        <v>100</v>
      </c>
    </row>
    <row r="29" spans="1:4" x14ac:dyDescent="0.2">
      <c r="A29">
        <v>4000</v>
      </c>
      <c r="B29" t="s">
        <v>724</v>
      </c>
      <c r="C29" s="128">
        <f>ROUND('DOE25'!L256+'DOE25'!L337+'DOE25'!L375+'DOE25'!L376+'DOE25'!L377+'DOE25'!L378+'DOE25'!L379+'DOE25'!L380+'DOE25'!L381,0)</f>
        <v>200654</v>
      </c>
    </row>
    <row r="30" spans="1:4" x14ac:dyDescent="0.2">
      <c r="B30" s="135" t="s">
        <v>725</v>
      </c>
      <c r="C30" s="129">
        <f>SUM(C28:C29)</f>
        <v>37059072.609999999</v>
      </c>
    </row>
    <row r="31" spans="1:4" x14ac:dyDescent="0.2">
      <c r="B31" s="32"/>
      <c r="C31" s="129"/>
    </row>
    <row r="32" spans="1:4" x14ac:dyDescent="0.2">
      <c r="A32">
        <v>5100</v>
      </c>
      <c r="B32" s="32" t="s">
        <v>726</v>
      </c>
      <c r="C32" s="129">
        <f>ROUND('DOE25'!L261+'DOE25'!L342,0)</f>
        <v>100000</v>
      </c>
    </row>
    <row r="34" spans="1:4" x14ac:dyDescent="0.2">
      <c r="A34" s="135" t="s">
        <v>94</v>
      </c>
      <c r="B34" s="136" t="s">
        <v>1794</v>
      </c>
      <c r="C34" s="130" t="s">
        <v>720</v>
      </c>
      <c r="D34" s="130" t="s">
        <v>721</v>
      </c>
    </row>
    <row r="35" spans="1:4" x14ac:dyDescent="0.2">
      <c r="A35">
        <v>1100</v>
      </c>
      <c r="B35" s="71" t="s">
        <v>727</v>
      </c>
      <c r="C35" s="128">
        <f>ROUND('DOE25'!F60+'DOE25'!G60+'DOE25'!H60+'DOE25'!I60+'DOE25'!J60,0)</f>
        <v>19385345</v>
      </c>
      <c r="D35" s="131">
        <f t="shared" ref="D35:D40" si="1">ROUND((C35/$C$41)*100,1)</f>
        <v>52.7</v>
      </c>
    </row>
    <row r="36" spans="1:4" x14ac:dyDescent="0.2">
      <c r="B36" s="71" t="s">
        <v>739</v>
      </c>
      <c r="C36" s="128">
        <f>SUM('DOE25'!F112:J112)-SUM('DOE25'!G97:G110)+('DOE25'!F175+'DOE25'!F176+'DOE25'!I175+'DOE25'!I176)-C35</f>
        <v>1066103.3600000031</v>
      </c>
      <c r="D36" s="131">
        <f t="shared" si="1"/>
        <v>2.9</v>
      </c>
    </row>
    <row r="37" spans="1:4" x14ac:dyDescent="0.2">
      <c r="A37" s="132" t="s">
        <v>831</v>
      </c>
      <c r="B37" s="71" t="s">
        <v>728</v>
      </c>
      <c r="C37" s="128">
        <f>ROUND('DOE25'!F117+'DOE25'!F118,0)</f>
        <v>11322003</v>
      </c>
      <c r="D37" s="131">
        <f t="shared" si="1"/>
        <v>30.8</v>
      </c>
    </row>
    <row r="38" spans="1:4" x14ac:dyDescent="0.2">
      <c r="A38" s="132" t="s">
        <v>734</v>
      </c>
      <c r="B38" s="71" t="s">
        <v>729</v>
      </c>
      <c r="C38" s="128">
        <f>ROUND(SUM('DOE25'!F140:J140)-SUM('DOE25'!F117:F119),0)</f>
        <v>826409</v>
      </c>
      <c r="D38" s="131">
        <f t="shared" si="1"/>
        <v>2.2000000000000002</v>
      </c>
    </row>
    <row r="39" spans="1:4" x14ac:dyDescent="0.2">
      <c r="A39">
        <v>4000</v>
      </c>
      <c r="B39" s="71" t="s">
        <v>730</v>
      </c>
      <c r="C39" s="128">
        <f>ROUND('DOE25'!F170+'DOE25'!G170+'DOE25'!H170+'DOE25'!I170,0)</f>
        <v>4173879</v>
      </c>
      <c r="D39" s="131">
        <f t="shared" si="1"/>
        <v>11.4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36773739.359999999</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41" t="s">
        <v>763</v>
      </c>
      <c r="B1" s="342"/>
      <c r="C1" s="342"/>
      <c r="D1" s="342"/>
      <c r="E1" s="342"/>
      <c r="F1" s="342"/>
      <c r="G1" s="342"/>
      <c r="H1" s="342"/>
      <c r="I1" s="342"/>
      <c r="J1" s="154"/>
      <c r="K1" s="154"/>
      <c r="L1" s="154"/>
      <c r="M1" s="155"/>
    </row>
    <row r="2" spans="1:13" ht="12.75" x14ac:dyDescent="0.2">
      <c r="A2" s="346" t="s">
        <v>760</v>
      </c>
      <c r="B2" s="347"/>
      <c r="C2" s="347"/>
      <c r="D2" s="347"/>
      <c r="E2" s="347"/>
      <c r="F2" s="344" t="str">
        <f>'DOE25'!A2</f>
        <v>Fall Mountain Regional</v>
      </c>
      <c r="G2" s="345"/>
      <c r="H2" s="345"/>
      <c r="I2" s="345"/>
      <c r="M2" s="156"/>
    </row>
    <row r="3" spans="1:13" x14ac:dyDescent="0.2">
      <c r="A3" s="157" t="s">
        <v>761</v>
      </c>
      <c r="B3" s="130" t="s">
        <v>762</v>
      </c>
      <c r="C3" s="326" t="s">
        <v>764</v>
      </c>
      <c r="D3" s="326"/>
      <c r="E3" s="326"/>
      <c r="F3" s="326"/>
      <c r="G3" s="326"/>
      <c r="H3" s="326"/>
      <c r="I3" s="326"/>
      <c r="J3" s="326"/>
      <c r="K3" s="326"/>
      <c r="L3" s="326"/>
      <c r="M3" s="343"/>
    </row>
    <row r="4" spans="1:13" x14ac:dyDescent="0.2">
      <c r="A4" s="158"/>
      <c r="B4" s="149"/>
      <c r="C4" s="334"/>
      <c r="D4" s="334"/>
      <c r="E4" s="334"/>
      <c r="F4" s="334"/>
      <c r="G4" s="334"/>
      <c r="H4" s="334"/>
      <c r="I4" s="334"/>
      <c r="J4" s="334"/>
      <c r="K4" s="334"/>
      <c r="L4" s="334"/>
      <c r="M4" s="335"/>
    </row>
    <row r="5" spans="1:13" x14ac:dyDescent="0.2">
      <c r="A5" s="158"/>
      <c r="B5" s="149"/>
      <c r="C5" s="334"/>
      <c r="D5" s="334"/>
      <c r="E5" s="334"/>
      <c r="F5" s="334"/>
      <c r="G5" s="334"/>
      <c r="H5" s="334"/>
      <c r="I5" s="334"/>
      <c r="J5" s="334"/>
      <c r="K5" s="334"/>
      <c r="L5" s="334"/>
      <c r="M5" s="335"/>
    </row>
    <row r="6" spans="1:13" x14ac:dyDescent="0.2">
      <c r="A6" s="158"/>
      <c r="B6" s="149"/>
      <c r="C6" s="334"/>
      <c r="D6" s="334"/>
      <c r="E6" s="334"/>
      <c r="F6" s="334"/>
      <c r="G6" s="334"/>
      <c r="H6" s="334"/>
      <c r="I6" s="334"/>
      <c r="J6" s="334"/>
      <c r="K6" s="334"/>
      <c r="L6" s="334"/>
      <c r="M6" s="335"/>
    </row>
    <row r="7" spans="1:13" x14ac:dyDescent="0.2">
      <c r="A7" s="158"/>
      <c r="B7" s="149"/>
      <c r="C7" s="334"/>
      <c r="D7" s="334"/>
      <c r="E7" s="334"/>
      <c r="F7" s="334"/>
      <c r="G7" s="334"/>
      <c r="H7" s="334"/>
      <c r="I7" s="334"/>
      <c r="J7" s="334"/>
      <c r="K7" s="334"/>
      <c r="L7" s="334"/>
      <c r="M7" s="335"/>
    </row>
    <row r="8" spans="1:13" x14ac:dyDescent="0.2">
      <c r="A8" s="158"/>
      <c r="B8" s="149"/>
      <c r="C8" s="334"/>
      <c r="D8" s="334"/>
      <c r="E8" s="334"/>
      <c r="F8" s="334"/>
      <c r="G8" s="334"/>
      <c r="H8" s="334"/>
      <c r="I8" s="334"/>
      <c r="J8" s="334"/>
      <c r="K8" s="334"/>
      <c r="L8" s="334"/>
      <c r="M8" s="335"/>
    </row>
    <row r="9" spans="1:13" x14ac:dyDescent="0.2">
      <c r="A9" s="158"/>
      <c r="B9" s="149"/>
      <c r="C9" s="334"/>
      <c r="D9" s="334"/>
      <c r="E9" s="334"/>
      <c r="F9" s="334"/>
      <c r="G9" s="334"/>
      <c r="H9" s="334"/>
      <c r="I9" s="334"/>
      <c r="J9" s="334"/>
      <c r="K9" s="334"/>
      <c r="L9" s="334"/>
      <c r="M9" s="335"/>
    </row>
    <row r="10" spans="1:13" x14ac:dyDescent="0.2">
      <c r="A10" s="158"/>
      <c r="B10" s="149"/>
      <c r="C10" s="334"/>
      <c r="D10" s="334"/>
      <c r="E10" s="334"/>
      <c r="F10" s="334"/>
      <c r="G10" s="334"/>
      <c r="H10" s="334"/>
      <c r="I10" s="334"/>
      <c r="J10" s="334"/>
      <c r="K10" s="334"/>
      <c r="L10" s="334"/>
      <c r="M10" s="335"/>
    </row>
    <row r="11" spans="1:13" x14ac:dyDescent="0.2">
      <c r="A11" s="158"/>
      <c r="B11" s="149"/>
      <c r="C11" s="334"/>
      <c r="D11" s="334"/>
      <c r="E11" s="334"/>
      <c r="F11" s="334"/>
      <c r="G11" s="334"/>
      <c r="H11" s="334"/>
      <c r="I11" s="334"/>
      <c r="J11" s="334"/>
      <c r="K11" s="334"/>
      <c r="L11" s="334"/>
      <c r="M11" s="335"/>
    </row>
    <row r="12" spans="1:13" x14ac:dyDescent="0.2">
      <c r="A12" s="158"/>
      <c r="B12" s="149"/>
      <c r="C12" s="334"/>
      <c r="D12" s="334"/>
      <c r="E12" s="334"/>
      <c r="F12" s="334"/>
      <c r="G12" s="334"/>
      <c r="H12" s="334"/>
      <c r="I12" s="334"/>
      <c r="J12" s="334"/>
      <c r="K12" s="334"/>
      <c r="L12" s="334"/>
      <c r="M12" s="335"/>
    </row>
    <row r="13" spans="1:13" x14ac:dyDescent="0.2">
      <c r="A13" s="158"/>
      <c r="B13" s="149"/>
      <c r="C13" s="334"/>
      <c r="D13" s="334"/>
      <c r="E13" s="334"/>
      <c r="F13" s="334"/>
      <c r="G13" s="334"/>
      <c r="H13" s="334"/>
      <c r="I13" s="334"/>
      <c r="J13" s="334"/>
      <c r="K13" s="334"/>
      <c r="L13" s="334"/>
      <c r="M13" s="335"/>
    </row>
    <row r="14" spans="1:13" x14ac:dyDescent="0.2">
      <c r="A14" s="158"/>
      <c r="B14" s="149"/>
      <c r="C14" s="334"/>
      <c r="D14" s="334"/>
      <c r="E14" s="334"/>
      <c r="F14" s="334"/>
      <c r="G14" s="334"/>
      <c r="H14" s="334"/>
      <c r="I14" s="334"/>
      <c r="J14" s="334"/>
      <c r="K14" s="334"/>
      <c r="L14" s="334"/>
      <c r="M14" s="335"/>
    </row>
    <row r="15" spans="1:13" x14ac:dyDescent="0.2">
      <c r="A15" s="158"/>
      <c r="B15" s="149"/>
      <c r="C15" s="334"/>
      <c r="D15" s="334"/>
      <c r="E15" s="334"/>
      <c r="F15" s="334"/>
      <c r="G15" s="334"/>
      <c r="H15" s="334"/>
      <c r="I15" s="334"/>
      <c r="J15" s="334"/>
      <c r="K15" s="334"/>
      <c r="L15" s="334"/>
      <c r="M15" s="335"/>
    </row>
    <row r="16" spans="1:13" x14ac:dyDescent="0.2">
      <c r="A16" s="158"/>
      <c r="B16" s="149"/>
      <c r="C16" s="334"/>
      <c r="D16" s="334"/>
      <c r="E16" s="334"/>
      <c r="F16" s="334"/>
      <c r="G16" s="334"/>
      <c r="H16" s="334"/>
      <c r="I16" s="334"/>
      <c r="J16" s="334"/>
      <c r="K16" s="334"/>
      <c r="L16" s="334"/>
      <c r="M16" s="335"/>
    </row>
    <row r="17" spans="1:256" x14ac:dyDescent="0.2">
      <c r="A17" s="158"/>
      <c r="B17" s="149"/>
      <c r="C17" s="334"/>
      <c r="D17" s="334"/>
      <c r="E17" s="334"/>
      <c r="F17" s="334"/>
      <c r="G17" s="334"/>
      <c r="H17" s="334"/>
      <c r="I17" s="334"/>
      <c r="J17" s="334"/>
      <c r="K17" s="334"/>
      <c r="L17" s="334"/>
      <c r="M17" s="335"/>
    </row>
    <row r="18" spans="1:256" x14ac:dyDescent="0.2">
      <c r="A18" s="158"/>
      <c r="B18" s="149"/>
      <c r="C18" s="334"/>
      <c r="D18" s="334"/>
      <c r="E18" s="334"/>
      <c r="F18" s="334"/>
      <c r="G18" s="334"/>
      <c r="H18" s="334"/>
      <c r="I18" s="334"/>
      <c r="J18" s="334"/>
      <c r="K18" s="334"/>
      <c r="L18" s="334"/>
      <c r="M18" s="335"/>
    </row>
    <row r="19" spans="1:256" x14ac:dyDescent="0.2">
      <c r="A19" s="158"/>
      <c r="B19" s="149"/>
      <c r="C19" s="334"/>
      <c r="D19" s="334"/>
      <c r="E19" s="334"/>
      <c r="F19" s="334"/>
      <c r="G19" s="334"/>
      <c r="H19" s="334"/>
      <c r="I19" s="334"/>
      <c r="J19" s="334"/>
      <c r="K19" s="334"/>
      <c r="L19" s="334"/>
      <c r="M19" s="335"/>
    </row>
    <row r="20" spans="1:256" x14ac:dyDescent="0.2">
      <c r="A20" s="158"/>
      <c r="B20" s="149"/>
      <c r="C20" s="334"/>
      <c r="D20" s="334"/>
      <c r="E20" s="334"/>
      <c r="F20" s="334"/>
      <c r="G20" s="334"/>
      <c r="H20" s="334"/>
      <c r="I20" s="334"/>
      <c r="J20" s="334"/>
      <c r="K20" s="334"/>
      <c r="L20" s="334"/>
      <c r="M20" s="335"/>
    </row>
    <row r="21" spans="1:256" x14ac:dyDescent="0.2">
      <c r="A21" s="158"/>
      <c r="B21" s="149"/>
      <c r="C21" s="334"/>
      <c r="D21" s="334"/>
      <c r="E21" s="334"/>
      <c r="F21" s="334"/>
      <c r="G21" s="334"/>
      <c r="H21" s="334"/>
      <c r="I21" s="334"/>
      <c r="J21" s="334"/>
      <c r="K21" s="334"/>
      <c r="L21" s="334"/>
      <c r="M21" s="335"/>
    </row>
    <row r="22" spans="1:256" x14ac:dyDescent="0.2">
      <c r="A22" s="158"/>
      <c r="B22" s="149"/>
      <c r="C22" s="334"/>
      <c r="D22" s="334"/>
      <c r="E22" s="334"/>
      <c r="F22" s="334"/>
      <c r="G22" s="334"/>
      <c r="H22" s="334"/>
      <c r="I22" s="334"/>
      <c r="J22" s="334"/>
      <c r="K22" s="334"/>
      <c r="L22" s="334"/>
      <c r="M22" s="335"/>
    </row>
    <row r="23" spans="1:256" x14ac:dyDescent="0.2">
      <c r="A23" s="158"/>
      <c r="B23" s="149"/>
      <c r="C23" s="334"/>
      <c r="D23" s="334"/>
      <c r="E23" s="334"/>
      <c r="F23" s="334"/>
      <c r="G23" s="334"/>
      <c r="H23" s="334"/>
      <c r="I23" s="334"/>
      <c r="J23" s="334"/>
      <c r="K23" s="334"/>
      <c r="L23" s="334"/>
      <c r="M23" s="335"/>
    </row>
    <row r="24" spans="1:256" x14ac:dyDescent="0.2">
      <c r="A24" s="158"/>
      <c r="B24" s="149"/>
      <c r="C24" s="334"/>
      <c r="D24" s="334"/>
      <c r="E24" s="334"/>
      <c r="F24" s="334"/>
      <c r="G24" s="334"/>
      <c r="H24" s="334"/>
      <c r="I24" s="334"/>
      <c r="J24" s="334"/>
      <c r="K24" s="334"/>
      <c r="L24" s="334"/>
      <c r="M24" s="335"/>
    </row>
    <row r="25" spans="1:256" x14ac:dyDescent="0.2">
      <c r="A25" s="158"/>
      <c r="B25" s="149"/>
      <c r="C25" s="334"/>
      <c r="D25" s="334"/>
      <c r="E25" s="334"/>
      <c r="F25" s="334"/>
      <c r="G25" s="334"/>
      <c r="H25" s="334"/>
      <c r="I25" s="334"/>
      <c r="J25" s="334"/>
      <c r="K25" s="334"/>
      <c r="L25" s="334"/>
      <c r="M25" s="335"/>
    </row>
    <row r="26" spans="1:256" x14ac:dyDescent="0.2">
      <c r="A26" s="158"/>
      <c r="B26" s="149"/>
      <c r="C26" s="334"/>
      <c r="D26" s="334"/>
      <c r="E26" s="334"/>
      <c r="F26" s="334"/>
      <c r="G26" s="334"/>
      <c r="H26" s="334"/>
      <c r="I26" s="334"/>
      <c r="J26" s="334"/>
      <c r="K26" s="334"/>
      <c r="L26" s="334"/>
      <c r="M26" s="335"/>
    </row>
    <row r="27" spans="1:256" x14ac:dyDescent="0.2">
      <c r="A27" s="158"/>
      <c r="B27" s="149"/>
      <c r="C27" s="334"/>
      <c r="D27" s="334"/>
      <c r="E27" s="334"/>
      <c r="F27" s="334"/>
      <c r="G27" s="334"/>
      <c r="H27" s="334"/>
      <c r="I27" s="334"/>
      <c r="J27" s="334"/>
      <c r="K27" s="334"/>
      <c r="L27" s="334"/>
      <c r="M27" s="335"/>
    </row>
    <row r="28" spans="1:256" x14ac:dyDescent="0.2">
      <c r="A28" s="158"/>
      <c r="B28" s="149"/>
      <c r="C28" s="334"/>
      <c r="D28" s="334"/>
      <c r="E28" s="334"/>
      <c r="F28" s="334"/>
      <c r="G28" s="334"/>
      <c r="H28" s="334"/>
      <c r="I28" s="334"/>
      <c r="J28" s="334"/>
      <c r="K28" s="334"/>
      <c r="L28" s="334"/>
      <c r="M28" s="335"/>
    </row>
    <row r="29" spans="1:256" x14ac:dyDescent="0.2">
      <c r="A29" s="158"/>
      <c r="B29" s="149"/>
      <c r="C29" s="334"/>
      <c r="D29" s="334"/>
      <c r="E29" s="334"/>
      <c r="F29" s="334"/>
      <c r="G29" s="334"/>
      <c r="H29" s="334"/>
      <c r="I29" s="334"/>
      <c r="J29" s="334"/>
      <c r="K29" s="334"/>
      <c r="L29" s="334"/>
      <c r="M29" s="335"/>
      <c r="N29" s="152"/>
      <c r="O29" s="152"/>
      <c r="P29" s="339"/>
      <c r="Q29" s="339"/>
      <c r="R29" s="339"/>
      <c r="S29" s="339"/>
      <c r="T29" s="339"/>
      <c r="U29" s="339"/>
      <c r="V29" s="339"/>
      <c r="W29" s="339"/>
      <c r="X29" s="339"/>
      <c r="Y29" s="339"/>
      <c r="Z29" s="339"/>
      <c r="AA29" s="149"/>
      <c r="AB29" s="149"/>
      <c r="AC29" s="334"/>
      <c r="AD29" s="334"/>
      <c r="AE29" s="334"/>
      <c r="AF29" s="334"/>
      <c r="AG29" s="334"/>
      <c r="AH29" s="334"/>
      <c r="AI29" s="334"/>
      <c r="AJ29" s="334"/>
      <c r="AK29" s="334"/>
      <c r="AL29" s="334"/>
      <c r="AM29" s="334"/>
      <c r="AN29" s="149"/>
      <c r="AO29" s="149"/>
      <c r="AP29" s="334"/>
      <c r="AQ29" s="334"/>
      <c r="AR29" s="334"/>
      <c r="AS29" s="334"/>
      <c r="AT29" s="334"/>
      <c r="AU29" s="334"/>
      <c r="AV29" s="334"/>
      <c r="AW29" s="334"/>
      <c r="AX29" s="334"/>
      <c r="AY29" s="334"/>
      <c r="AZ29" s="334"/>
      <c r="BA29" s="149"/>
      <c r="BB29" s="149"/>
      <c r="BC29" s="334"/>
      <c r="BD29" s="334"/>
      <c r="BE29" s="334"/>
      <c r="BF29" s="334"/>
      <c r="BG29" s="334"/>
      <c r="BH29" s="334"/>
      <c r="BI29" s="334"/>
      <c r="BJ29" s="334"/>
      <c r="BK29" s="334"/>
      <c r="BL29" s="334"/>
      <c r="BM29" s="334"/>
      <c r="BN29" s="149"/>
      <c r="BO29" s="149"/>
      <c r="BP29" s="334"/>
      <c r="BQ29" s="334"/>
      <c r="BR29" s="334"/>
      <c r="BS29" s="334"/>
      <c r="BT29" s="334"/>
      <c r="BU29" s="334"/>
      <c r="BV29" s="334"/>
      <c r="BW29" s="334"/>
      <c r="BX29" s="334"/>
      <c r="BY29" s="334"/>
      <c r="BZ29" s="334"/>
      <c r="CA29" s="149"/>
      <c r="CB29" s="149"/>
      <c r="CC29" s="334"/>
      <c r="CD29" s="334"/>
      <c r="CE29" s="334"/>
      <c r="CF29" s="334"/>
      <c r="CG29" s="334"/>
      <c r="CH29" s="334"/>
      <c r="CI29" s="334"/>
      <c r="CJ29" s="334"/>
      <c r="CK29" s="334"/>
      <c r="CL29" s="334"/>
      <c r="CM29" s="334"/>
      <c r="CN29" s="149"/>
      <c r="CO29" s="149"/>
      <c r="CP29" s="334"/>
      <c r="CQ29" s="334"/>
      <c r="CR29" s="334"/>
      <c r="CS29" s="334"/>
      <c r="CT29" s="334"/>
      <c r="CU29" s="334"/>
      <c r="CV29" s="334"/>
      <c r="CW29" s="334"/>
      <c r="CX29" s="334"/>
      <c r="CY29" s="334"/>
      <c r="CZ29" s="334"/>
      <c r="DA29" s="149"/>
      <c r="DB29" s="149"/>
      <c r="DC29" s="334"/>
      <c r="DD29" s="334"/>
      <c r="DE29" s="334"/>
      <c r="DF29" s="334"/>
      <c r="DG29" s="334"/>
      <c r="DH29" s="334"/>
      <c r="DI29" s="334"/>
      <c r="DJ29" s="334"/>
      <c r="DK29" s="334"/>
      <c r="DL29" s="334"/>
      <c r="DM29" s="334"/>
      <c r="DN29" s="149"/>
      <c r="DO29" s="149"/>
      <c r="DP29" s="334"/>
      <c r="DQ29" s="334"/>
      <c r="DR29" s="334"/>
      <c r="DS29" s="334"/>
      <c r="DT29" s="334"/>
      <c r="DU29" s="334"/>
      <c r="DV29" s="334"/>
      <c r="DW29" s="334"/>
      <c r="DX29" s="334"/>
      <c r="DY29" s="334"/>
      <c r="DZ29" s="334"/>
      <c r="EA29" s="149"/>
      <c r="EB29" s="149"/>
      <c r="EC29" s="334"/>
      <c r="ED29" s="334"/>
      <c r="EE29" s="334"/>
      <c r="EF29" s="334"/>
      <c r="EG29" s="334"/>
      <c r="EH29" s="334"/>
      <c r="EI29" s="334"/>
      <c r="EJ29" s="334"/>
      <c r="EK29" s="334"/>
      <c r="EL29" s="334"/>
      <c r="EM29" s="334"/>
      <c r="EN29" s="149"/>
      <c r="EO29" s="149"/>
      <c r="EP29" s="334"/>
      <c r="EQ29" s="334"/>
      <c r="ER29" s="334"/>
      <c r="ES29" s="334"/>
      <c r="ET29" s="334"/>
      <c r="EU29" s="334"/>
      <c r="EV29" s="334"/>
      <c r="EW29" s="334"/>
      <c r="EX29" s="334"/>
      <c r="EY29" s="334"/>
      <c r="EZ29" s="334"/>
      <c r="FA29" s="149"/>
      <c r="FB29" s="149"/>
      <c r="FC29" s="334"/>
      <c r="FD29" s="334"/>
      <c r="FE29" s="334"/>
      <c r="FF29" s="334"/>
      <c r="FG29" s="334"/>
      <c r="FH29" s="334"/>
      <c r="FI29" s="334"/>
      <c r="FJ29" s="334"/>
      <c r="FK29" s="334"/>
      <c r="FL29" s="334"/>
      <c r="FM29" s="334"/>
      <c r="FN29" s="149"/>
      <c r="FO29" s="149"/>
      <c r="FP29" s="334"/>
      <c r="FQ29" s="334"/>
      <c r="FR29" s="334"/>
      <c r="FS29" s="334"/>
      <c r="FT29" s="334"/>
      <c r="FU29" s="334"/>
      <c r="FV29" s="334"/>
      <c r="FW29" s="334"/>
      <c r="FX29" s="334"/>
      <c r="FY29" s="334"/>
      <c r="FZ29" s="334"/>
      <c r="GA29" s="149"/>
      <c r="GB29" s="149"/>
      <c r="GC29" s="334"/>
      <c r="GD29" s="334"/>
      <c r="GE29" s="334"/>
      <c r="GF29" s="334"/>
      <c r="GG29" s="334"/>
      <c r="GH29" s="334"/>
      <c r="GI29" s="334"/>
      <c r="GJ29" s="334"/>
      <c r="GK29" s="334"/>
      <c r="GL29" s="334"/>
      <c r="GM29" s="334"/>
      <c r="GN29" s="149"/>
      <c r="GO29" s="149"/>
      <c r="GP29" s="334"/>
      <c r="GQ29" s="334"/>
      <c r="GR29" s="334"/>
      <c r="GS29" s="334"/>
      <c r="GT29" s="334"/>
      <c r="GU29" s="334"/>
      <c r="GV29" s="334"/>
      <c r="GW29" s="334"/>
      <c r="GX29" s="334"/>
      <c r="GY29" s="334"/>
      <c r="GZ29" s="334"/>
      <c r="HA29" s="149"/>
      <c r="HB29" s="149"/>
      <c r="HC29" s="334"/>
      <c r="HD29" s="334"/>
      <c r="HE29" s="334"/>
      <c r="HF29" s="334"/>
      <c r="HG29" s="334"/>
      <c r="HH29" s="334"/>
      <c r="HI29" s="334"/>
      <c r="HJ29" s="334"/>
      <c r="HK29" s="334"/>
      <c r="HL29" s="334"/>
      <c r="HM29" s="334"/>
      <c r="HN29" s="149"/>
      <c r="HO29" s="149"/>
      <c r="HP29" s="334"/>
      <c r="HQ29" s="334"/>
      <c r="HR29" s="334"/>
      <c r="HS29" s="334"/>
      <c r="HT29" s="334"/>
      <c r="HU29" s="334"/>
      <c r="HV29" s="334"/>
      <c r="HW29" s="334"/>
      <c r="HX29" s="334"/>
      <c r="HY29" s="334"/>
      <c r="HZ29" s="334"/>
      <c r="IA29" s="149"/>
      <c r="IB29" s="149"/>
      <c r="IC29" s="334"/>
      <c r="ID29" s="334"/>
      <c r="IE29" s="334"/>
      <c r="IF29" s="334"/>
      <c r="IG29" s="334"/>
      <c r="IH29" s="334"/>
      <c r="II29" s="334"/>
      <c r="IJ29" s="334"/>
      <c r="IK29" s="334"/>
      <c r="IL29" s="334"/>
      <c r="IM29" s="334"/>
      <c r="IN29" s="149"/>
      <c r="IO29" s="149"/>
      <c r="IP29" s="334"/>
      <c r="IQ29" s="334"/>
      <c r="IR29" s="334"/>
      <c r="IS29" s="334"/>
      <c r="IT29" s="334"/>
      <c r="IU29" s="334"/>
      <c r="IV29" s="334"/>
    </row>
    <row r="30" spans="1:256" x14ac:dyDescent="0.2">
      <c r="A30" s="158"/>
      <c r="B30" s="149"/>
      <c r="C30" s="334"/>
      <c r="D30" s="334"/>
      <c r="E30" s="334"/>
      <c r="F30" s="334"/>
      <c r="G30" s="334"/>
      <c r="H30" s="334"/>
      <c r="I30" s="334"/>
      <c r="J30" s="334"/>
      <c r="K30" s="334"/>
      <c r="L30" s="334"/>
      <c r="M30" s="335"/>
      <c r="N30" s="152"/>
      <c r="O30" s="152"/>
      <c r="P30" s="339"/>
      <c r="Q30" s="339"/>
      <c r="R30" s="339"/>
      <c r="S30" s="339"/>
      <c r="T30" s="339"/>
      <c r="U30" s="339"/>
      <c r="V30" s="339"/>
      <c r="W30" s="339"/>
      <c r="X30" s="339"/>
      <c r="Y30" s="339"/>
      <c r="Z30" s="339"/>
      <c r="AA30" s="149"/>
      <c r="AB30" s="149"/>
      <c r="AC30" s="334"/>
      <c r="AD30" s="334"/>
      <c r="AE30" s="334"/>
      <c r="AF30" s="334"/>
      <c r="AG30" s="334"/>
      <c r="AH30" s="334"/>
      <c r="AI30" s="334"/>
      <c r="AJ30" s="334"/>
      <c r="AK30" s="334"/>
      <c r="AL30" s="334"/>
      <c r="AM30" s="334"/>
      <c r="AN30" s="149"/>
      <c r="AO30" s="149"/>
      <c r="AP30" s="334"/>
      <c r="AQ30" s="334"/>
      <c r="AR30" s="334"/>
      <c r="AS30" s="334"/>
      <c r="AT30" s="334"/>
      <c r="AU30" s="334"/>
      <c r="AV30" s="334"/>
      <c r="AW30" s="334"/>
      <c r="AX30" s="334"/>
      <c r="AY30" s="334"/>
      <c r="AZ30" s="334"/>
      <c r="BA30" s="149"/>
      <c r="BB30" s="149"/>
      <c r="BC30" s="334"/>
      <c r="BD30" s="334"/>
      <c r="BE30" s="334"/>
      <c r="BF30" s="334"/>
      <c r="BG30" s="334"/>
      <c r="BH30" s="334"/>
      <c r="BI30" s="334"/>
      <c r="BJ30" s="334"/>
      <c r="BK30" s="334"/>
      <c r="BL30" s="334"/>
      <c r="BM30" s="334"/>
      <c r="BN30" s="149"/>
      <c r="BO30" s="149"/>
      <c r="BP30" s="334"/>
      <c r="BQ30" s="334"/>
      <c r="BR30" s="334"/>
      <c r="BS30" s="334"/>
      <c r="BT30" s="334"/>
      <c r="BU30" s="334"/>
      <c r="BV30" s="334"/>
      <c r="BW30" s="334"/>
      <c r="BX30" s="334"/>
      <c r="BY30" s="334"/>
      <c r="BZ30" s="334"/>
      <c r="CA30" s="149"/>
      <c r="CB30" s="149"/>
      <c r="CC30" s="334"/>
      <c r="CD30" s="334"/>
      <c r="CE30" s="334"/>
      <c r="CF30" s="334"/>
      <c r="CG30" s="334"/>
      <c r="CH30" s="334"/>
      <c r="CI30" s="334"/>
      <c r="CJ30" s="334"/>
      <c r="CK30" s="334"/>
      <c r="CL30" s="334"/>
      <c r="CM30" s="334"/>
      <c r="CN30" s="149"/>
      <c r="CO30" s="149"/>
      <c r="CP30" s="334"/>
      <c r="CQ30" s="334"/>
      <c r="CR30" s="334"/>
      <c r="CS30" s="334"/>
      <c r="CT30" s="334"/>
      <c r="CU30" s="334"/>
      <c r="CV30" s="334"/>
      <c r="CW30" s="334"/>
      <c r="CX30" s="334"/>
      <c r="CY30" s="334"/>
      <c r="CZ30" s="334"/>
      <c r="DA30" s="149"/>
      <c r="DB30" s="149"/>
      <c r="DC30" s="334"/>
      <c r="DD30" s="334"/>
      <c r="DE30" s="334"/>
      <c r="DF30" s="334"/>
      <c r="DG30" s="334"/>
      <c r="DH30" s="334"/>
      <c r="DI30" s="334"/>
      <c r="DJ30" s="334"/>
      <c r="DK30" s="334"/>
      <c r="DL30" s="334"/>
      <c r="DM30" s="334"/>
      <c r="DN30" s="149"/>
      <c r="DO30" s="149"/>
      <c r="DP30" s="334"/>
      <c r="DQ30" s="334"/>
      <c r="DR30" s="334"/>
      <c r="DS30" s="334"/>
      <c r="DT30" s="334"/>
      <c r="DU30" s="334"/>
      <c r="DV30" s="334"/>
      <c r="DW30" s="334"/>
      <c r="DX30" s="334"/>
      <c r="DY30" s="334"/>
      <c r="DZ30" s="334"/>
      <c r="EA30" s="149"/>
      <c r="EB30" s="149"/>
      <c r="EC30" s="334"/>
      <c r="ED30" s="334"/>
      <c r="EE30" s="334"/>
      <c r="EF30" s="334"/>
      <c r="EG30" s="334"/>
      <c r="EH30" s="334"/>
      <c r="EI30" s="334"/>
      <c r="EJ30" s="334"/>
      <c r="EK30" s="334"/>
      <c r="EL30" s="334"/>
      <c r="EM30" s="334"/>
      <c r="EN30" s="149"/>
      <c r="EO30" s="149"/>
      <c r="EP30" s="334"/>
      <c r="EQ30" s="334"/>
      <c r="ER30" s="334"/>
      <c r="ES30" s="334"/>
      <c r="ET30" s="334"/>
      <c r="EU30" s="334"/>
      <c r="EV30" s="334"/>
      <c r="EW30" s="334"/>
      <c r="EX30" s="334"/>
      <c r="EY30" s="334"/>
      <c r="EZ30" s="334"/>
      <c r="FA30" s="149"/>
      <c r="FB30" s="149"/>
      <c r="FC30" s="334"/>
      <c r="FD30" s="334"/>
      <c r="FE30" s="334"/>
      <c r="FF30" s="334"/>
      <c r="FG30" s="334"/>
      <c r="FH30" s="334"/>
      <c r="FI30" s="334"/>
      <c r="FJ30" s="334"/>
      <c r="FK30" s="334"/>
      <c r="FL30" s="334"/>
      <c r="FM30" s="334"/>
      <c r="FN30" s="149"/>
      <c r="FO30" s="149"/>
      <c r="FP30" s="334"/>
      <c r="FQ30" s="334"/>
      <c r="FR30" s="334"/>
      <c r="FS30" s="334"/>
      <c r="FT30" s="334"/>
      <c r="FU30" s="334"/>
      <c r="FV30" s="334"/>
      <c r="FW30" s="334"/>
      <c r="FX30" s="334"/>
      <c r="FY30" s="334"/>
      <c r="FZ30" s="334"/>
      <c r="GA30" s="149"/>
      <c r="GB30" s="149"/>
      <c r="GC30" s="334"/>
      <c r="GD30" s="334"/>
      <c r="GE30" s="334"/>
      <c r="GF30" s="334"/>
      <c r="GG30" s="334"/>
      <c r="GH30" s="334"/>
      <c r="GI30" s="334"/>
      <c r="GJ30" s="334"/>
      <c r="GK30" s="334"/>
      <c r="GL30" s="334"/>
      <c r="GM30" s="334"/>
      <c r="GN30" s="149"/>
      <c r="GO30" s="149"/>
      <c r="GP30" s="334"/>
      <c r="GQ30" s="334"/>
      <c r="GR30" s="334"/>
      <c r="GS30" s="334"/>
      <c r="GT30" s="334"/>
      <c r="GU30" s="334"/>
      <c r="GV30" s="334"/>
      <c r="GW30" s="334"/>
      <c r="GX30" s="334"/>
      <c r="GY30" s="334"/>
      <c r="GZ30" s="334"/>
      <c r="HA30" s="149"/>
      <c r="HB30" s="149"/>
      <c r="HC30" s="334"/>
      <c r="HD30" s="334"/>
      <c r="HE30" s="334"/>
      <c r="HF30" s="334"/>
      <c r="HG30" s="334"/>
      <c r="HH30" s="334"/>
      <c r="HI30" s="334"/>
      <c r="HJ30" s="334"/>
      <c r="HK30" s="334"/>
      <c r="HL30" s="334"/>
      <c r="HM30" s="334"/>
      <c r="HN30" s="149"/>
      <c r="HO30" s="149"/>
      <c r="HP30" s="334"/>
      <c r="HQ30" s="334"/>
      <c r="HR30" s="334"/>
      <c r="HS30" s="334"/>
      <c r="HT30" s="334"/>
      <c r="HU30" s="334"/>
      <c r="HV30" s="334"/>
      <c r="HW30" s="334"/>
      <c r="HX30" s="334"/>
      <c r="HY30" s="334"/>
      <c r="HZ30" s="334"/>
      <c r="IA30" s="149"/>
      <c r="IB30" s="149"/>
      <c r="IC30" s="334"/>
      <c r="ID30" s="334"/>
      <c r="IE30" s="334"/>
      <c r="IF30" s="334"/>
      <c r="IG30" s="334"/>
      <c r="IH30" s="334"/>
      <c r="II30" s="334"/>
      <c r="IJ30" s="334"/>
      <c r="IK30" s="334"/>
      <c r="IL30" s="334"/>
      <c r="IM30" s="334"/>
      <c r="IN30" s="149"/>
      <c r="IO30" s="149"/>
      <c r="IP30" s="334"/>
      <c r="IQ30" s="334"/>
      <c r="IR30" s="334"/>
      <c r="IS30" s="334"/>
      <c r="IT30" s="334"/>
      <c r="IU30" s="334"/>
      <c r="IV30" s="334"/>
    </row>
    <row r="31" spans="1:256" x14ac:dyDescent="0.2">
      <c r="A31" s="158"/>
      <c r="B31" s="149"/>
      <c r="C31" s="334"/>
      <c r="D31" s="334"/>
      <c r="E31" s="334"/>
      <c r="F31" s="334"/>
      <c r="G31" s="334"/>
      <c r="H31" s="334"/>
      <c r="I31" s="334"/>
      <c r="J31" s="334"/>
      <c r="K31" s="334"/>
      <c r="L31" s="334"/>
      <c r="M31" s="335"/>
      <c r="N31" s="152"/>
      <c r="O31" s="152"/>
      <c r="P31" s="339"/>
      <c r="Q31" s="339"/>
      <c r="R31" s="339"/>
      <c r="S31" s="339"/>
      <c r="T31" s="339"/>
      <c r="U31" s="339"/>
      <c r="V31" s="339"/>
      <c r="W31" s="339"/>
      <c r="X31" s="339"/>
      <c r="Y31" s="339"/>
      <c r="Z31" s="339"/>
      <c r="AA31" s="149"/>
      <c r="AB31" s="149"/>
      <c r="AC31" s="334"/>
      <c r="AD31" s="334"/>
      <c r="AE31" s="334"/>
      <c r="AF31" s="334"/>
      <c r="AG31" s="334"/>
      <c r="AH31" s="334"/>
      <c r="AI31" s="334"/>
      <c r="AJ31" s="334"/>
      <c r="AK31" s="334"/>
      <c r="AL31" s="334"/>
      <c r="AM31" s="334"/>
      <c r="AN31" s="149"/>
      <c r="AO31" s="149"/>
      <c r="AP31" s="334"/>
      <c r="AQ31" s="334"/>
      <c r="AR31" s="334"/>
      <c r="AS31" s="334"/>
      <c r="AT31" s="334"/>
      <c r="AU31" s="334"/>
      <c r="AV31" s="334"/>
      <c r="AW31" s="334"/>
      <c r="AX31" s="334"/>
      <c r="AY31" s="334"/>
      <c r="AZ31" s="334"/>
      <c r="BA31" s="149"/>
      <c r="BB31" s="149"/>
      <c r="BC31" s="334"/>
      <c r="BD31" s="334"/>
      <c r="BE31" s="334"/>
      <c r="BF31" s="334"/>
      <c r="BG31" s="334"/>
      <c r="BH31" s="334"/>
      <c r="BI31" s="334"/>
      <c r="BJ31" s="334"/>
      <c r="BK31" s="334"/>
      <c r="BL31" s="334"/>
      <c r="BM31" s="334"/>
      <c r="BN31" s="149"/>
      <c r="BO31" s="149"/>
      <c r="BP31" s="334"/>
      <c r="BQ31" s="334"/>
      <c r="BR31" s="334"/>
      <c r="BS31" s="334"/>
      <c r="BT31" s="334"/>
      <c r="BU31" s="334"/>
      <c r="BV31" s="334"/>
      <c r="BW31" s="334"/>
      <c r="BX31" s="334"/>
      <c r="BY31" s="334"/>
      <c r="BZ31" s="334"/>
      <c r="CA31" s="149"/>
      <c r="CB31" s="149"/>
      <c r="CC31" s="334"/>
      <c r="CD31" s="334"/>
      <c r="CE31" s="334"/>
      <c r="CF31" s="334"/>
      <c r="CG31" s="334"/>
      <c r="CH31" s="334"/>
      <c r="CI31" s="334"/>
      <c r="CJ31" s="334"/>
      <c r="CK31" s="334"/>
      <c r="CL31" s="334"/>
      <c r="CM31" s="334"/>
      <c r="CN31" s="149"/>
      <c r="CO31" s="149"/>
      <c r="CP31" s="334"/>
      <c r="CQ31" s="334"/>
      <c r="CR31" s="334"/>
      <c r="CS31" s="334"/>
      <c r="CT31" s="334"/>
      <c r="CU31" s="334"/>
      <c r="CV31" s="334"/>
      <c r="CW31" s="334"/>
      <c r="CX31" s="334"/>
      <c r="CY31" s="334"/>
      <c r="CZ31" s="334"/>
      <c r="DA31" s="149"/>
      <c r="DB31" s="149"/>
      <c r="DC31" s="334"/>
      <c r="DD31" s="334"/>
      <c r="DE31" s="334"/>
      <c r="DF31" s="334"/>
      <c r="DG31" s="334"/>
      <c r="DH31" s="334"/>
      <c r="DI31" s="334"/>
      <c r="DJ31" s="334"/>
      <c r="DK31" s="334"/>
      <c r="DL31" s="334"/>
      <c r="DM31" s="334"/>
      <c r="DN31" s="149"/>
      <c r="DO31" s="149"/>
      <c r="DP31" s="334"/>
      <c r="DQ31" s="334"/>
      <c r="DR31" s="334"/>
      <c r="DS31" s="334"/>
      <c r="DT31" s="334"/>
      <c r="DU31" s="334"/>
      <c r="DV31" s="334"/>
      <c r="DW31" s="334"/>
      <c r="DX31" s="334"/>
      <c r="DY31" s="334"/>
      <c r="DZ31" s="334"/>
      <c r="EA31" s="149"/>
      <c r="EB31" s="149"/>
      <c r="EC31" s="334"/>
      <c r="ED31" s="334"/>
      <c r="EE31" s="334"/>
      <c r="EF31" s="334"/>
      <c r="EG31" s="334"/>
      <c r="EH31" s="334"/>
      <c r="EI31" s="334"/>
      <c r="EJ31" s="334"/>
      <c r="EK31" s="334"/>
      <c r="EL31" s="334"/>
      <c r="EM31" s="334"/>
      <c r="EN31" s="149"/>
      <c r="EO31" s="149"/>
      <c r="EP31" s="334"/>
      <c r="EQ31" s="334"/>
      <c r="ER31" s="334"/>
      <c r="ES31" s="334"/>
      <c r="ET31" s="334"/>
      <c r="EU31" s="334"/>
      <c r="EV31" s="334"/>
      <c r="EW31" s="334"/>
      <c r="EX31" s="334"/>
      <c r="EY31" s="334"/>
      <c r="EZ31" s="334"/>
      <c r="FA31" s="149"/>
      <c r="FB31" s="149"/>
      <c r="FC31" s="334"/>
      <c r="FD31" s="334"/>
      <c r="FE31" s="334"/>
      <c r="FF31" s="334"/>
      <c r="FG31" s="334"/>
      <c r="FH31" s="334"/>
      <c r="FI31" s="334"/>
      <c r="FJ31" s="334"/>
      <c r="FK31" s="334"/>
      <c r="FL31" s="334"/>
      <c r="FM31" s="334"/>
      <c r="FN31" s="149"/>
      <c r="FO31" s="149"/>
      <c r="FP31" s="334"/>
      <c r="FQ31" s="334"/>
      <c r="FR31" s="334"/>
      <c r="FS31" s="334"/>
      <c r="FT31" s="334"/>
      <c r="FU31" s="334"/>
      <c r="FV31" s="334"/>
      <c r="FW31" s="334"/>
      <c r="FX31" s="334"/>
      <c r="FY31" s="334"/>
      <c r="FZ31" s="334"/>
      <c r="GA31" s="149"/>
      <c r="GB31" s="149"/>
      <c r="GC31" s="334"/>
      <c r="GD31" s="334"/>
      <c r="GE31" s="334"/>
      <c r="GF31" s="334"/>
      <c r="GG31" s="334"/>
      <c r="GH31" s="334"/>
      <c r="GI31" s="334"/>
      <c r="GJ31" s="334"/>
      <c r="GK31" s="334"/>
      <c r="GL31" s="334"/>
      <c r="GM31" s="334"/>
      <c r="GN31" s="149"/>
      <c r="GO31" s="149"/>
      <c r="GP31" s="334"/>
      <c r="GQ31" s="334"/>
      <c r="GR31" s="334"/>
      <c r="GS31" s="334"/>
      <c r="GT31" s="334"/>
      <c r="GU31" s="334"/>
      <c r="GV31" s="334"/>
      <c r="GW31" s="334"/>
      <c r="GX31" s="334"/>
      <c r="GY31" s="334"/>
      <c r="GZ31" s="334"/>
      <c r="HA31" s="149"/>
      <c r="HB31" s="149"/>
      <c r="HC31" s="334"/>
      <c r="HD31" s="334"/>
      <c r="HE31" s="334"/>
      <c r="HF31" s="334"/>
      <c r="HG31" s="334"/>
      <c r="HH31" s="334"/>
      <c r="HI31" s="334"/>
      <c r="HJ31" s="334"/>
      <c r="HK31" s="334"/>
      <c r="HL31" s="334"/>
      <c r="HM31" s="334"/>
      <c r="HN31" s="149"/>
      <c r="HO31" s="149"/>
      <c r="HP31" s="334"/>
      <c r="HQ31" s="334"/>
      <c r="HR31" s="334"/>
      <c r="HS31" s="334"/>
      <c r="HT31" s="334"/>
      <c r="HU31" s="334"/>
      <c r="HV31" s="334"/>
      <c r="HW31" s="334"/>
      <c r="HX31" s="334"/>
      <c r="HY31" s="334"/>
      <c r="HZ31" s="334"/>
      <c r="IA31" s="149"/>
      <c r="IB31" s="149"/>
      <c r="IC31" s="334"/>
      <c r="ID31" s="334"/>
      <c r="IE31" s="334"/>
      <c r="IF31" s="334"/>
      <c r="IG31" s="334"/>
      <c r="IH31" s="334"/>
      <c r="II31" s="334"/>
      <c r="IJ31" s="334"/>
      <c r="IK31" s="334"/>
      <c r="IL31" s="334"/>
      <c r="IM31" s="334"/>
      <c r="IN31" s="149"/>
      <c r="IO31" s="149"/>
      <c r="IP31" s="334"/>
      <c r="IQ31" s="334"/>
      <c r="IR31" s="334"/>
      <c r="IS31" s="334"/>
      <c r="IT31" s="334"/>
      <c r="IU31" s="334"/>
      <c r="IV31" s="334"/>
    </row>
    <row r="32" spans="1:256" x14ac:dyDescent="0.2">
      <c r="A32" s="158"/>
      <c r="B32" s="149"/>
      <c r="C32" s="334"/>
      <c r="D32" s="334"/>
      <c r="E32" s="334"/>
      <c r="F32" s="334"/>
      <c r="G32" s="334"/>
      <c r="H32" s="334"/>
      <c r="I32" s="334"/>
      <c r="J32" s="334"/>
      <c r="K32" s="334"/>
      <c r="L32" s="334"/>
      <c r="M32" s="335"/>
      <c r="N32" s="152"/>
      <c r="O32" s="152"/>
      <c r="P32" s="339"/>
      <c r="Q32" s="339"/>
      <c r="R32" s="339"/>
      <c r="S32" s="339"/>
      <c r="T32" s="339"/>
      <c r="U32" s="339"/>
      <c r="V32" s="339"/>
      <c r="W32" s="339"/>
      <c r="X32" s="339"/>
      <c r="Y32" s="339"/>
      <c r="Z32" s="340"/>
      <c r="AA32" s="158"/>
      <c r="AB32" s="149"/>
      <c r="AC32" s="334"/>
      <c r="AD32" s="334"/>
      <c r="AE32" s="334"/>
      <c r="AF32" s="334"/>
      <c r="AG32" s="334"/>
      <c r="AH32" s="334"/>
      <c r="AI32" s="334"/>
      <c r="AJ32" s="334"/>
      <c r="AK32" s="334"/>
      <c r="AL32" s="334"/>
      <c r="AM32" s="335"/>
      <c r="AN32" s="158"/>
      <c r="AO32" s="149"/>
      <c r="AP32" s="334"/>
      <c r="AQ32" s="334"/>
      <c r="AR32" s="334"/>
      <c r="AS32" s="334"/>
      <c r="AT32" s="334"/>
      <c r="AU32" s="334"/>
      <c r="AV32" s="334"/>
      <c r="AW32" s="334"/>
      <c r="AX32" s="334"/>
      <c r="AY32" s="334"/>
      <c r="AZ32" s="335"/>
      <c r="BA32" s="158"/>
      <c r="BB32" s="149"/>
      <c r="BC32" s="334"/>
      <c r="BD32" s="334"/>
      <c r="BE32" s="334"/>
      <c r="BF32" s="334"/>
      <c r="BG32" s="334"/>
      <c r="BH32" s="334"/>
      <c r="BI32" s="334"/>
      <c r="BJ32" s="334"/>
      <c r="BK32" s="334"/>
      <c r="BL32" s="334"/>
      <c r="BM32" s="335"/>
      <c r="BN32" s="158"/>
      <c r="BO32" s="149"/>
      <c r="BP32" s="334"/>
      <c r="BQ32" s="334"/>
      <c r="BR32" s="334"/>
      <c r="BS32" s="334"/>
      <c r="BT32" s="334"/>
      <c r="BU32" s="334"/>
      <c r="BV32" s="334"/>
      <c r="BW32" s="334"/>
      <c r="BX32" s="334"/>
      <c r="BY32" s="334"/>
      <c r="BZ32" s="335"/>
      <c r="CA32" s="158"/>
      <c r="CB32" s="149"/>
      <c r="CC32" s="334"/>
      <c r="CD32" s="334"/>
      <c r="CE32" s="334"/>
      <c r="CF32" s="334"/>
      <c r="CG32" s="334"/>
      <c r="CH32" s="334"/>
      <c r="CI32" s="334"/>
      <c r="CJ32" s="334"/>
      <c r="CK32" s="334"/>
      <c r="CL32" s="334"/>
      <c r="CM32" s="335"/>
      <c r="CN32" s="158"/>
      <c r="CO32" s="149"/>
      <c r="CP32" s="334"/>
      <c r="CQ32" s="334"/>
      <c r="CR32" s="334"/>
      <c r="CS32" s="334"/>
      <c r="CT32" s="334"/>
      <c r="CU32" s="334"/>
      <c r="CV32" s="334"/>
      <c r="CW32" s="334"/>
      <c r="CX32" s="334"/>
      <c r="CY32" s="334"/>
      <c r="CZ32" s="335"/>
      <c r="DA32" s="158"/>
      <c r="DB32" s="149"/>
      <c r="DC32" s="334"/>
      <c r="DD32" s="334"/>
      <c r="DE32" s="334"/>
      <c r="DF32" s="334"/>
      <c r="DG32" s="334"/>
      <c r="DH32" s="334"/>
      <c r="DI32" s="334"/>
      <c r="DJ32" s="334"/>
      <c r="DK32" s="334"/>
      <c r="DL32" s="334"/>
      <c r="DM32" s="335"/>
      <c r="DN32" s="158"/>
      <c r="DO32" s="149"/>
      <c r="DP32" s="334"/>
      <c r="DQ32" s="334"/>
      <c r="DR32" s="334"/>
      <c r="DS32" s="334"/>
      <c r="DT32" s="334"/>
      <c r="DU32" s="334"/>
      <c r="DV32" s="334"/>
      <c r="DW32" s="334"/>
      <c r="DX32" s="334"/>
      <c r="DY32" s="334"/>
      <c r="DZ32" s="335"/>
      <c r="EA32" s="158"/>
      <c r="EB32" s="149"/>
      <c r="EC32" s="334"/>
      <c r="ED32" s="334"/>
      <c r="EE32" s="334"/>
      <c r="EF32" s="334"/>
      <c r="EG32" s="334"/>
      <c r="EH32" s="334"/>
      <c r="EI32" s="334"/>
      <c r="EJ32" s="334"/>
      <c r="EK32" s="334"/>
      <c r="EL32" s="334"/>
      <c r="EM32" s="335"/>
      <c r="EN32" s="158"/>
      <c r="EO32" s="149"/>
      <c r="EP32" s="334"/>
      <c r="EQ32" s="334"/>
      <c r="ER32" s="334"/>
      <c r="ES32" s="334"/>
      <c r="ET32" s="334"/>
      <c r="EU32" s="334"/>
      <c r="EV32" s="334"/>
      <c r="EW32" s="334"/>
      <c r="EX32" s="334"/>
      <c r="EY32" s="334"/>
      <c r="EZ32" s="335"/>
      <c r="FA32" s="158"/>
      <c r="FB32" s="149"/>
      <c r="FC32" s="334"/>
      <c r="FD32" s="334"/>
      <c r="FE32" s="334"/>
      <c r="FF32" s="334"/>
      <c r="FG32" s="334"/>
      <c r="FH32" s="334"/>
      <c r="FI32" s="334"/>
      <c r="FJ32" s="334"/>
      <c r="FK32" s="334"/>
      <c r="FL32" s="334"/>
      <c r="FM32" s="335"/>
      <c r="FN32" s="158"/>
      <c r="FO32" s="149"/>
      <c r="FP32" s="334"/>
      <c r="FQ32" s="334"/>
      <c r="FR32" s="334"/>
      <c r="FS32" s="334"/>
      <c r="FT32" s="334"/>
      <c r="FU32" s="334"/>
      <c r="FV32" s="334"/>
      <c r="FW32" s="334"/>
      <c r="FX32" s="334"/>
      <c r="FY32" s="334"/>
      <c r="FZ32" s="335"/>
      <c r="GA32" s="158"/>
      <c r="GB32" s="149"/>
      <c r="GC32" s="334"/>
      <c r="GD32" s="334"/>
      <c r="GE32" s="334"/>
      <c r="GF32" s="334"/>
      <c r="GG32" s="334"/>
      <c r="GH32" s="334"/>
      <c r="GI32" s="334"/>
      <c r="GJ32" s="334"/>
      <c r="GK32" s="334"/>
      <c r="GL32" s="334"/>
      <c r="GM32" s="335"/>
      <c r="GN32" s="158"/>
      <c r="GO32" s="149"/>
      <c r="GP32" s="334"/>
      <c r="GQ32" s="334"/>
      <c r="GR32" s="334"/>
      <c r="GS32" s="334"/>
      <c r="GT32" s="334"/>
      <c r="GU32" s="334"/>
      <c r="GV32" s="334"/>
      <c r="GW32" s="334"/>
      <c r="GX32" s="334"/>
      <c r="GY32" s="334"/>
      <c r="GZ32" s="335"/>
      <c r="HA32" s="158"/>
      <c r="HB32" s="149"/>
      <c r="HC32" s="334"/>
      <c r="HD32" s="334"/>
      <c r="HE32" s="334"/>
      <c r="HF32" s="334"/>
      <c r="HG32" s="334"/>
      <c r="HH32" s="334"/>
      <c r="HI32" s="334"/>
      <c r="HJ32" s="334"/>
      <c r="HK32" s="334"/>
      <c r="HL32" s="334"/>
      <c r="HM32" s="335"/>
      <c r="HN32" s="158"/>
      <c r="HO32" s="149"/>
      <c r="HP32" s="334"/>
      <c r="HQ32" s="334"/>
      <c r="HR32" s="334"/>
      <c r="HS32" s="334"/>
      <c r="HT32" s="334"/>
      <c r="HU32" s="334"/>
      <c r="HV32" s="334"/>
      <c r="HW32" s="334"/>
      <c r="HX32" s="334"/>
      <c r="HY32" s="334"/>
      <c r="HZ32" s="335"/>
      <c r="IA32" s="158"/>
      <c r="IB32" s="149"/>
      <c r="IC32" s="334"/>
      <c r="ID32" s="334"/>
      <c r="IE32" s="334"/>
      <c r="IF32" s="334"/>
      <c r="IG32" s="334"/>
      <c r="IH32" s="334"/>
      <c r="II32" s="334"/>
      <c r="IJ32" s="334"/>
      <c r="IK32" s="334"/>
      <c r="IL32" s="334"/>
      <c r="IM32" s="335"/>
      <c r="IN32" s="158"/>
      <c r="IO32" s="149"/>
      <c r="IP32" s="334"/>
      <c r="IQ32" s="334"/>
      <c r="IR32" s="334"/>
      <c r="IS32" s="334"/>
      <c r="IT32" s="334"/>
      <c r="IU32" s="334"/>
      <c r="IV32" s="334"/>
    </row>
    <row r="33" spans="1:256" x14ac:dyDescent="0.2">
      <c r="A33" s="158"/>
      <c r="B33" s="149"/>
      <c r="C33" s="334"/>
      <c r="D33" s="334"/>
      <c r="E33" s="334"/>
      <c r="F33" s="334"/>
      <c r="G33" s="334"/>
      <c r="H33" s="334"/>
      <c r="I33" s="334"/>
      <c r="J33" s="334"/>
      <c r="K33" s="334"/>
      <c r="L33" s="334"/>
      <c r="M33" s="335"/>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4"/>
      <c r="D34" s="334"/>
      <c r="E34" s="334"/>
      <c r="F34" s="334"/>
      <c r="G34" s="334"/>
      <c r="H34" s="334"/>
      <c r="I34" s="334"/>
      <c r="J34" s="334"/>
      <c r="K34" s="334"/>
      <c r="L34" s="334"/>
      <c r="M34" s="335"/>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4"/>
      <c r="D35" s="334"/>
      <c r="E35" s="334"/>
      <c r="F35" s="334"/>
      <c r="G35" s="334"/>
      <c r="H35" s="334"/>
      <c r="I35" s="334"/>
      <c r="J35" s="334"/>
      <c r="K35" s="334"/>
      <c r="L35" s="334"/>
      <c r="M35" s="335"/>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4"/>
      <c r="D36" s="334"/>
      <c r="E36" s="334"/>
      <c r="F36" s="334"/>
      <c r="G36" s="334"/>
      <c r="H36" s="334"/>
      <c r="I36" s="334"/>
      <c r="J36" s="334"/>
      <c r="K36" s="334"/>
      <c r="L36" s="334"/>
      <c r="M36" s="335"/>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4"/>
      <c r="D37" s="334"/>
      <c r="E37" s="334"/>
      <c r="F37" s="334"/>
      <c r="G37" s="334"/>
      <c r="H37" s="334"/>
      <c r="I37" s="334"/>
      <c r="J37" s="334"/>
      <c r="K37" s="334"/>
      <c r="L37" s="334"/>
      <c r="M37" s="335"/>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4"/>
      <c r="D38" s="334"/>
      <c r="E38" s="334"/>
      <c r="F38" s="334"/>
      <c r="G38" s="334"/>
      <c r="H38" s="334"/>
      <c r="I38" s="334"/>
      <c r="J38" s="334"/>
      <c r="K38" s="334"/>
      <c r="L38" s="334"/>
      <c r="M38" s="335"/>
      <c r="N38" s="152"/>
      <c r="O38" s="152"/>
      <c r="P38" s="339"/>
      <c r="Q38" s="339"/>
      <c r="R38" s="339"/>
      <c r="S38" s="339"/>
      <c r="T38" s="339"/>
      <c r="U38" s="339"/>
      <c r="V38" s="339"/>
      <c r="W38" s="339"/>
      <c r="X38" s="339"/>
      <c r="Y38" s="339"/>
      <c r="Z38" s="339"/>
      <c r="AA38" s="149"/>
      <c r="AB38" s="149"/>
      <c r="AC38" s="334"/>
      <c r="AD38" s="334"/>
      <c r="AE38" s="334"/>
      <c r="AF38" s="334"/>
      <c r="AG38" s="334"/>
      <c r="AH38" s="334"/>
      <c r="AI38" s="334"/>
      <c r="AJ38" s="334"/>
      <c r="AK38" s="334"/>
      <c r="AL38" s="334"/>
      <c r="AM38" s="334"/>
      <c r="AN38" s="149"/>
      <c r="AO38" s="149"/>
      <c r="AP38" s="334"/>
      <c r="AQ38" s="334"/>
      <c r="AR38" s="334"/>
      <c r="AS38" s="334"/>
      <c r="AT38" s="334"/>
      <c r="AU38" s="334"/>
      <c r="AV38" s="334"/>
      <c r="AW38" s="334"/>
      <c r="AX38" s="334"/>
      <c r="AY38" s="334"/>
      <c r="AZ38" s="334"/>
      <c r="BA38" s="149"/>
      <c r="BB38" s="149"/>
      <c r="BC38" s="334"/>
      <c r="BD38" s="334"/>
      <c r="BE38" s="334"/>
      <c r="BF38" s="334"/>
      <c r="BG38" s="334"/>
      <c r="BH38" s="334"/>
      <c r="BI38" s="334"/>
      <c r="BJ38" s="334"/>
      <c r="BK38" s="334"/>
      <c r="BL38" s="334"/>
      <c r="BM38" s="334"/>
      <c r="BN38" s="149"/>
      <c r="BO38" s="149"/>
      <c r="BP38" s="334"/>
      <c r="BQ38" s="334"/>
      <c r="BR38" s="334"/>
      <c r="BS38" s="334"/>
      <c r="BT38" s="334"/>
      <c r="BU38" s="334"/>
      <c r="BV38" s="334"/>
      <c r="BW38" s="334"/>
      <c r="BX38" s="334"/>
      <c r="BY38" s="334"/>
      <c r="BZ38" s="334"/>
      <c r="CA38" s="149"/>
      <c r="CB38" s="149"/>
      <c r="CC38" s="334"/>
      <c r="CD38" s="334"/>
      <c r="CE38" s="334"/>
      <c r="CF38" s="334"/>
      <c r="CG38" s="334"/>
      <c r="CH38" s="334"/>
      <c r="CI38" s="334"/>
      <c r="CJ38" s="334"/>
      <c r="CK38" s="334"/>
      <c r="CL38" s="334"/>
      <c r="CM38" s="334"/>
      <c r="CN38" s="149"/>
      <c r="CO38" s="149"/>
      <c r="CP38" s="334"/>
      <c r="CQ38" s="334"/>
      <c r="CR38" s="334"/>
      <c r="CS38" s="334"/>
      <c r="CT38" s="334"/>
      <c r="CU38" s="334"/>
      <c r="CV38" s="334"/>
      <c r="CW38" s="334"/>
      <c r="CX38" s="334"/>
      <c r="CY38" s="334"/>
      <c r="CZ38" s="334"/>
      <c r="DA38" s="149"/>
      <c r="DB38" s="149"/>
      <c r="DC38" s="334"/>
      <c r="DD38" s="334"/>
      <c r="DE38" s="334"/>
      <c r="DF38" s="334"/>
      <c r="DG38" s="334"/>
      <c r="DH38" s="334"/>
      <c r="DI38" s="334"/>
      <c r="DJ38" s="334"/>
      <c r="DK38" s="334"/>
      <c r="DL38" s="334"/>
      <c r="DM38" s="334"/>
      <c r="DN38" s="149"/>
      <c r="DO38" s="149"/>
      <c r="DP38" s="334"/>
      <c r="DQ38" s="334"/>
      <c r="DR38" s="334"/>
      <c r="DS38" s="334"/>
      <c r="DT38" s="334"/>
      <c r="DU38" s="334"/>
      <c r="DV38" s="334"/>
      <c r="DW38" s="334"/>
      <c r="DX38" s="334"/>
      <c r="DY38" s="334"/>
      <c r="DZ38" s="334"/>
      <c r="EA38" s="149"/>
      <c r="EB38" s="149"/>
      <c r="EC38" s="334"/>
      <c r="ED38" s="334"/>
      <c r="EE38" s="334"/>
      <c r="EF38" s="334"/>
      <c r="EG38" s="334"/>
      <c r="EH38" s="334"/>
      <c r="EI38" s="334"/>
      <c r="EJ38" s="334"/>
      <c r="EK38" s="334"/>
      <c r="EL38" s="334"/>
      <c r="EM38" s="334"/>
      <c r="EN38" s="149"/>
      <c r="EO38" s="149"/>
      <c r="EP38" s="334"/>
      <c r="EQ38" s="334"/>
      <c r="ER38" s="334"/>
      <c r="ES38" s="334"/>
      <c r="ET38" s="334"/>
      <c r="EU38" s="334"/>
      <c r="EV38" s="334"/>
      <c r="EW38" s="334"/>
      <c r="EX38" s="334"/>
      <c r="EY38" s="334"/>
      <c r="EZ38" s="334"/>
      <c r="FA38" s="149"/>
      <c r="FB38" s="149"/>
      <c r="FC38" s="334"/>
      <c r="FD38" s="334"/>
      <c r="FE38" s="334"/>
      <c r="FF38" s="334"/>
      <c r="FG38" s="334"/>
      <c r="FH38" s="334"/>
      <c r="FI38" s="334"/>
      <c r="FJ38" s="334"/>
      <c r="FK38" s="334"/>
      <c r="FL38" s="334"/>
      <c r="FM38" s="334"/>
      <c r="FN38" s="149"/>
      <c r="FO38" s="149"/>
      <c r="FP38" s="334"/>
      <c r="FQ38" s="334"/>
      <c r="FR38" s="334"/>
      <c r="FS38" s="334"/>
      <c r="FT38" s="334"/>
      <c r="FU38" s="334"/>
      <c r="FV38" s="334"/>
      <c r="FW38" s="334"/>
      <c r="FX38" s="334"/>
      <c r="FY38" s="334"/>
      <c r="FZ38" s="334"/>
      <c r="GA38" s="149"/>
      <c r="GB38" s="149"/>
      <c r="GC38" s="334"/>
      <c r="GD38" s="334"/>
      <c r="GE38" s="334"/>
      <c r="GF38" s="334"/>
      <c r="GG38" s="334"/>
      <c r="GH38" s="334"/>
      <c r="GI38" s="334"/>
      <c r="GJ38" s="334"/>
      <c r="GK38" s="334"/>
      <c r="GL38" s="334"/>
      <c r="GM38" s="334"/>
      <c r="GN38" s="149"/>
      <c r="GO38" s="149"/>
      <c r="GP38" s="334"/>
      <c r="GQ38" s="334"/>
      <c r="GR38" s="334"/>
      <c r="GS38" s="334"/>
      <c r="GT38" s="334"/>
      <c r="GU38" s="334"/>
      <c r="GV38" s="334"/>
      <c r="GW38" s="334"/>
      <c r="GX38" s="334"/>
      <c r="GY38" s="334"/>
      <c r="GZ38" s="334"/>
      <c r="HA38" s="149"/>
      <c r="HB38" s="149"/>
      <c r="HC38" s="334"/>
      <c r="HD38" s="334"/>
      <c r="HE38" s="334"/>
      <c r="HF38" s="334"/>
      <c r="HG38" s="334"/>
      <c r="HH38" s="334"/>
      <c r="HI38" s="334"/>
      <c r="HJ38" s="334"/>
      <c r="HK38" s="334"/>
      <c r="HL38" s="334"/>
      <c r="HM38" s="334"/>
      <c r="HN38" s="149"/>
      <c r="HO38" s="149"/>
      <c r="HP38" s="334"/>
      <c r="HQ38" s="334"/>
      <c r="HR38" s="334"/>
      <c r="HS38" s="334"/>
      <c r="HT38" s="334"/>
      <c r="HU38" s="334"/>
      <c r="HV38" s="334"/>
      <c r="HW38" s="334"/>
      <c r="HX38" s="334"/>
      <c r="HY38" s="334"/>
      <c r="HZ38" s="334"/>
      <c r="IA38" s="149"/>
      <c r="IB38" s="149"/>
      <c r="IC38" s="334"/>
      <c r="ID38" s="334"/>
      <c r="IE38" s="334"/>
      <c r="IF38" s="334"/>
      <c r="IG38" s="334"/>
      <c r="IH38" s="334"/>
      <c r="II38" s="334"/>
      <c r="IJ38" s="334"/>
      <c r="IK38" s="334"/>
      <c r="IL38" s="334"/>
      <c r="IM38" s="334"/>
      <c r="IN38" s="149"/>
      <c r="IO38" s="149"/>
      <c r="IP38" s="334"/>
      <c r="IQ38" s="334"/>
      <c r="IR38" s="334"/>
      <c r="IS38" s="334"/>
      <c r="IT38" s="334"/>
      <c r="IU38" s="334"/>
      <c r="IV38" s="334"/>
    </row>
    <row r="39" spans="1:256" x14ac:dyDescent="0.2">
      <c r="A39" s="158"/>
      <c r="B39" s="149"/>
      <c r="C39" s="334"/>
      <c r="D39" s="334"/>
      <c r="E39" s="334"/>
      <c r="F39" s="334"/>
      <c r="G39" s="334"/>
      <c r="H39" s="334"/>
      <c r="I39" s="334"/>
      <c r="J39" s="334"/>
      <c r="K39" s="334"/>
      <c r="L39" s="334"/>
      <c r="M39" s="335"/>
      <c r="N39" s="152"/>
      <c r="O39" s="152"/>
      <c r="P39" s="339"/>
      <c r="Q39" s="339"/>
      <c r="R39" s="339"/>
      <c r="S39" s="339"/>
      <c r="T39" s="339"/>
      <c r="U39" s="339"/>
      <c r="V39" s="339"/>
      <c r="W39" s="339"/>
      <c r="X39" s="339"/>
      <c r="Y39" s="339"/>
      <c r="Z39" s="339"/>
      <c r="AA39" s="149"/>
      <c r="AB39" s="149"/>
      <c r="AC39" s="334"/>
      <c r="AD39" s="334"/>
      <c r="AE39" s="334"/>
      <c r="AF39" s="334"/>
      <c r="AG39" s="334"/>
      <c r="AH39" s="334"/>
      <c r="AI39" s="334"/>
      <c r="AJ39" s="334"/>
      <c r="AK39" s="334"/>
      <c r="AL39" s="334"/>
      <c r="AM39" s="334"/>
      <c r="AN39" s="149"/>
      <c r="AO39" s="149"/>
      <c r="AP39" s="334"/>
      <c r="AQ39" s="334"/>
      <c r="AR39" s="334"/>
      <c r="AS39" s="334"/>
      <c r="AT39" s="334"/>
      <c r="AU39" s="334"/>
      <c r="AV39" s="334"/>
      <c r="AW39" s="334"/>
      <c r="AX39" s="334"/>
      <c r="AY39" s="334"/>
      <c r="AZ39" s="334"/>
      <c r="BA39" s="149"/>
      <c r="BB39" s="149"/>
      <c r="BC39" s="334"/>
      <c r="BD39" s="334"/>
      <c r="BE39" s="334"/>
      <c r="BF39" s="334"/>
      <c r="BG39" s="334"/>
      <c r="BH39" s="334"/>
      <c r="BI39" s="334"/>
      <c r="BJ39" s="334"/>
      <c r="BK39" s="334"/>
      <c r="BL39" s="334"/>
      <c r="BM39" s="334"/>
      <c r="BN39" s="149"/>
      <c r="BO39" s="149"/>
      <c r="BP39" s="334"/>
      <c r="BQ39" s="334"/>
      <c r="BR39" s="334"/>
      <c r="BS39" s="334"/>
      <c r="BT39" s="334"/>
      <c r="BU39" s="334"/>
      <c r="BV39" s="334"/>
      <c r="BW39" s="334"/>
      <c r="BX39" s="334"/>
      <c r="BY39" s="334"/>
      <c r="BZ39" s="334"/>
      <c r="CA39" s="149"/>
      <c r="CB39" s="149"/>
      <c r="CC39" s="334"/>
      <c r="CD39" s="334"/>
      <c r="CE39" s="334"/>
      <c r="CF39" s="334"/>
      <c r="CG39" s="334"/>
      <c r="CH39" s="334"/>
      <c r="CI39" s="334"/>
      <c r="CJ39" s="334"/>
      <c r="CK39" s="334"/>
      <c r="CL39" s="334"/>
      <c r="CM39" s="334"/>
      <c r="CN39" s="149"/>
      <c r="CO39" s="149"/>
      <c r="CP39" s="334"/>
      <c r="CQ39" s="334"/>
      <c r="CR39" s="334"/>
      <c r="CS39" s="334"/>
      <c r="CT39" s="334"/>
      <c r="CU39" s="334"/>
      <c r="CV39" s="334"/>
      <c r="CW39" s="334"/>
      <c r="CX39" s="334"/>
      <c r="CY39" s="334"/>
      <c r="CZ39" s="334"/>
      <c r="DA39" s="149"/>
      <c r="DB39" s="149"/>
      <c r="DC39" s="334"/>
      <c r="DD39" s="334"/>
      <c r="DE39" s="334"/>
      <c r="DF39" s="334"/>
      <c r="DG39" s="334"/>
      <c r="DH39" s="334"/>
      <c r="DI39" s="334"/>
      <c r="DJ39" s="334"/>
      <c r="DK39" s="334"/>
      <c r="DL39" s="334"/>
      <c r="DM39" s="334"/>
      <c r="DN39" s="149"/>
      <c r="DO39" s="149"/>
      <c r="DP39" s="334"/>
      <c r="DQ39" s="334"/>
      <c r="DR39" s="334"/>
      <c r="DS39" s="334"/>
      <c r="DT39" s="334"/>
      <c r="DU39" s="334"/>
      <c r="DV39" s="334"/>
      <c r="DW39" s="334"/>
      <c r="DX39" s="334"/>
      <c r="DY39" s="334"/>
      <c r="DZ39" s="334"/>
      <c r="EA39" s="149"/>
      <c r="EB39" s="149"/>
      <c r="EC39" s="334"/>
      <c r="ED39" s="334"/>
      <c r="EE39" s="334"/>
      <c r="EF39" s="334"/>
      <c r="EG39" s="334"/>
      <c r="EH39" s="334"/>
      <c r="EI39" s="334"/>
      <c r="EJ39" s="334"/>
      <c r="EK39" s="334"/>
      <c r="EL39" s="334"/>
      <c r="EM39" s="334"/>
      <c r="EN39" s="149"/>
      <c r="EO39" s="149"/>
      <c r="EP39" s="334"/>
      <c r="EQ39" s="334"/>
      <c r="ER39" s="334"/>
      <c r="ES39" s="334"/>
      <c r="ET39" s="334"/>
      <c r="EU39" s="334"/>
      <c r="EV39" s="334"/>
      <c r="EW39" s="334"/>
      <c r="EX39" s="334"/>
      <c r="EY39" s="334"/>
      <c r="EZ39" s="334"/>
      <c r="FA39" s="149"/>
      <c r="FB39" s="149"/>
      <c r="FC39" s="334"/>
      <c r="FD39" s="334"/>
      <c r="FE39" s="334"/>
      <c r="FF39" s="334"/>
      <c r="FG39" s="334"/>
      <c r="FH39" s="334"/>
      <c r="FI39" s="334"/>
      <c r="FJ39" s="334"/>
      <c r="FK39" s="334"/>
      <c r="FL39" s="334"/>
      <c r="FM39" s="334"/>
      <c r="FN39" s="149"/>
      <c r="FO39" s="149"/>
      <c r="FP39" s="334"/>
      <c r="FQ39" s="334"/>
      <c r="FR39" s="334"/>
      <c r="FS39" s="334"/>
      <c r="FT39" s="334"/>
      <c r="FU39" s="334"/>
      <c r="FV39" s="334"/>
      <c r="FW39" s="334"/>
      <c r="FX39" s="334"/>
      <c r="FY39" s="334"/>
      <c r="FZ39" s="334"/>
      <c r="GA39" s="149"/>
      <c r="GB39" s="149"/>
      <c r="GC39" s="334"/>
      <c r="GD39" s="334"/>
      <c r="GE39" s="334"/>
      <c r="GF39" s="334"/>
      <c r="GG39" s="334"/>
      <c r="GH39" s="334"/>
      <c r="GI39" s="334"/>
      <c r="GJ39" s="334"/>
      <c r="GK39" s="334"/>
      <c r="GL39" s="334"/>
      <c r="GM39" s="334"/>
      <c r="GN39" s="149"/>
      <c r="GO39" s="149"/>
      <c r="GP39" s="334"/>
      <c r="GQ39" s="334"/>
      <c r="GR39" s="334"/>
      <c r="GS39" s="334"/>
      <c r="GT39" s="334"/>
      <c r="GU39" s="334"/>
      <c r="GV39" s="334"/>
      <c r="GW39" s="334"/>
      <c r="GX39" s="334"/>
      <c r="GY39" s="334"/>
      <c r="GZ39" s="334"/>
      <c r="HA39" s="149"/>
      <c r="HB39" s="149"/>
      <c r="HC39" s="334"/>
      <c r="HD39" s="334"/>
      <c r="HE39" s="334"/>
      <c r="HF39" s="334"/>
      <c r="HG39" s="334"/>
      <c r="HH39" s="334"/>
      <c r="HI39" s="334"/>
      <c r="HJ39" s="334"/>
      <c r="HK39" s="334"/>
      <c r="HL39" s="334"/>
      <c r="HM39" s="334"/>
      <c r="HN39" s="149"/>
      <c r="HO39" s="149"/>
      <c r="HP39" s="334"/>
      <c r="HQ39" s="334"/>
      <c r="HR39" s="334"/>
      <c r="HS39" s="334"/>
      <c r="HT39" s="334"/>
      <c r="HU39" s="334"/>
      <c r="HV39" s="334"/>
      <c r="HW39" s="334"/>
      <c r="HX39" s="334"/>
      <c r="HY39" s="334"/>
      <c r="HZ39" s="334"/>
      <c r="IA39" s="149"/>
      <c r="IB39" s="149"/>
      <c r="IC39" s="334"/>
      <c r="ID39" s="334"/>
      <c r="IE39" s="334"/>
      <c r="IF39" s="334"/>
      <c r="IG39" s="334"/>
      <c r="IH39" s="334"/>
      <c r="II39" s="334"/>
      <c r="IJ39" s="334"/>
      <c r="IK39" s="334"/>
      <c r="IL39" s="334"/>
      <c r="IM39" s="334"/>
      <c r="IN39" s="149"/>
      <c r="IO39" s="149"/>
      <c r="IP39" s="334"/>
      <c r="IQ39" s="334"/>
      <c r="IR39" s="334"/>
      <c r="IS39" s="334"/>
      <c r="IT39" s="334"/>
      <c r="IU39" s="334"/>
      <c r="IV39" s="334"/>
    </row>
    <row r="40" spans="1:256" x14ac:dyDescent="0.2">
      <c r="A40" s="158"/>
      <c r="B40" s="149"/>
      <c r="C40" s="334"/>
      <c r="D40" s="334"/>
      <c r="E40" s="334"/>
      <c r="F40" s="334"/>
      <c r="G40" s="334"/>
      <c r="H40" s="334"/>
      <c r="I40" s="334"/>
      <c r="J40" s="334"/>
      <c r="K40" s="334"/>
      <c r="L40" s="334"/>
      <c r="M40" s="335"/>
      <c r="N40" s="152"/>
      <c r="O40" s="152"/>
      <c r="P40" s="339"/>
      <c r="Q40" s="339"/>
      <c r="R40" s="339"/>
      <c r="S40" s="339"/>
      <c r="T40" s="339"/>
      <c r="U40" s="339"/>
      <c r="V40" s="339"/>
      <c r="W40" s="339"/>
      <c r="X40" s="339"/>
      <c r="Y40" s="339"/>
      <c r="Z40" s="339"/>
      <c r="AA40" s="149"/>
      <c r="AB40" s="149"/>
      <c r="AC40" s="334"/>
      <c r="AD40" s="334"/>
      <c r="AE40" s="334"/>
      <c r="AF40" s="334"/>
      <c r="AG40" s="334"/>
      <c r="AH40" s="334"/>
      <c r="AI40" s="334"/>
      <c r="AJ40" s="334"/>
      <c r="AK40" s="334"/>
      <c r="AL40" s="334"/>
      <c r="AM40" s="334"/>
      <c r="AN40" s="149"/>
      <c r="AO40" s="149"/>
      <c r="AP40" s="334"/>
      <c r="AQ40" s="334"/>
      <c r="AR40" s="334"/>
      <c r="AS40" s="334"/>
      <c r="AT40" s="334"/>
      <c r="AU40" s="334"/>
      <c r="AV40" s="334"/>
      <c r="AW40" s="334"/>
      <c r="AX40" s="334"/>
      <c r="AY40" s="334"/>
      <c r="AZ40" s="334"/>
      <c r="BA40" s="149"/>
      <c r="BB40" s="149"/>
      <c r="BC40" s="334"/>
      <c r="BD40" s="334"/>
      <c r="BE40" s="334"/>
      <c r="BF40" s="334"/>
      <c r="BG40" s="334"/>
      <c r="BH40" s="334"/>
      <c r="BI40" s="334"/>
      <c r="BJ40" s="334"/>
      <c r="BK40" s="334"/>
      <c r="BL40" s="334"/>
      <c r="BM40" s="334"/>
      <c r="BN40" s="149"/>
      <c r="BO40" s="149"/>
      <c r="BP40" s="334"/>
      <c r="BQ40" s="334"/>
      <c r="BR40" s="334"/>
      <c r="BS40" s="334"/>
      <c r="BT40" s="334"/>
      <c r="BU40" s="334"/>
      <c r="BV40" s="334"/>
      <c r="BW40" s="334"/>
      <c r="BX40" s="334"/>
      <c r="BY40" s="334"/>
      <c r="BZ40" s="334"/>
      <c r="CA40" s="149"/>
      <c r="CB40" s="149"/>
      <c r="CC40" s="334"/>
      <c r="CD40" s="334"/>
      <c r="CE40" s="334"/>
      <c r="CF40" s="334"/>
      <c r="CG40" s="334"/>
      <c r="CH40" s="334"/>
      <c r="CI40" s="334"/>
      <c r="CJ40" s="334"/>
      <c r="CK40" s="334"/>
      <c r="CL40" s="334"/>
      <c r="CM40" s="334"/>
      <c r="CN40" s="149"/>
      <c r="CO40" s="149"/>
      <c r="CP40" s="334"/>
      <c r="CQ40" s="334"/>
      <c r="CR40" s="334"/>
      <c r="CS40" s="334"/>
      <c r="CT40" s="334"/>
      <c r="CU40" s="334"/>
      <c r="CV40" s="334"/>
      <c r="CW40" s="334"/>
      <c r="CX40" s="334"/>
      <c r="CY40" s="334"/>
      <c r="CZ40" s="334"/>
      <c r="DA40" s="149"/>
      <c r="DB40" s="149"/>
      <c r="DC40" s="334"/>
      <c r="DD40" s="334"/>
      <c r="DE40" s="334"/>
      <c r="DF40" s="334"/>
      <c r="DG40" s="334"/>
      <c r="DH40" s="334"/>
      <c r="DI40" s="334"/>
      <c r="DJ40" s="334"/>
      <c r="DK40" s="334"/>
      <c r="DL40" s="334"/>
      <c r="DM40" s="334"/>
      <c r="DN40" s="149"/>
      <c r="DO40" s="149"/>
      <c r="DP40" s="334"/>
      <c r="DQ40" s="334"/>
      <c r="DR40" s="334"/>
      <c r="DS40" s="334"/>
      <c r="DT40" s="334"/>
      <c r="DU40" s="334"/>
      <c r="DV40" s="334"/>
      <c r="DW40" s="334"/>
      <c r="DX40" s="334"/>
      <c r="DY40" s="334"/>
      <c r="DZ40" s="334"/>
      <c r="EA40" s="149"/>
      <c r="EB40" s="149"/>
      <c r="EC40" s="334"/>
      <c r="ED40" s="334"/>
      <c r="EE40" s="334"/>
      <c r="EF40" s="334"/>
      <c r="EG40" s="334"/>
      <c r="EH40" s="334"/>
      <c r="EI40" s="334"/>
      <c r="EJ40" s="334"/>
      <c r="EK40" s="334"/>
      <c r="EL40" s="334"/>
      <c r="EM40" s="334"/>
      <c r="EN40" s="149"/>
      <c r="EO40" s="149"/>
      <c r="EP40" s="334"/>
      <c r="EQ40" s="334"/>
      <c r="ER40" s="334"/>
      <c r="ES40" s="334"/>
      <c r="ET40" s="334"/>
      <c r="EU40" s="334"/>
      <c r="EV40" s="334"/>
      <c r="EW40" s="334"/>
      <c r="EX40" s="334"/>
      <c r="EY40" s="334"/>
      <c r="EZ40" s="334"/>
      <c r="FA40" s="149"/>
      <c r="FB40" s="149"/>
      <c r="FC40" s="334"/>
      <c r="FD40" s="334"/>
      <c r="FE40" s="334"/>
      <c r="FF40" s="334"/>
      <c r="FG40" s="334"/>
      <c r="FH40" s="334"/>
      <c r="FI40" s="334"/>
      <c r="FJ40" s="334"/>
      <c r="FK40" s="334"/>
      <c r="FL40" s="334"/>
      <c r="FM40" s="334"/>
      <c r="FN40" s="149"/>
      <c r="FO40" s="149"/>
      <c r="FP40" s="334"/>
      <c r="FQ40" s="334"/>
      <c r="FR40" s="334"/>
      <c r="FS40" s="334"/>
      <c r="FT40" s="334"/>
      <c r="FU40" s="334"/>
      <c r="FV40" s="334"/>
      <c r="FW40" s="334"/>
      <c r="FX40" s="334"/>
      <c r="FY40" s="334"/>
      <c r="FZ40" s="334"/>
      <c r="GA40" s="149"/>
      <c r="GB40" s="149"/>
      <c r="GC40" s="334"/>
      <c r="GD40" s="334"/>
      <c r="GE40" s="334"/>
      <c r="GF40" s="334"/>
      <c r="GG40" s="334"/>
      <c r="GH40" s="334"/>
      <c r="GI40" s="334"/>
      <c r="GJ40" s="334"/>
      <c r="GK40" s="334"/>
      <c r="GL40" s="334"/>
      <c r="GM40" s="334"/>
      <c r="GN40" s="149"/>
      <c r="GO40" s="149"/>
      <c r="GP40" s="334"/>
      <c r="GQ40" s="334"/>
      <c r="GR40" s="334"/>
      <c r="GS40" s="334"/>
      <c r="GT40" s="334"/>
      <c r="GU40" s="334"/>
      <c r="GV40" s="334"/>
      <c r="GW40" s="334"/>
      <c r="GX40" s="334"/>
      <c r="GY40" s="334"/>
      <c r="GZ40" s="334"/>
      <c r="HA40" s="149"/>
      <c r="HB40" s="149"/>
      <c r="HC40" s="334"/>
      <c r="HD40" s="334"/>
      <c r="HE40" s="334"/>
      <c r="HF40" s="334"/>
      <c r="HG40" s="334"/>
      <c r="HH40" s="334"/>
      <c r="HI40" s="334"/>
      <c r="HJ40" s="334"/>
      <c r="HK40" s="334"/>
      <c r="HL40" s="334"/>
      <c r="HM40" s="334"/>
      <c r="HN40" s="149"/>
      <c r="HO40" s="149"/>
      <c r="HP40" s="334"/>
      <c r="HQ40" s="334"/>
      <c r="HR40" s="334"/>
      <c r="HS40" s="334"/>
      <c r="HT40" s="334"/>
      <c r="HU40" s="334"/>
      <c r="HV40" s="334"/>
      <c r="HW40" s="334"/>
      <c r="HX40" s="334"/>
      <c r="HY40" s="334"/>
      <c r="HZ40" s="334"/>
      <c r="IA40" s="149"/>
      <c r="IB40" s="149"/>
      <c r="IC40" s="334"/>
      <c r="ID40" s="334"/>
      <c r="IE40" s="334"/>
      <c r="IF40" s="334"/>
      <c r="IG40" s="334"/>
      <c r="IH40" s="334"/>
      <c r="II40" s="334"/>
      <c r="IJ40" s="334"/>
      <c r="IK40" s="334"/>
      <c r="IL40" s="334"/>
      <c r="IM40" s="334"/>
      <c r="IN40" s="149"/>
      <c r="IO40" s="149"/>
      <c r="IP40" s="334"/>
      <c r="IQ40" s="334"/>
      <c r="IR40" s="334"/>
      <c r="IS40" s="334"/>
      <c r="IT40" s="334"/>
      <c r="IU40" s="334"/>
      <c r="IV40" s="334"/>
    </row>
    <row r="41" spans="1:256" x14ac:dyDescent="0.2">
      <c r="A41" s="158"/>
      <c r="B41" s="149"/>
      <c r="C41" s="334"/>
      <c r="D41" s="334"/>
      <c r="E41" s="334"/>
      <c r="F41" s="334"/>
      <c r="G41" s="334"/>
      <c r="H41" s="334"/>
      <c r="I41" s="334"/>
      <c r="J41" s="334"/>
      <c r="K41" s="334"/>
      <c r="L41" s="334"/>
      <c r="M41" s="335"/>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4"/>
      <c r="D42" s="334"/>
      <c r="E42" s="334"/>
      <c r="F42" s="334"/>
      <c r="G42" s="334"/>
      <c r="H42" s="334"/>
      <c r="I42" s="334"/>
      <c r="J42" s="334"/>
      <c r="K42" s="334"/>
      <c r="L42" s="334"/>
      <c r="M42" s="335"/>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4"/>
      <c r="D43" s="334"/>
      <c r="E43" s="334"/>
      <c r="F43" s="334"/>
      <c r="G43" s="334"/>
      <c r="H43" s="334"/>
      <c r="I43" s="334"/>
      <c r="J43" s="334"/>
      <c r="K43" s="334"/>
      <c r="L43" s="334"/>
      <c r="M43" s="335"/>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4"/>
      <c r="D44" s="334"/>
      <c r="E44" s="334"/>
      <c r="F44" s="334"/>
      <c r="G44" s="334"/>
      <c r="H44" s="334"/>
      <c r="I44" s="334"/>
      <c r="J44" s="334"/>
      <c r="K44" s="334"/>
      <c r="L44" s="334"/>
      <c r="M44" s="335"/>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4"/>
      <c r="D45" s="334"/>
      <c r="E45" s="334"/>
      <c r="F45" s="334"/>
      <c r="G45" s="334"/>
      <c r="H45" s="334"/>
      <c r="I45" s="334"/>
      <c r="J45" s="334"/>
      <c r="K45" s="334"/>
      <c r="L45" s="334"/>
      <c r="M45" s="335"/>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4"/>
      <c r="D46" s="334"/>
      <c r="E46" s="334"/>
      <c r="F46" s="334"/>
      <c r="G46" s="334"/>
      <c r="H46" s="334"/>
      <c r="I46" s="334"/>
      <c r="J46" s="334"/>
      <c r="K46" s="334"/>
      <c r="L46" s="334"/>
      <c r="M46" s="335"/>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4"/>
      <c r="D47" s="334"/>
      <c r="E47" s="334"/>
      <c r="F47" s="334"/>
      <c r="G47" s="334"/>
      <c r="H47" s="334"/>
      <c r="I47" s="334"/>
      <c r="J47" s="334"/>
      <c r="K47" s="334"/>
      <c r="L47" s="334"/>
      <c r="M47" s="335"/>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4"/>
      <c r="D48" s="334"/>
      <c r="E48" s="334"/>
      <c r="F48" s="334"/>
      <c r="G48" s="334"/>
      <c r="H48" s="334"/>
      <c r="I48" s="334"/>
      <c r="J48" s="334"/>
      <c r="K48" s="334"/>
      <c r="L48" s="334"/>
      <c r="M48" s="335"/>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4"/>
      <c r="D49" s="334"/>
      <c r="E49" s="334"/>
      <c r="F49" s="334"/>
      <c r="G49" s="334"/>
      <c r="H49" s="334"/>
      <c r="I49" s="334"/>
      <c r="J49" s="334"/>
      <c r="K49" s="334"/>
      <c r="L49" s="334"/>
      <c r="M49" s="335"/>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4"/>
      <c r="D50" s="334"/>
      <c r="E50" s="334"/>
      <c r="F50" s="334"/>
      <c r="G50" s="334"/>
      <c r="H50" s="334"/>
      <c r="I50" s="334"/>
      <c r="J50" s="334"/>
      <c r="K50" s="334"/>
      <c r="L50" s="334"/>
      <c r="M50" s="335"/>
    </row>
    <row r="51" spans="1:256" x14ac:dyDescent="0.2">
      <c r="A51" s="158"/>
      <c r="B51" s="149"/>
      <c r="C51" s="334"/>
      <c r="D51" s="334"/>
      <c r="E51" s="334"/>
      <c r="F51" s="334"/>
      <c r="G51" s="334"/>
      <c r="H51" s="334"/>
      <c r="I51" s="334"/>
      <c r="J51" s="334"/>
      <c r="K51" s="334"/>
      <c r="L51" s="334"/>
      <c r="M51" s="335"/>
    </row>
    <row r="52" spans="1:256" x14ac:dyDescent="0.2">
      <c r="A52" s="158"/>
      <c r="B52" s="149"/>
      <c r="C52" s="334"/>
      <c r="D52" s="334"/>
      <c r="E52" s="334"/>
      <c r="F52" s="334"/>
      <c r="G52" s="334"/>
      <c r="H52" s="334"/>
      <c r="I52" s="334"/>
      <c r="J52" s="334"/>
      <c r="K52" s="334"/>
      <c r="L52" s="334"/>
      <c r="M52" s="335"/>
    </row>
    <row r="53" spans="1:256" x14ac:dyDescent="0.2">
      <c r="A53" s="158"/>
      <c r="B53" s="149"/>
      <c r="C53" s="334"/>
      <c r="D53" s="334"/>
      <c r="E53" s="334"/>
      <c r="F53" s="334"/>
      <c r="G53" s="334"/>
      <c r="H53" s="334"/>
      <c r="I53" s="334"/>
      <c r="J53" s="334"/>
      <c r="K53" s="334"/>
      <c r="L53" s="334"/>
      <c r="M53" s="335"/>
    </row>
    <row r="54" spans="1:256" x14ac:dyDescent="0.2">
      <c r="A54" s="158"/>
      <c r="B54" s="149"/>
      <c r="C54" s="334"/>
      <c r="D54" s="334"/>
      <c r="E54" s="334"/>
      <c r="F54" s="334"/>
      <c r="G54" s="334"/>
      <c r="H54" s="334"/>
      <c r="I54" s="334"/>
      <c r="J54" s="334"/>
      <c r="K54" s="334"/>
      <c r="L54" s="334"/>
      <c r="M54" s="335"/>
    </row>
    <row r="55" spans="1:256" x14ac:dyDescent="0.2">
      <c r="A55" s="158"/>
      <c r="B55" s="149"/>
      <c r="C55" s="334"/>
      <c r="D55" s="334"/>
      <c r="E55" s="334"/>
      <c r="F55" s="334"/>
      <c r="G55" s="334"/>
      <c r="H55" s="334"/>
      <c r="I55" s="334"/>
      <c r="J55" s="334"/>
      <c r="K55" s="334"/>
      <c r="L55" s="334"/>
      <c r="M55" s="335"/>
    </row>
    <row r="56" spans="1:256" x14ac:dyDescent="0.2">
      <c r="A56" s="158"/>
      <c r="B56" s="149"/>
      <c r="C56" s="334"/>
      <c r="D56" s="334"/>
      <c r="E56" s="334"/>
      <c r="F56" s="334"/>
      <c r="G56" s="334"/>
      <c r="H56" s="334"/>
      <c r="I56" s="334"/>
      <c r="J56" s="334"/>
      <c r="K56" s="334"/>
      <c r="L56" s="334"/>
      <c r="M56" s="335"/>
    </row>
    <row r="57" spans="1:256" x14ac:dyDescent="0.2">
      <c r="A57" s="158"/>
      <c r="B57" s="149"/>
      <c r="C57" s="334"/>
      <c r="D57" s="334"/>
      <c r="E57" s="334"/>
      <c r="F57" s="334"/>
      <c r="G57" s="334"/>
      <c r="H57" s="334"/>
      <c r="I57" s="334"/>
      <c r="J57" s="334"/>
      <c r="K57" s="334"/>
      <c r="L57" s="334"/>
      <c r="M57" s="335"/>
    </row>
    <row r="58" spans="1:256" x14ac:dyDescent="0.2">
      <c r="A58" s="158"/>
      <c r="B58" s="149"/>
      <c r="C58" s="334"/>
      <c r="D58" s="334"/>
      <c r="E58" s="334"/>
      <c r="F58" s="334"/>
      <c r="G58" s="334"/>
      <c r="H58" s="334"/>
      <c r="I58" s="334"/>
      <c r="J58" s="334"/>
      <c r="K58" s="334"/>
      <c r="L58" s="334"/>
      <c r="M58" s="335"/>
    </row>
    <row r="59" spans="1:256" x14ac:dyDescent="0.2">
      <c r="A59" s="158"/>
      <c r="B59" s="149"/>
      <c r="C59" s="334"/>
      <c r="D59" s="334"/>
      <c r="E59" s="334"/>
      <c r="F59" s="334"/>
      <c r="G59" s="334"/>
      <c r="H59" s="334"/>
      <c r="I59" s="334"/>
      <c r="J59" s="334"/>
      <c r="K59" s="334"/>
      <c r="L59" s="334"/>
      <c r="M59" s="335"/>
    </row>
    <row r="60" spans="1:256" x14ac:dyDescent="0.2">
      <c r="A60" s="158"/>
      <c r="B60" s="149"/>
      <c r="C60" s="334"/>
      <c r="D60" s="334"/>
      <c r="E60" s="334"/>
      <c r="F60" s="334"/>
      <c r="G60" s="334"/>
      <c r="H60" s="334"/>
      <c r="I60" s="334"/>
      <c r="J60" s="334"/>
      <c r="K60" s="334"/>
      <c r="L60" s="334"/>
      <c r="M60" s="335"/>
    </row>
    <row r="61" spans="1:256" x14ac:dyDescent="0.2">
      <c r="A61" s="158"/>
      <c r="B61" s="149"/>
      <c r="C61" s="334"/>
      <c r="D61" s="334"/>
      <c r="E61" s="334"/>
      <c r="F61" s="334"/>
      <c r="G61" s="334"/>
      <c r="H61" s="334"/>
      <c r="I61" s="334"/>
      <c r="J61" s="334"/>
      <c r="K61" s="334"/>
      <c r="L61" s="334"/>
      <c r="M61" s="335"/>
    </row>
    <row r="62" spans="1:256" x14ac:dyDescent="0.2">
      <c r="A62" s="158"/>
      <c r="B62" s="149"/>
      <c r="C62" s="334"/>
      <c r="D62" s="334"/>
      <c r="E62" s="334"/>
      <c r="F62" s="334"/>
      <c r="G62" s="334"/>
      <c r="H62" s="334"/>
      <c r="I62" s="334"/>
      <c r="J62" s="334"/>
      <c r="K62" s="334"/>
      <c r="L62" s="334"/>
      <c r="M62" s="335"/>
    </row>
    <row r="63" spans="1:256" x14ac:dyDescent="0.2">
      <c r="A63" s="158"/>
      <c r="B63" s="149"/>
      <c r="C63" s="334"/>
      <c r="D63" s="334"/>
      <c r="E63" s="334"/>
      <c r="F63" s="334"/>
      <c r="G63" s="334"/>
      <c r="H63" s="334"/>
      <c r="I63" s="334"/>
      <c r="J63" s="334"/>
      <c r="K63" s="334"/>
      <c r="L63" s="334"/>
      <c r="M63" s="335"/>
    </row>
    <row r="64" spans="1:256" x14ac:dyDescent="0.2">
      <c r="A64" s="158"/>
      <c r="B64" s="149"/>
      <c r="C64" s="334"/>
      <c r="D64" s="334"/>
      <c r="E64" s="334"/>
      <c r="F64" s="334"/>
      <c r="G64" s="334"/>
      <c r="H64" s="334"/>
      <c r="I64" s="334"/>
      <c r="J64" s="334"/>
      <c r="K64" s="334"/>
      <c r="L64" s="334"/>
      <c r="M64" s="335"/>
    </row>
    <row r="65" spans="1:13" x14ac:dyDescent="0.2">
      <c r="A65" s="158"/>
      <c r="B65" s="149"/>
      <c r="C65" s="334"/>
      <c r="D65" s="334"/>
      <c r="E65" s="334"/>
      <c r="F65" s="334"/>
      <c r="G65" s="334"/>
      <c r="H65" s="334"/>
      <c r="I65" s="334"/>
      <c r="J65" s="334"/>
      <c r="K65" s="334"/>
      <c r="L65" s="334"/>
      <c r="M65" s="335"/>
    </row>
    <row r="66" spans="1:13" x14ac:dyDescent="0.2">
      <c r="A66" s="158"/>
      <c r="B66" s="149"/>
      <c r="C66" s="334"/>
      <c r="D66" s="334"/>
      <c r="E66" s="334"/>
      <c r="F66" s="334"/>
      <c r="G66" s="334"/>
      <c r="H66" s="334"/>
      <c r="I66" s="334"/>
      <c r="J66" s="334"/>
      <c r="K66" s="334"/>
      <c r="L66" s="334"/>
      <c r="M66" s="335"/>
    </row>
    <row r="67" spans="1:13" x14ac:dyDescent="0.2">
      <c r="A67" s="158"/>
      <c r="B67" s="149"/>
      <c r="C67" s="334"/>
      <c r="D67" s="334"/>
      <c r="E67" s="334"/>
      <c r="F67" s="334"/>
      <c r="G67" s="334"/>
      <c r="H67" s="334"/>
      <c r="I67" s="334"/>
      <c r="J67" s="334"/>
      <c r="K67" s="334"/>
      <c r="L67" s="334"/>
      <c r="M67" s="335"/>
    </row>
    <row r="68" spans="1:13" x14ac:dyDescent="0.2">
      <c r="A68" s="158"/>
      <c r="B68" s="149"/>
      <c r="C68" s="334"/>
      <c r="D68" s="334"/>
      <c r="E68" s="334"/>
      <c r="F68" s="334"/>
      <c r="G68" s="334"/>
      <c r="H68" s="334"/>
      <c r="I68" s="334"/>
      <c r="J68" s="334"/>
      <c r="K68" s="334"/>
      <c r="L68" s="334"/>
      <c r="M68" s="335"/>
    </row>
    <row r="69" spans="1:13" x14ac:dyDescent="0.2">
      <c r="A69" s="158"/>
      <c r="B69" s="149"/>
      <c r="C69" s="334"/>
      <c r="D69" s="334"/>
      <c r="E69" s="334"/>
      <c r="F69" s="334"/>
      <c r="G69" s="334"/>
      <c r="H69" s="334"/>
      <c r="I69" s="334"/>
      <c r="J69" s="334"/>
      <c r="K69" s="334"/>
      <c r="L69" s="334"/>
      <c r="M69" s="335"/>
    </row>
    <row r="70" spans="1:13" ht="12" thickBot="1" x14ac:dyDescent="0.25">
      <c r="A70" s="159"/>
      <c r="B70" s="160"/>
      <c r="C70" s="336"/>
      <c r="D70" s="336"/>
      <c r="E70" s="336"/>
      <c r="F70" s="336"/>
      <c r="G70" s="336"/>
      <c r="H70" s="336"/>
      <c r="I70" s="336"/>
      <c r="J70" s="336"/>
      <c r="K70" s="336"/>
      <c r="L70" s="336"/>
      <c r="M70" s="337"/>
    </row>
    <row r="71" spans="1:13" ht="12" thickTop="1" x14ac:dyDescent="0.2">
      <c r="A71" s="150"/>
      <c r="B71" s="150"/>
      <c r="C71" s="151"/>
      <c r="D71" s="151"/>
      <c r="E71" s="151"/>
      <c r="F71" s="151"/>
      <c r="G71" s="151"/>
      <c r="H71" s="151"/>
      <c r="I71" s="151"/>
      <c r="J71" s="151"/>
      <c r="K71" s="151"/>
      <c r="L71" s="151"/>
    </row>
    <row r="72" spans="1:13" ht="12.75" x14ac:dyDescent="0.2">
      <c r="A72" s="338" t="s">
        <v>828</v>
      </c>
      <c r="B72" s="338"/>
      <c r="C72" s="338"/>
      <c r="D72" s="338"/>
      <c r="E72" s="338"/>
    </row>
    <row r="73" spans="1:13" x14ac:dyDescent="0.2">
      <c r="A73" s="130" t="s">
        <v>761</v>
      </c>
      <c r="B73" s="130" t="s">
        <v>762</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66406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22</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f>IF('School Level Expenditures'!$B$2=A5,'School Tables'!H5,"")</f>
        <v>2</v>
      </c>
      <c r="J5" s="281">
        <f>IFERROR(SMALL($I$4:$I$325,ROWS($I$4:I5)),"")</f>
        <v>5</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IFERROR(SMALL($I$4:$I$325,ROWS($I$4:I6)),"")</f>
        <v>42</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IFERROR(SMALL($I$4:$I$325,ROWS($I$4:I7)),"")</f>
        <v>43</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f>IF('School Level Expenditures'!$B$2=A8,'School Tables'!H8,"")</f>
        <v>5</v>
      </c>
      <c r="J8" s="281">
        <f>IFERROR(SMALL($I$4:$I$325,ROWS($I$4:I8)),"")</f>
        <v>86</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f>IFERROR(SMALL($I$4:$I$325,ROWS($I$4:I9)),"")</f>
        <v>211</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f>IFERROR(SMALL($I$4:$I$325,ROWS($I$4:I10)),"")</f>
        <v>227</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f>IFERROR(SMALL($I$4:$I$325,ROWS($I$4:I11)),"")</f>
        <v>274</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f>IFERROR(SMALL($I$4:$I$325,ROWS($I$4:I12)),"")</f>
        <v>307</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f>IFERROR(SMALL($I$4:$I$325,ROWS($I$4:I13)),"")</f>
        <v>309</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f>IFERROR(SMALL($I$4:$I$325,ROWS($I$4:I14)),"")</f>
        <v>310</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f>IF('School Level Expenditures'!$B$2='School Tables'!W25,'School Tables'!AD25,"")</f>
        <v>22</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f>IF('School Level Expenditures'!$B$2=A45,'School Tables'!H45,"")</f>
        <v>42</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f>IF('School Level Expenditures'!$B$2=A46,'School Tables'!H46,"")</f>
        <v>43</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f>IF('School Level Expenditures'!$B$2=A89,'School Tables'!H89,"")</f>
        <v>86</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38.2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63.75"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63.75"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f>IF('School Level Expenditures'!$B$2=A214,'School Tables'!H214,"")</f>
        <v>211</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f>IF('School Level Expenditures'!$B$2=A230,'School Tables'!H230,"")</f>
        <v>227</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f>IF('School Level Expenditures'!$B$2=A277,'School Tables'!H277,"")</f>
        <v>274</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f>IF('School Level Expenditures'!$B$2=A310,'School Tables'!H310,"")</f>
        <v>307</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f>IF('School Level Expenditures'!$B$2=A312,'School Tables'!H312,"")</f>
        <v>309</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f>IF('School Level Expenditures'!$B$2=A313,'School Tables'!H313,"")</f>
        <v>310</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2024-12-05T22:11:17Z</cp:lastPrinted>
  <dcterms:created xsi:type="dcterms:W3CDTF">1997-12-04T19:04:30Z</dcterms:created>
  <dcterms:modified xsi:type="dcterms:W3CDTF">2024-12-20T18:44:31Z</dcterms:modified>
</cp:coreProperties>
</file>