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AB404C3E-FCB5-4A78-AB36-24A167D03281}"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20" i="1" l="1"/>
  <c r="H315" i="1"/>
  <c r="F315" i="1"/>
  <c r="H282" i="1"/>
  <c r="I277" i="1"/>
  <c r="G246" i="1"/>
  <c r="K245" i="1"/>
  <c r="I245" i="1"/>
  <c r="H245" i="1"/>
  <c r="G245" i="1"/>
  <c r="F245" i="1"/>
  <c r="I244" i="1"/>
  <c r="H244" i="1"/>
  <c r="K243" i="1"/>
  <c r="I243" i="1"/>
  <c r="H243" i="1"/>
  <c r="G243" i="1"/>
  <c r="F243" i="1"/>
  <c r="K241" i="1"/>
  <c r="H241" i="1"/>
  <c r="G241" i="1"/>
  <c r="F241" i="1"/>
  <c r="I240" i="1"/>
  <c r="H240" i="1"/>
  <c r="F240" i="1"/>
  <c r="J239" i="1"/>
  <c r="I239" i="1"/>
  <c r="H239" i="1"/>
  <c r="G239" i="1"/>
  <c r="F239" i="1"/>
  <c r="I237" i="1"/>
  <c r="G237" i="1"/>
  <c r="F237" i="1"/>
  <c r="K210" i="1"/>
  <c r="J210" i="1"/>
  <c r="I210" i="1"/>
  <c r="H210" i="1"/>
  <c r="G210" i="1"/>
  <c r="F210" i="1"/>
  <c r="K209" i="1"/>
  <c r="I209" i="1"/>
  <c r="H209" i="1"/>
  <c r="G209" i="1"/>
  <c r="F209" i="1"/>
  <c r="I208" i="1"/>
  <c r="H208" i="1"/>
  <c r="K205" i="1"/>
  <c r="H205" i="1"/>
  <c r="G205" i="1"/>
  <c r="F205" i="1"/>
  <c r="I204" i="1"/>
  <c r="H204" i="1"/>
  <c r="G204" i="1"/>
  <c r="F204" i="1"/>
  <c r="H203" i="1"/>
  <c r="G203" i="1"/>
  <c r="F203" i="1"/>
  <c r="G201" i="1"/>
  <c r="F201"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E125" i="2" s="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F121" i="1"/>
  <c r="F136" i="1"/>
  <c r="G121" i="1"/>
  <c r="G136" i="1"/>
  <c r="H121" i="1"/>
  <c r="H136" i="1"/>
  <c r="I121" i="1"/>
  <c r="I136" i="1"/>
  <c r="J121" i="1"/>
  <c r="J136" i="1"/>
  <c r="F147" i="1"/>
  <c r="F170" i="1" s="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143" i="2" l="1"/>
  <c r="H94" i="2"/>
  <c r="H26" i="2"/>
  <c r="H58" i="2"/>
  <c r="J652" i="1"/>
  <c r="H101" i="2"/>
  <c r="H98" i="2"/>
  <c r="H76" i="2"/>
  <c r="H11" i="2"/>
  <c r="G663" i="1"/>
  <c r="C125" i="2"/>
  <c r="H125" i="2" s="1"/>
  <c r="I409" i="1"/>
  <c r="H135" i="2"/>
  <c r="D18" i="13"/>
  <c r="C18" i="13" s="1"/>
  <c r="J112" i="1"/>
  <c r="J194" i="1" s="1"/>
  <c r="G647" i="1" s="1"/>
  <c r="H100" i="2"/>
  <c r="H79" i="2"/>
  <c r="J140" i="1"/>
  <c r="C32" i="10"/>
  <c r="G409" i="1"/>
  <c r="H646" i="1" s="1"/>
  <c r="H140" i="1"/>
  <c r="G62" i="2"/>
  <c r="K36" i="14"/>
  <c r="K37" i="14" s="1"/>
  <c r="D144" i="2"/>
  <c r="H89" i="2"/>
  <c r="H93" i="2"/>
  <c r="H80" i="2"/>
  <c r="H22" i="2"/>
  <c r="H34" i="2"/>
  <c r="H13" i="2"/>
  <c r="H47" i="2"/>
  <c r="H28" i="2"/>
  <c r="H24" i="2"/>
  <c r="H132" i="2"/>
  <c r="H36" i="2"/>
  <c r="H43" i="2"/>
  <c r="H48" i="2"/>
  <c r="H61" i="2"/>
  <c r="H72" i="2"/>
  <c r="H30" i="2"/>
  <c r="H27" i="2"/>
  <c r="H12" i="2"/>
  <c r="H97" i="2"/>
  <c r="H102" i="2"/>
  <c r="H99" i="2"/>
  <c r="H23" i="2"/>
  <c r="H15" i="2"/>
  <c r="H96" i="2"/>
  <c r="H87" i="2"/>
  <c r="H77" i="2"/>
  <c r="H59" i="2"/>
  <c r="H35" i="2"/>
  <c r="H38" i="2"/>
  <c r="H44" i="2"/>
  <c r="H69" i="2"/>
  <c r="H29" i="2"/>
  <c r="H17" i="2"/>
  <c r="G477" i="1"/>
  <c r="H624" i="1" s="1"/>
  <c r="J624" i="1" s="1"/>
  <c r="H477" i="1"/>
  <c r="H625" i="1" s="1"/>
  <c r="J625" i="1" s="1"/>
  <c r="H9" i="2"/>
  <c r="D29" i="13"/>
  <c r="C29" i="13" s="1"/>
  <c r="E124" i="2"/>
  <c r="E120" i="2"/>
  <c r="H112" i="2"/>
  <c r="E13" i="13"/>
  <c r="C13" i="13" s="1"/>
  <c r="C13" i="10"/>
  <c r="C12" i="10"/>
  <c r="D15" i="13"/>
  <c r="C15" i="13" s="1"/>
  <c r="C120" i="2"/>
  <c r="C119" i="2"/>
  <c r="K2" i="14"/>
  <c r="K3" i="14" s="1"/>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I662" i="1" s="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J51" i="1"/>
  <c r="G16" i="2"/>
  <c r="G18" i="2" s="1"/>
  <c r="J19" i="1"/>
  <c r="G622" i="1" s="1"/>
  <c r="F546" i="1"/>
  <c r="H435" i="1"/>
  <c r="D103" i="2"/>
  <c r="I140" i="1"/>
  <c r="A22" i="12"/>
  <c r="J653" i="1"/>
  <c r="G572" i="1"/>
  <c r="I435" i="1"/>
  <c r="G435" i="1"/>
  <c r="I664" i="1"/>
  <c r="H124" i="2" l="1"/>
  <c r="H119" i="2"/>
  <c r="B33" i="16"/>
  <c r="L572" i="1"/>
  <c r="H31" i="2"/>
  <c r="H62" i="2"/>
  <c r="H85" i="2"/>
  <c r="H16" i="2"/>
  <c r="H131" i="2"/>
  <c r="H103" i="2"/>
  <c r="H21" i="2"/>
  <c r="D51" i="2"/>
  <c r="H120" i="2"/>
  <c r="H57" i="2"/>
  <c r="H91" i="2"/>
  <c r="H114" i="2"/>
  <c r="H134" i="2"/>
  <c r="G50" i="2"/>
  <c r="H50" i="2" s="1"/>
  <c r="H42" i="2"/>
  <c r="D128" i="2"/>
  <c r="D145" i="2" s="1"/>
  <c r="H127" i="2"/>
  <c r="H123" i="2"/>
  <c r="H122" i="2"/>
  <c r="I663" i="1"/>
  <c r="C81" i="2"/>
  <c r="H81" i="2" s="1"/>
  <c r="H78" i="2"/>
  <c r="F194" i="1"/>
  <c r="G628" i="1" s="1"/>
  <c r="J628" i="1" s="1"/>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51" i="2" l="1"/>
  <c r="H51" i="2" s="1"/>
  <c r="C144" i="2"/>
  <c r="H144" i="2" s="1"/>
  <c r="H141" i="2"/>
  <c r="C104" i="2"/>
  <c r="H104" i="2" s="1"/>
  <c r="H63"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<sst xmlns="http://schemas.openxmlformats.org/spreadsheetml/2006/main" count="6644" uniqueCount="1846">
  <si>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</si>
  <si>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</si>
  <si>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</si>
  <si>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</si>
  <si>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</si>
  <si>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</si>
  <si>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</si>
  <si>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</si>
  <si>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</si>
  <si>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</si>
  <si>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</si>
  <si>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</si>
  <si>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</si>
  <si>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</si>
  <si>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</si>
  <si>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</si>
  <si>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</si>
  <si>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</si>
  <si>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</si>
  <si>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</si>
  <si>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</si>
  <si>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</si>
  <si>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</si>
  <si>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</si>
  <si>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</si>
  <si>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</si>
  <si>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</si>
  <si>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</si>
  <si>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</si>
  <si>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</si>
  <si>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</si>
  <si>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</si>
  <si>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</si>
  <si>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</si>
  <si>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</si>
  <si>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</si>
  <si>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</si>
  <si>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</si>
  <si>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</si>
  <si>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</si>
  <si>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</si>
  <si>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</si>
  <si>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</si>
  <si>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</si>
  <si>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</si>
  <si>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</si>
  <si>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</si>
  <si>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</si>
  <si>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</si>
  <si>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</si>
  <si>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</si>
  <si>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</si>
  <si>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</si>
  <si>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</si>
  <si>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</si>
  <si>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</si>
  <si>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</si>
  <si>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</si>
  <si>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</si>
  <si>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</si>
  <si>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</si>
  <si>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</si>
  <si>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</si>
  <si>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</si>
  <si>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</si>
  <si>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</si>
  <si>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</si>
  <si>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</si>
  <si>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</si>
  <si>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</si>
  <si>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</si>
  <si>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</si>
  <si>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</si>
  <si>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</si>
  <si>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</si>
  <si>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</si>
  <si>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</si>
  <si>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</si>
  <si>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</si>
  <si>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</si>
  <si>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</si>
  <si>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</si>
  <si>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</si>
  <si>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</si>
  <si>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</si>
  <si>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</si>
  <si>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</si>
  <si>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</si>
  <si>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</si>
  <si>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</si>
  <si>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</si>
  <si>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</si>
  <si>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</si>
  <si>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</si>
  <si>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</si>
  <si>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</si>
  <si>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</si>
  <si>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</si>
  <si>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</si>
  <si>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</si>
  <si>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</si>
  <si>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</si>
  <si>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</si>
  <si>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</si>
  <si>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</si>
  <si>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</si>
  <si>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</si>
  <si>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</si>
  <si>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</si>
  <si>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</si>
  <si>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</si>
  <si>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</si>
  <si>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</si>
  <si>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</si>
  <si>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</si>
  <si>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</si>
  <si>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</si>
  <si>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</si>
  <si>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</si>
  <si>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</si>
  <si>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</si>
  <si>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</si>
  <si>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</si>
  <si>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</si>
  <si>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</si>
  <si>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</si>
  <si>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</si>
  <si>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</si>
  <si>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</si>
  <si>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</si>
  <si>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</si>
  <si>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</si>
  <si>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</si>
  <si>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</si>
  <si>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</si>
  <si>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</si>
  <si>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</si>
  <si>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</si>
  <si>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</si>
  <si>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</si>
  <si>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</si>
  <si>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</si>
  <si>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</si>
  <si>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</si>
  <si>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</si>
  <si>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</si>
  <si>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</si>
  <si>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</si>
  <si>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</si>
  <si>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</si>
  <si>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</si>
  <si>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</si>
  <si>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</si>
  <si>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</si>
  <si>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</si>
  <si>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</si>
  <si>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</si>
  <si>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</si>
  <si>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</si>
  <si>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</si>
  <si>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</si>
  <si>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</si>
  <si>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</si>
  <si>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</si>
  <si>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</si>
  <si>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</si>
  <si>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</si>
  <si>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</si>
  <si>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</si>
  <si>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</si>
  <si>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</si>
  <si>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</si>
  <si>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</si>
  <si>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</si>
  <si>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</si>
  <si>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</si>
  <si>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</si>
  <si>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</si>
  <si>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</si>
  <si>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</si>
  <si>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</si>
  <si>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</si>
  <si>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</si>
  <si>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</si>
  <si>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</si>
  <si>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</si>
  <si>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</si>
  <si>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</si>
  <si>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</si>
  <si>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</si>
  <si>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</si>
  <si>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</si>
  <si>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</si>
  <si>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</si>
  <si>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</si>
  <si>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</si>
  <si>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</si>
  <si>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</si>
  <si>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</si>
  <si>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</si>
  <si>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</si>
  <si>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</si>
  <si>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</si>
  <si>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</si>
  <si>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</si>
  <si>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</si>
  <si>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</si>
  <si>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</si>
  <si>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</si>
  <si>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</si>
  <si>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</si>
  <si>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</si>
  <si>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</si>
  <si>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</si>
  <si>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</si>
  <si>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</si>
  <si>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</si>
  <si>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</si>
  <si>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</si>
  <si>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</si>
  <si>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</si>
  <si>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</si>
  <si>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</si>
  <si>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</si>
  <si>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</si>
  <si>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</si>
  <si>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</si>
  <si>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</si>
  <si>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</si>
  <si>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</si>
  <si>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</si>
  <si>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</si>
  <si>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</si>
  <si>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</si>
  <si>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</si>
  <si>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</si>
  <si>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</si>
  <si>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</si>
  <si>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</si>
  <si>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</si>
  <si>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</si>
  <si>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</si>
  <si>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</si>
  <si>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</si>
  <si>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</si>
  <si>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</si>
  <si>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</si>
  <si>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</si>
  <si>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</si>
  <si>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</si>
  <si>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</si>
  <si>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</si>
  <si>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</si>
  <si>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</si>
  <si>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</si>
  <si>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</si>
  <si>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</si>
  <si>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</si>
  <si>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</si>
  <si>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</si>
  <si>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</si>
  <si>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</si>
  <si>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</si>
  <si>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</si>
  <si>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</si>
  <si>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</si>
  <si>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</si>
  <si>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</si>
  <si>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</si>
  <si>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</si>
  <si>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</si>
  <si>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</si>
  <si>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</si>
  <si>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</si>
  <si>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</si>
  <si>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</si>
  <si>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</si>
  <si>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</si>
  <si>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</si>
  <si>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</si>
  <si>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</si>
  <si>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</si>
  <si>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</si>
  <si>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</si>
  <si>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</si>
  <si>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</si>
  <si>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</si>
  <si>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</si>
  <si>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</si>
  <si>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</si>
  <si>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</si>
  <si>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</si>
  <si>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</si>
  <si>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</si>
  <si>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</si>
  <si>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</si>
  <si>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</si>
  <si>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</si>
  <si>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</si>
  <si>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</si>
  <si>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</si>
  <si>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</si>
  <si>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</si>
  <si>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</si>
  <si>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</si>
  <si>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</si>
  <si>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</si>
  <si>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</si>
  <si>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</si>
  <si>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</si>
  <si>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</si>
  <si>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</si>
  <si>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</si>
  <si>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</si>
  <si>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</si>
  <si>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</si>
  <si>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</si>
  <si>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</si>
  <si>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</si>
  <si>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</si>
  <si>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</si>
  <si>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</si>
  <si>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</si>
  <si>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</si>
  <si>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</si>
  <si>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</si>
  <si>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</si>
  <si>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</si>
  <si>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</si>
  <si>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</si>
  <si>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</si>
  <si>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</si>
  <si>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</si>
  <si>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</si>
  <si>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</si>
  <si>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</si>
  <si>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</si>
  <si>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</si>
  <si>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</si>
  <si>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</si>
  <si>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</si>
  <si>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</si>
  <si>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</si>
  <si>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</si>
  <si>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</si>
  <si>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</si>
  <si>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</si>
  <si>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</si>
  <si>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</si>
  <si>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</si>
  <si>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</si>
  <si>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</si>
  <si>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</si>
  <si>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</si>
  <si>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</si>
  <si>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</si>
  <si>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</si>
  <si>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</si>
  <si>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</si>
  <si>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</si>
  <si>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</si>
  <si>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</si>
  <si>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</si>
  <si>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</si>
  <si>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</si>
  <si>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</si>
  <si>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</si>
  <si>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</si>
  <si>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</si>
  <si>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</si>
  <si>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</si>
  <si>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</si>
  <si>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</si>
  <si>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</si>
  <si>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</si>
  <si>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</si>
  <si>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</si>
  <si>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</si>
  <si>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</si>
  <si>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</si>
  <si>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</si>
  <si>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</si>
  <si>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</si>
  <si>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</si>
  <si>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</si>
  <si>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</si>
  <si>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</si>
  <si>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</si>
  <si>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</si>
  <si>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</si>
  <si>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</si>
  <si>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</si>
  <si>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</si>
  <si>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</si>
  <si>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</si>
  <si>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</si>
  <si>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</si>
  <si>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</si>
  <si>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</si>
  <si>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</si>
  <si>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</si>
  <si>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</si>
  <si>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</si>
  <si>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</si>
  <si>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</si>
  <si>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</si>
  <si>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</si>
  <si>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</si>
  <si>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</si>
  <si>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</si>
  <si>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</si>
  <si>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</si>
  <si>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</si>
  <si>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</si>
  <si>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</si>
  <si>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</si>
  <si>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</si>
  <si>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</si>
  <si>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</si>
  <si>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</si>
  <si>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</si>
  <si>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</si>
  <si>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</si>
  <si>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</si>
  <si>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</si>
  <si>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</si>
  <si>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</si>
  <si>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</si>
  <si>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</si>
  <si>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</si>
  <si>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</si>
  <si>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</si>
  <si>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</si>
  <si>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</si>
  <si>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</si>
  <si>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</si>
  <si>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</si>
  <si>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</si>
  <si>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</si>
  <si>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</si>
  <si>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</si>
  <si>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</si>
  <si>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</si>
  <si>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</si>
  <si>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</si>
  <si>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</si>
  <si>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</si>
  <si>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</si>
  <si>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</si>
  <si>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</si>
  <si>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</si>
  <si>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</si>
  <si>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</si>
  <si>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</si>
  <si>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</si>
  <si>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</si>
  <si>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</si>
  <si>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</si>
  <si>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</si>
  <si>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</si>
  <si>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</si>
  <si>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</si>
  <si>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</si>
  <si>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</si>
  <si>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</si>
  <si>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</si>
  <si>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</si>
  <si>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</si>
  <si>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</si>
  <si>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</si>
  <si>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</si>
  <si>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</si>
  <si>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</si>
  <si>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</si>
  <si>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</si>
  <si>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</si>
  <si>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</si>
  <si>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</si>
  <si>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</si>
  <si>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</si>
  <si>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</si>
  <si>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</si>
  <si>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</si>
  <si>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</si>
  <si>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</si>
  <si>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</si>
  <si>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</si>
  <si>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</si>
  <si>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</si>
  <si>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</si>
  <si>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</si>
  <si>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</si>
  <si>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</si>
  <si>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</si>
  <si>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</si>
  <si>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</si>
  <si>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</si>
  <si>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</si>
  <si>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</si>
  <si>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</si>
  <si>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</si>
  <si>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</si>
  <si>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</si>
  <si>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</si>
  <si>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</si>
  <si>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</si>
  <si>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</si>
  <si>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</si>
  <si>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</si>
  <si>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</si>
  <si>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</si>
  <si>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</si>
  <si>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</si>
  <si>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</si>
  <si>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</si>
  <si>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</si>
  <si>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</si>
  <si>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</si>
  <si>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</si>
  <si>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</si>
  <si>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</si>
  <si>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</si>
  <si>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</si>
  <si>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</si>
  <si>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</si>
  <si>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</si>
  <si>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</si>
  <si>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</si>
  <si>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</si>
  <si>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</si>
  <si>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</si>
  <si>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</si>
  <si>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</si>
  <si>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</si>
  <si>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</si>
  <si>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</si>
  <si>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</si>
  <si>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</si>
  <si>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</si>
  <si>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</si>
  <si>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</si>
  <si>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</si>
  <si>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</si>
  <si>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</si>
  <si>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</si>
  <si>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</si>
  <si>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</si>
  <si>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</si>
  <si>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</si>
  <si>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</si>
  <si>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</si>
  <si>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</si>
  <si>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</si>
  <si>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</si>
  <si>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</si>
  <si>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</si>
  <si>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</si>
  <si>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</si>
  <si>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</si>
  <si>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</si>
  <si>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</si>
  <si>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</si>
  <si>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</si>
  <si>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</si>
  <si>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</si>
  <si>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</si>
  <si>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</si>
  <si>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</si>
  <si>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</si>
  <si>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</si>
  <si>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</si>
  <si>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</si>
  <si>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</si>
  <si>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</si>
  <si>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</si>
  <si>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</si>
  <si>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</si>
  <si>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</si>
  <si>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</si>
  <si>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</si>
  <si>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</si>
  <si>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</si>
  <si>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</si>
  <si>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</si>
  <si>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</si>
  <si>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</si>
  <si>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</si>
  <si>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</si>
  <si>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</si>
  <si>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</si>
  <si>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</si>
  <si>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</si>
  <si>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</si>
  <si>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</si>
  <si>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</si>
  <si>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</si>
  <si>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</si>
  <si>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</si>
  <si>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</si>
  <si>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</si>
  <si>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</si>
  <si>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</si>
  <si>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</si>
  <si>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</si>
  <si>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</si>
  <si>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</si>
  <si>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</si>
  <si>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</si>
  <si>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</si>
  <si>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</si>
  <si>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</si>
  <si>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</si>
  <si>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</si>
  <si>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</si>
  <si>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</si>
  <si>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</si>
  <si>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</si>
  <si>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</si>
  <si>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</si>
  <si>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</si>
  <si>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</si>
  <si>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</si>
  <si>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</si>
  <si>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</si>
  <si>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</si>
  <si>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</si>
  <si>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</si>
  <si>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</si>
  <si>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</si>
  <si>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</si>
  <si>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</si>
  <si>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</si>
  <si>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</si>
  <si>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</si>
  <si>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</si>
  <si>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</si>
  <si>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</si>
  <si>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</si>
  <si>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</si>
  <si>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</si>
  <si>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</si>
  <si>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</si>
  <si>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</si>
  <si>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</si>
  <si>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</si>
  <si>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</si>
  <si>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</si>
  <si>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</si>
  <si>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</si>
  <si>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</si>
  <si>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</si>
  <si>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</si>
  <si>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</si>
  <si>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</si>
  <si>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</si>
  <si>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</si>
  <si>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</si>
  <si>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</si>
  <si>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</si>
  <si>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</si>
  <si>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</si>
  <si>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</si>
  <si>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</si>
  <si>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</si>
  <si>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</si>
  <si>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</si>
  <si>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</si>
  <si>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</si>
  <si>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</si>
  <si>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</si>
  <si>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</si>
  <si>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</si>
  <si>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</si>
  <si>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</si>
  <si>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</si>
  <si>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</si>
  <si>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</si>
  <si>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</si>
  <si>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</si>
  <si>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</si>
  <si>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</si>
  <si>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</si>
  <si>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</si>
  <si>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</si>
  <si>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</si>
  <si>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</si>
  <si>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</si>
  <si>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</si>
  <si>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</si>
  <si>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</si>
  <si>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</si>
  <si>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</si>
  <si>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</si>
  <si>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</si>
  <si>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</si>
  <si>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</si>
  <si>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</si>
  <si>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</si>
  <si>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</si>
  <si>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</si>
  <si>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</si>
  <si>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</si>
  <si>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</si>
  <si>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</si>
  <si>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</si>
  <si>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</si>
  <si>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</si>
  <si>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</si>
  <si>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</si>
  <si>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</si>
  <si>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</si>
  <si>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</si>
  <si>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</si>
  <si>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</si>
  <si>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</si>
  <si>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</si>
  <si>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</si>
  <si>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</si>
  <si>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</si>
  <si>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</si>
  <si>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</si>
  <si>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</si>
  <si>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</si>
  <si>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</si>
  <si>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</si>
  <si>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</si>
  <si>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</si>
  <si>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</si>
  <si>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</si>
  <si>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</si>
  <si>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</si>
  <si>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</si>
  <si>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</si>
  <si>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</si>
  <si>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</si>
  <si>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</si>
  <si>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</si>
  <si>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</si>
  <si>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</si>
  <si>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</si>
  <si>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</si>
  <si>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</si>
  <si>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</si>
  <si>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</si>
  <si>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</si>
  <si>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</si>
  <si>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</si>
  <si>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</si>
  <si>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</si>
  <si>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</si>
  <si>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</si>
  <si>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</si>
  <si>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</si>
  <si>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</si>
  <si>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</si>
  <si>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</si>
  <si>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</si>
  <si>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</si>
  <si>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</si>
  <si>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</si>
  <si>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</si>
  <si>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</si>
  <si>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</si>
  <si>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</si>
  <si>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</si>
  <si>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</si>
  <si>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</si>
  <si>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</si>
  <si>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</si>
  <si>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</si>
  <si>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</si>
  <si>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</si>
  <si>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</si>
  <si>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</si>
  <si>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</si>
  <si>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</si>
  <si>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</si>
  <si>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</si>
  <si>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</si>
  <si>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</si>
  <si>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</si>
  <si>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</si>
  <si>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</si>
  <si>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</si>
  <si>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</si>
  <si>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</si>
  <si>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</si>
  <si>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</si>
  <si>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</si>
  <si>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</si>
  <si>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</si>
  <si>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</si>
  <si>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</si>
  <si>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</si>
  <si>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</si>
  <si>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</si>
  <si>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</si>
  <si>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</si>
  <si>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</si>
  <si>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</si>
  <si>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</si>
  <si>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</si>
  <si>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</si>
  <si>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</si>
  <si>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</si>
  <si>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</si>
  <si>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</si>
  <si>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</si>
  <si>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</si>
  <si>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</si>
  <si>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</si>
  <si>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</si>
  <si>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</si>
  <si>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</si>
  <si>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</si>
  <si>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</si>
  <si>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</si>
  <si>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</si>
  <si>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</si>
  <si>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</si>
  <si>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</si>
  <si>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</si>
  <si>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</si>
  <si>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</si>
  <si>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</si>
  <si>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</si>
  <si>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</si>
  <si>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</si>
  <si>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</si>
  <si>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</si>
  <si>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</si>
  <si>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</si>
  <si>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</si>
  <si>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</si>
  <si>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</si>
  <si>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</si>
  <si>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</si>
  <si>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</si>
  <si>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</si>
  <si>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</si>
  <si>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</si>
  <si>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</si>
  <si>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</si>
  <si>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</si>
  <si>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</si>
  <si>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</si>
  <si>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</si>
  <si>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</si>
  <si>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</si>
  <si>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</si>
  <si>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</si>
  <si>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</si>
  <si>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</si>
  <si>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</si>
  <si>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</si>
  <si>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</si>
  <si>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</si>
  <si>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</si>
  <si>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</si>
  <si>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</si>
  <si>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</si>
  <si>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</si>
  <si>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</si>
  <si>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</si>
  <si>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</si>
  <si>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</si>
  <si>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</si>
  <si>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</si>
  <si>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</si>
  <si>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</si>
  <si>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</si>
  <si>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</si>
  <si>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</si>
  <si>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</si>
  <si>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</si>
  <si>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</si>
  <si>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</si>
  <si>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</si>
  <si>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</si>
  <si>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</si>
  <si>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</si>
  <si>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</si>
  <si>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</si>
  <si>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</si>
  <si>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</si>
  <si>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</si>
  <si>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</si>
  <si>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</si>
  <si>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</si>
  <si>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</si>
  <si>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</si>
  <si>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</si>
  <si>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</si>
  <si>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</si>
  <si>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</si>
  <si>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</si>
  <si>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</si>
  <si>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</si>
  <si>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</si>
  <si>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</si>
  <si>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</si>
  <si>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</si>
  <si>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</si>
  <si>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</si>
  <si>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</si>
  <si>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</si>
  <si>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</si>
  <si>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</si>
  <si>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</si>
  <si>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</si>
  <si>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</si>
  <si>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</si>
  <si>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</si>
  <si>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</si>
  <si>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</si>
  <si>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</si>
  <si>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</si>
  <si>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</si>
  <si>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</si>
  <si>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</si>
  <si>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</si>
  <si>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</si>
  <si>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</si>
  <si>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</si>
  <si>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</si>
  <si>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</si>
  <si>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</si>
  <si>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</si>
  <si>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</si>
  <si>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</si>
  <si>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</si>
  <si>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</si>
  <si>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</si>
  <si>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</si>
  <si>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</si>
  <si>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</si>
  <si>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</si>
  <si>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</si>
  <si>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</si>
  <si>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</si>
  <si>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</si>
  <si>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</si>
  <si>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</si>
  <si>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</si>
  <si>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</si>
  <si>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</si>
  <si>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</si>
  <si>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</si>
  <si>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</si>
  <si>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</si>
  <si>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</si>
  <si>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</si>
  <si>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</si>
  <si>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</si>
  <si>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</si>
  <si>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</si>
  <si>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</si>
  <si>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</si>
  <si>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</si>
  <si>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</si>
  <si>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</si>
  <si>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</si>
  <si>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</si>
  <si>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</si>
  <si>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</si>
  <si>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</si>
  <si>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</si>
  <si>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</si>
  <si>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</si>
  <si>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</si>
  <si>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</si>
  <si>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</si>
  <si>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</si>
  <si>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</si>
  <si>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</si>
  <si>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</si>
  <si>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</si>
  <si>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</si>
  <si>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</si>
  <si>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</si>
  <si>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</si>
  <si>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</si>
  <si>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</si>
  <si>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</si>
  <si>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</si>
  <si>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</si>
  <si>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</si>
  <si>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</si>
  <si>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</si>
  <si>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</si>
  <si>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</si>
  <si>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</si>
  <si>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</si>
  <si>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</si>
  <si>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</si>
  <si>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</si>
  <si>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</si>
  <si>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</si>
  <si>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</si>
  <si>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</si>
  <si>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</si>
  <si>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</si>
  <si>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</si>
  <si>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</si>
  <si>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</si>
  <si>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</si>
  <si>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</si>
  <si>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</si>
  <si>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</si>
  <si>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</si>
  <si>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</si>
  <si>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</si>
  <si>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</si>
  <si>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</si>
  <si>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</si>
  <si>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</si>
  <si>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</si>
  <si>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</si>
  <si>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</si>
  <si>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</si>
  <si>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</si>
  <si>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</si>
  <si>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</si>
  <si>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</si>
  <si>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</si>
  <si>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</si>
  <si>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</si>
  <si>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</si>
  <si>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</si>
  <si>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</si>
  <si>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</si>
  <si>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</si>
  <si>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</si>
  <si>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</si>
  <si>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</si>
  <si>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</si>
  <si>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</si>
  <si>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</si>
  <si>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</si>
  <si>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</si>
  <si>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</si>
  <si>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</si>
  <si>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</si>
  <si>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</si>
  <si>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</si>
  <si>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</si>
  <si>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</si>
  <si>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</si>
  <si>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</si>
  <si>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</si>
  <si>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</si>
  <si>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</si>
  <si>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</si>
  <si>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</si>
  <si>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</si>
  <si>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</si>
  <si>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</si>
  <si>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</si>
  <si>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</si>
  <si>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</si>
  <si>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</si>
  <si>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</si>
  <si>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</si>
  <si>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</si>
  <si>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</si>
  <si>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</si>
  <si>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</si>
  <si>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</si>
  <si>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</si>
  <si>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</si>
  <si>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</si>
  <si>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</si>
  <si>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</si>
  <si>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</si>
  <si>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</si>
  <si>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</si>
  <si>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</si>
  <si>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</si>
  <si>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</si>
  <si>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</si>
  <si>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</si>
  <si>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</si>
  <si>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</si>
  <si>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</si>
  <si>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</si>
  <si>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</si>
  <si>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</si>
  <si>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</si>
  <si>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</si>
  <si>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</si>
  <si>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</si>
  <si>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</si>
  <si>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</si>
  <si>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</si>
  <si>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</si>
  <si>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</si>
  <si>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</si>
  <si>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</si>
  <si>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</si>
  <si>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</si>
  <si>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</si>
  <si>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</si>
  <si>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</si>
  <si>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</si>
  <si>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</si>
  <si>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</si>
  <si>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</si>
  <si>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</si>
  <si>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</si>
  <si>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</si>
  <si>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</si>
  <si>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</si>
  <si>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</si>
  <si>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</si>
  <si>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</si>
  <si>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</si>
  <si>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</si>
  <si>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</si>
  <si>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</si>
  <si>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</si>
  <si>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</si>
  <si>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</si>
  <si>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</si>
  <si>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</si>
  <si>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</si>
  <si>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</si>
  <si>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</si>
  <si>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</si>
  <si>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</si>
  <si>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</si>
  <si>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</si>
  <si>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</si>
  <si>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</si>
  <si>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</si>
  <si>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</si>
  <si>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</si>
  <si>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</si>
  <si>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</si>
  <si>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</si>
  <si>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</si>
  <si>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</si>
  <si>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</si>
  <si>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</si>
  <si>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</si>
  <si>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</si>
  <si>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</si>
  <si>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</si>
  <si>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</si>
  <si>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</si>
  <si>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</si>
  <si>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</si>
  <si>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</si>
  <si>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</si>
  <si>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</si>
  <si>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</si>
  <si>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</si>
  <si>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</si>
  <si>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</si>
  <si>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</si>
  <si>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</si>
  <si>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</si>
  <si>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</si>
  <si>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</si>
  <si>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</si>
  <si>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</si>
  <si>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</si>
  <si>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</si>
  <si>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</si>
  <si>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</si>
  <si>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</si>
  <si>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</si>
  <si>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</si>
  <si>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</si>
  <si>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</si>
  <si>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</si>
  <si>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</si>
  <si>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</si>
  <si>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</si>
  <si>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</si>
  <si>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</si>
  <si>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</si>
  <si>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</si>
  <si>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</si>
  <si>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</si>
  <si>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</si>
  <si>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</si>
  <si>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</si>
  <si>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</si>
  <si>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</si>
  <si>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</si>
  <si>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</si>
  <si>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</si>
  <si>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</si>
  <si>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</si>
  <si>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</si>
  <si>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</si>
  <si>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</si>
  <si>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</si>
  <si>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</si>
  <si>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</si>
  <si>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</si>
  <si>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</si>
  <si>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</si>
  <si>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</si>
  <si>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</si>
  <si>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</si>
  <si>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</si>
  <si>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</si>
  <si>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</si>
  <si>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</si>
  <si>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</si>
  <si>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</si>
  <si>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</si>
  <si>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</si>
  <si>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</si>
  <si>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</si>
  <si>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</si>
  <si>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</si>
  <si>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</si>
  <si>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</si>
  <si>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</si>
  <si>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</si>
  <si>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</si>
  <si>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</si>
  <si>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</si>
  <si>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</si>
  <si>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</si>
  <si>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</si>
  <si>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</si>
  <si>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</si>
  <si>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</si>
  <si>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</si>
  <si>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</si>
  <si>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</si>
  <si>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</si>
  <si>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</si>
  <si>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</si>
  <si>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</si>
  <si>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</si>
  <si>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</si>
  <si>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</si>
  <si>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</si>
  <si>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</si>
  <si>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</si>
  <si>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</si>
  <si>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</si>
  <si>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</si>
  <si>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</si>
  <si>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</si>
  <si>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</si>
  <si>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</si>
  <si>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</si>
  <si>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</si>
  <si>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</si>
  <si>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</si>
  <si>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</si>
  <si>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</si>
  <si>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</si>
  <si>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</si>
  <si>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</si>
  <si>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</si>
  <si>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</si>
  <si>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</si>
  <si>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</si>
  <si>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</si>
  <si>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</si>
  <si>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</si>
  <si>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</si>
  <si>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</si>
  <si>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</si>
  <si>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</si>
  <si>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</si>
  <si>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</si>
  <si>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</si>
  <si>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</si>
  <si>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</si>
  <si>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</si>
  <si>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</si>
  <si>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</si>
  <si>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</si>
  <si>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</si>
  <si>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</si>
  <si>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</si>
  <si>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</si>
  <si>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</si>
  <si>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</si>
  <si>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</si>
  <si>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</si>
  <si>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</si>
  <si>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</si>
  <si>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</si>
  <si>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</si>
  <si>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</si>
  <si>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</si>
  <si>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</si>
  <si>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</si>
  <si>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</si>
  <si>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</si>
  <si>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</si>
  <si>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</si>
  <si>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</si>
  <si>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</si>
  <si>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</si>
  <si>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</si>
  <si>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</si>
  <si>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</si>
  <si>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</si>
  <si>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</si>
  <si>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</si>
  <si>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</si>
  <si>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</si>
  <si>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</si>
  <si>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</si>
  <si>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</si>
  <si>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</si>
  <si>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</si>
  <si>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</si>
  <si>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</si>
  <si>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</si>
  <si>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</si>
  <si>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</si>
  <si>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</si>
  <si>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</si>
  <si>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</si>
  <si>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</si>
  <si>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</si>
  <si>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</si>
  <si>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</si>
  <si>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</si>
  <si>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</si>
  <si>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</si>
  <si>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</si>
  <si>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</si>
  <si>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</si>
  <si>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</si>
  <si>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</si>
  <si>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</si>
  <si>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</si>
  <si>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</si>
  <si>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</si>
  <si>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</si>
  <si>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</si>
  <si>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</si>
  <si>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</si>
  <si>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</si>
  <si>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</si>
  <si>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</si>
  <si>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</si>
  <si>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</si>
  <si>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</si>
  <si>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</si>
  <si>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</si>
  <si>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</si>
  <si>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</si>
  <si>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</si>
  <si>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</si>
  <si>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</si>
  <si>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</si>
  <si>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</si>
  <si>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</si>
  <si>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</si>
  <si>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</si>
  <si>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</si>
  <si>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</si>
  <si>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</si>
  <si>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</si>
  <si>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</si>
  <si>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</si>
  <si>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</si>
  <si>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</si>
  <si>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</si>
  <si>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</si>
  <si>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</si>
  <si>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</si>
  <si>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</si>
  <si>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</si>
  <si>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</si>
  <si>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</si>
  <si>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</si>
  <si>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</si>
  <si>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</si>
  <si>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</si>
  <si>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</si>
  <si>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</si>
  <si>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</si>
  <si>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</si>
  <si>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</si>
  <si>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</si>
  <si>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</si>
  <si>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</si>
  <si>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</si>
  <si>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</si>
  <si>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</si>
  <si>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</si>
  <si>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</si>
  <si>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</si>
  <si>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</si>
  <si>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</si>
  <si>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</si>
  <si>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</si>
  <si>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</si>
  <si>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</si>
  <si>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</si>
  <si>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</si>
  <si>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</si>
  <si>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</si>
  <si>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</si>
  <si>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</si>
  <si>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</si>
  <si>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</si>
  <si>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</si>
  <si>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</si>
  <si>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</si>
  <si>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</si>
  <si>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</si>
  <si>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</si>
  <si>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</si>
  <si>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</si>
  <si>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</si>
  <si>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</si>
  <si>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</si>
  <si>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</si>
  <si>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</si>
  <si>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</si>
  <si>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</si>
  <si>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</si>
  <si>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</si>
  <si>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</si>
  <si>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</si>
  <si>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</si>
  <si>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</si>
  <si>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</si>
  <si>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</si>
  <si>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</si>
  <si>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</si>
  <si>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</si>
  <si>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</si>
  <si>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</si>
  <si>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</si>
  <si>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</si>
  <si>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</si>
  <si>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</si>
  <si>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</si>
  <si>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</si>
  <si>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</si>
  <si>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</si>
  <si>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</si>
  <si>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</si>
  <si>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</si>
  <si>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</si>
  <si>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</si>
  <si>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</si>
  <si>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</si>
  <si>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</si>
  <si>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</si>
  <si>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</si>
  <si>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</si>
  <si>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</si>
  <si>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</si>
  <si>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</si>
  <si>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</si>
  <si>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</si>
  <si>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</si>
  <si>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</si>
  <si>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</si>
  <si>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</si>
  <si>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</si>
  <si>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</si>
  <si>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</si>
  <si>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</si>
  <si>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</si>
  <si>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</si>
  <si>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</si>
  <si>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</si>
  <si>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</si>
  <si>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</si>
  <si>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</si>
  <si>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</si>
  <si>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</si>
  <si>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</si>
  <si>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</si>
  <si>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</si>
  <si>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</si>
  <si>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</si>
  <si>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</si>
  <si>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</si>
  <si>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</si>
  <si>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</si>
  <si>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</si>
  <si>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</si>
  <si>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</si>
  <si>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</si>
  <si>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</si>
  <si>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</si>
  <si>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</si>
  <si>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</si>
  <si>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</si>
  <si>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</si>
  <si>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</si>
  <si>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</si>
  <si>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</si>
  <si>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</si>
  <si>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</si>
  <si>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</si>
  <si>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</si>
  <si>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</si>
  <si>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</si>
  <si>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</si>
  <si>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</si>
  <si>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</si>
  <si>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</si>
  <si>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</si>
  <si>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</si>
  <si>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</si>
  <si>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</si>
  <si>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</si>
  <si>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</si>
  <si>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</si>
  <si>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</si>
  <si>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</si>
  <si>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</si>
  <si>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</si>
  <si>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</si>
  <si>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</si>
  <si>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</si>
  <si>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</si>
  <si>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</si>
  <si>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</si>
  <si>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</si>
  <si>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</si>
  <si>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</si>
  <si>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</si>
  <si>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</si>
  <si>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</si>
  <si>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</si>
  <si>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</si>
  <si>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</si>
  <si>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</si>
  <si>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</si>
  <si>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</si>
  <si>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</si>
  <si>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</si>
  <si>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</si>
  <si>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</si>
  <si>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</si>
  <si>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</si>
  <si>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</si>
  <si>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</si>
  <si>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</si>
  <si>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</si>
  <si>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</si>
  <si>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</si>
  <si>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</si>
  <si>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</si>
  <si>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</si>
  <si>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</si>
  <si>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</si>
  <si>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</si>
  <si>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</si>
  <si>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</si>
  <si>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</si>
  <si>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</si>
  <si>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</si>
  <si>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</si>
  <si>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</si>
  <si>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</si>
  <si>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</si>
  <si>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</si>
  <si>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</si>
  <si>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</si>
  <si>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</si>
  <si>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</si>
  <si>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</si>
  <si>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</si>
  <si>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</si>
  <si>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</si>
  <si>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</si>
  <si>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</si>
  <si>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</si>
  <si>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</si>
  <si>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</si>
  <si>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</si>
  <si>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</si>
  <si>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</si>
  <si>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</si>
  <si>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</si>
  <si>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</si>
  <si>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</si>
  <si>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</si>
  <si>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</si>
  <si>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</si>
  <si>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</si>
  <si>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</si>
  <si>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</si>
  <si>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</si>
  <si>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</si>
  <si>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</si>
  <si>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</si>
  <si>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</si>
  <si>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</si>
  <si>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</si>
  <si>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</si>
  <si>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</si>
  <si>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</si>
  <si>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</si>
  <si>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</si>
  <si>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</si>
  <si>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</si>
  <si>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</si>
  <si>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</si>
  <si>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</si>
  <si>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</si>
  <si>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</si>
  <si>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</si>
  <si>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</si>
  <si>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</si>
  <si>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</si>
  <si>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</si>
  <si>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</si>
  <si>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</si>
  <si>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</si>
  <si>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</si>
  <si>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</si>
  <si>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</si>
  <si>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</si>
  <si>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</si>
  <si>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</si>
  <si>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</si>
  <si>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</si>
  <si>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</si>
  <si>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</si>
  <si>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</si>
  <si>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</si>
  <si>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</si>
  <si>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</si>
  <si>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</si>
  <si>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</si>
  <si>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</si>
  <si>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</si>
  <si>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</si>
  <si>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</si>
  <si>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</si>
  <si>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</si>
  <si>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</si>
  <si>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</si>
  <si>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</si>
  <si>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</si>
  <si>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</si>
  <si>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</si>
  <si>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</si>
  <si>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</si>
  <si>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</si>
  <si>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</si>
  <si>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</si>
  <si>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</si>
  <si>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</si>
  <si>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</si>
  <si>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</si>
  <si>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</si>
  <si>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</si>
  <si>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</si>
  <si>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</si>
  <si>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</si>
  <si>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</si>
  <si>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</si>
  <si>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</si>
  <si>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</si>
  <si>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</si>
  <si>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</si>
  <si>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</si>
  <si>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</si>
  <si>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</si>
  <si>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</si>
  <si>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</si>
  <si>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</si>
  <si>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</si>
  <si>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</si>
  <si>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</si>
  <si>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</si>
  <si>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</si>
  <si>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</si>
  <si>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</si>
  <si>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</si>
  <si>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</si>
  <si>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</si>
  <si>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</si>
  <si>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</si>
  <si>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</si>
  <si>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</si>
  <si>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</si>
  <si>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</si>
  <si>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</si>
  <si>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</si>
  <si>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</si>
  <si>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</si>
  <si>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</si>
  <si>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</si>
  <si>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</si>
  <si>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</si>
  <si>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</si>
  <si>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</si>
  <si>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</si>
  <si>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</si>
  <si>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</si>
  <si>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</si>
  <si>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</si>
  <si>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</si>
  <si>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</si>
  <si>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</si>
  <si>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</si>
  <si>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</si>
  <si>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</si>
  <si>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</si>
  <si>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</si>
  <si>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</si>
  <si>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</si>
  <si>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</si>
  <si>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</si>
  <si>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</si>
  <si>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</si>
  <si>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</si>
  <si>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</si>
  <si>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</si>
  <si>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</si>
  <si>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</si>
  <si>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</si>
  <si>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</si>
  <si>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</si>
  <si>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</si>
  <si>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</si>
  <si>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</si>
  <si>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</si>
  <si>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</si>
  <si>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</si>
  <si>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</si>
  <si>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</si>
  <si>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</si>
  <si>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</si>
  <si>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</si>
  <si>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</si>
  <si>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</si>
  <si>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</si>
  <si>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</si>
  <si>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</si>
  <si>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</si>
  <si>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</si>
  <si>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</si>
  <si>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</si>
  <si>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</si>
  <si>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</si>
  <si>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</si>
  <si>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</si>
  <si>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</si>
  <si>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</si>
  <si>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</si>
  <si>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</si>
  <si>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</si>
  <si>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</si>
  <si>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</si>
  <si>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</si>
  <si>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</si>
  <si>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</si>
  <si>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</si>
  <si>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</si>
  <si>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</si>
  <si>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</si>
  <si>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</si>
  <si>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</si>
  <si>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</si>
  <si>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</si>
  <si>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</si>
  <si>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</si>
  <si>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</si>
  <si>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</si>
  <si>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</si>
  <si>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</si>
  <si>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</si>
  <si>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</si>
  <si>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</si>
  <si>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</si>
  <si>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</si>
  <si>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</si>
  <si>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</si>
  <si>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</si>
  <si>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</si>
  <si>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</si>
  <si>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</si>
  <si>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</si>
  <si>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</si>
  <si>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</si>
  <si>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</si>
  <si>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</si>
  <si>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</si>
  <si>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</si>
  <si>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</si>
  <si>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</si>
  <si>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</si>
  <si>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</si>
  <si>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</si>
  <si>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</si>
  <si>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</si>
  <si>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</si>
  <si>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</si>
  <si>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</si>
  <si>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</si>
  <si>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</si>
  <si>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</si>
  <si>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</si>
  <si>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</si>
  <si>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</si>
  <si>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</si>
  <si>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</si>
  <si>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</si>
  <si>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</si>
  <si>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</si>
  <si>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</si>
  <si>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</si>
  <si>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</si>
  <si>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</si>
  <si>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</si>
  <si>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</si>
  <si>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</si>
  <si>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</si>
  <si>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</si>
  <si>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</si>
  <si>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</si>
  <si>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</si>
  <si>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</si>
  <si>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</si>
  <si>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</si>
  <si>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</si>
  <si>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</si>
  <si>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</si>
  <si>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</si>
  <si>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</si>
  <si>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</si>
  <si>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</si>
  <si>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</si>
  <si>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</si>
  <si>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</si>
  <si>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</si>
  <si>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All deletions were due to revised aduit adjustments. Audit is ongoing + need to finish fy 24 audit to confirm balances - per auditor</t>
  </si>
  <si>
    <t>Bbof fund bal changed after fy 23 audit adjes.</t>
  </si>
  <si>
    <t>ADUIT ADJES BROUGHT BB UP ( OTHER ADDITION)</t>
  </si>
  <si>
    <t>AUDIT ADJES BROUGHTR BALANCE DOWN - FUND 21 (fs)</t>
  </si>
  <si>
    <t>AUDIT ADJES BROUGHTR BALANCE DOWN - FUND 22 (GRANTS)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</si>
</sst>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61"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1033</v>
      </c>
      <c r="B2">
        <f>INDEX('School Tables'!$AH$3:$AH$213,MATCH('DOE25'!A2,'School Tables'!$AJ$3:$AJ$213,0))</f>
        <v>175</v>
      </c>
      <c r="C2">
        <f>INDEX('School Tables'!$AI$3:$AI$213,MATCH('DOE25'!A2,'School Tables'!$AJ$3:$AJ$213,0))</f>
        <v>175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999737.52</v>
      </c>
      <c r="G9" s="18">
        <v>187579.5</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928814.31</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1347995.58</v>
      </c>
      <c r="G12" s="18"/>
      <c r="H12" s="18">
        <v>92206.74</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v>44148.88</v>
      </c>
      <c r="H13" s="18">
        <v>-148597.67000000001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v>33917.769999999997</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v>68840.09</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100</v>
      </c>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2347833.1</v>
      </c>
      <c r="G19" s="38">
        <f>SUM(G9:G18)</f>
        <v>265646.15000000002</v>
      </c>
      <c r="H19" s="38">
        <f>SUM(H9:H18)</f>
        <v>12449.159999999989</v>
      </c>
      <c r="I19" s="38">
        <f>SUM(I9:I18)</f>
        <v>0</v>
      </c>
      <c r="J19" s="38">
        <f>SUM(J9:J18)</f>
        <v>928814.31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66685</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-38860</v>
      </c>
      <c r="G24" s="18">
        <v>13.1</v>
      </c>
      <c r="H24" s="18">
        <v>12449.16</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77849.899999999994</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281308.08</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17302</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-22148.28</v>
      </c>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364834.69999999995</v>
      </c>
      <c r="G32" s="38">
        <f>SUM(G22:G31)</f>
        <v>17315.099999999999</v>
      </c>
      <c r="H32" s="38">
        <f>SUM(H22:H31)</f>
        <v>12449.16</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111251.67</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v>137079.38</v>
      </c>
      <c r="H43" s="18"/>
      <c r="I43" s="18"/>
      <c r="J43" s="13">
        <f>SUM(I457)</f>
        <v>928814.31</v>
      </c>
      <c r="K43" s="23" t="s">
        <v>288</v>
      </c>
      <c r="L43" s="23" t="s">
        <v>288</v>
      </c>
      <c r="M43" s="8"/>
      <c r="N43" s="164"/>
    </row>
    <row r="44" spans="1:14" s="3" customFormat="1" ht="12.2" customHeight="1" x14ac:dyDescent="0.15">
      <c r="A44" s="1" t="s">
        <v>833</v>
      </c>
      <c r="B44" s="6">
        <v>1</v>
      </c>
      <c r="C44" s="6">
        <v>30</v>
      </c>
      <c r="D44" s="2" t="s">
        <v>653</v>
      </c>
      <c r="E44" s="6">
        <v>755</v>
      </c>
      <c r="F44" s="18">
        <v>700000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0</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v>400460</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882538.4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1982998.4</v>
      </c>
      <c r="G51" s="38">
        <f>SUM(G35:G50)</f>
        <v>248331.05</v>
      </c>
      <c r="H51" s="38">
        <f>SUM(H35:H50)</f>
        <v>0</v>
      </c>
      <c r="I51" s="38">
        <f>SUM(I35:I50)</f>
        <v>0</v>
      </c>
      <c r="J51" s="38">
        <f>SUM(J35:J50)</f>
        <v>928814.31</v>
      </c>
      <c r="K51" s="42" t="s">
        <v>288</v>
      </c>
      <c r="L51" s="42" t="s">
        <v>288</v>
      </c>
      <c r="N51" s="130"/>
    </row>
    <row r="52" spans="1:14" s="3" customFormat="1" ht="12.2" customHeight="1" thickTop="1" x14ac:dyDescent="0.15">
      <c r="A52" s="35" t="s">
        <v>455</v>
      </c>
      <c r="B52" s="36" t="s">
        <v>289</v>
      </c>
      <c r="C52" s="6">
        <v>37</v>
      </c>
      <c r="D52" s="36" t="s">
        <v>653</v>
      </c>
      <c r="E52" s="36"/>
      <c r="F52" s="38">
        <f>F51+F32</f>
        <v>2347833.0999999996</v>
      </c>
      <c r="G52" s="38">
        <f>G51+G32</f>
        <v>265646.14999999997</v>
      </c>
      <c r="H52" s="38">
        <f>H51+H32</f>
        <v>12449.16</v>
      </c>
      <c r="I52" s="38">
        <f>I51+I32</f>
        <v>0</v>
      </c>
      <c r="J52" s="38">
        <f>J51+J32</f>
        <v>928814.31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7295085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7295085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15051.31</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15051.31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1377.95</v>
      </c>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143.82</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1521.77</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v>12082.34</v>
      </c>
      <c r="K96" s="23" t="s">
        <v>288</v>
      </c>
      <c r="L96" s="23" t="s">
        <v>288</v>
      </c>
      <c r="M96" s="8"/>
      <c r="N96" s="164"/>
    </row>
    <row r="97" spans="1:14" s="3" customFormat="1" ht="12.2" customHeight="1" x14ac:dyDescent="0.15">
      <c r="A97" s="1" t="s">
        <v>503</v>
      </c>
      <c r="B97" s="2" t="s">
        <v>315</v>
      </c>
      <c r="C97" s="6">
        <v>12</v>
      </c>
      <c r="D97" s="2" t="s">
        <v>430</v>
      </c>
      <c r="E97" s="6">
        <v>1600</v>
      </c>
      <c r="F97" s="23" t="s">
        <v>288</v>
      </c>
      <c r="G97" s="18">
        <v>96568.04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42386.45</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42386.45</v>
      </c>
      <c r="G111" s="38">
        <f>SUM(G96:G110)</f>
        <v>96568.04</v>
      </c>
      <c r="H111" s="38">
        <f>SUM(H96:H110)</f>
        <v>0</v>
      </c>
      <c r="I111" s="38">
        <f>SUM(I96:I110)</f>
        <v>0</v>
      </c>
      <c r="J111" s="38">
        <f>SUM(J96:J110)</f>
        <v>12082.34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7354044.5299999993</v>
      </c>
      <c r="G112" s="38">
        <f>G60+G111</f>
        <v>96568.04</v>
      </c>
      <c r="H112" s="38">
        <f>H60+H79+H94+H111</f>
        <v>0</v>
      </c>
      <c r="I112" s="38">
        <f>I60+I111</f>
        <v>0</v>
      </c>
      <c r="J112" s="38">
        <f>J60+J111</f>
        <v>12082.34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6080732.0499999998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1077291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6928.27</v>
      </c>
      <c r="G120" s="18"/>
      <c r="H120" s="4"/>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7164951.3199999994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142617.20000000001</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12407.2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1842.74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4500</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159524.40000000002</v>
      </c>
      <c r="G136" s="38">
        <f>SUM(G123:G135)</f>
        <v>1842.74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7324475.7199999997</v>
      </c>
      <c r="G140" s="38">
        <f>G121+SUM(G136:G137)</f>
        <v>1842.74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505898.06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96835.97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272523.3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260804.6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77787.75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7103.01</v>
      </c>
      <c r="G161" s="18"/>
      <c r="H161" s="18">
        <v>17254.060000000001</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2032537.81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84890.76</v>
      </c>
      <c r="G163" s="38">
        <f>SUM(G150:G162)</f>
        <v>272523.3</v>
      </c>
      <c r="H163" s="38">
        <f>SUM(H150:H162)</f>
        <v>2913330.5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84890.76</v>
      </c>
      <c r="G170" s="38">
        <f>G147+G163+SUM(G164:G169)</f>
        <v>272523.3</v>
      </c>
      <c r="H170" s="38">
        <f>H147+H163+SUM(H164:H169)</f>
        <v>2913330.5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14763411.01</v>
      </c>
      <c r="G194" s="38">
        <f>G112+G140+G170+G193</f>
        <v>370934.07999999996</v>
      </c>
      <c r="H194" s="38">
        <f>H112+H140+H170+H193</f>
        <v>2913330.5</v>
      </c>
      <c r="I194" s="38">
        <f>I112+I140+I170+I193</f>
        <v>0</v>
      </c>
      <c r="J194" s="38">
        <f>J112+J140+J193</f>
        <v>12082.34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2613353.0099999998</v>
      </c>
      <c r="G198" s="18">
        <v>1039305.43</v>
      </c>
      <c r="H198" s="18">
        <v>9083.42</v>
      </c>
      <c r="I198" s="18">
        <v>35099.26</v>
      </c>
      <c r="J198" s="18">
        <v>14889.85</v>
      </c>
      <c r="K198" s="18">
        <v>0</v>
      </c>
      <c r="L198" s="13">
        <f>SUM(F198:K198)</f>
        <v>3711730.9699999997</v>
      </c>
      <c r="M198" s="8"/>
      <c r="N198" s="164"/>
    </row>
    <row r="199" spans="1:14" s="3" customFormat="1" ht="12.2" customHeight="1" x14ac:dyDescent="0.15">
      <c r="A199" s="1" t="s">
        <v>439</v>
      </c>
      <c r="B199" s="2" t="s">
        <v>341</v>
      </c>
      <c r="C199" s="2" t="s">
        <v>291</v>
      </c>
      <c r="D199" s="2" t="s">
        <v>431</v>
      </c>
      <c r="E199" s="6">
        <v>1200</v>
      </c>
      <c r="F199" s="18">
        <v>1187489.83</v>
      </c>
      <c r="G199" s="18">
        <v>508315.78</v>
      </c>
      <c r="H199" s="18">
        <v>199411.53</v>
      </c>
      <c r="I199" s="18">
        <v>9445.64</v>
      </c>
      <c r="J199" s="18">
        <v>756.41</v>
      </c>
      <c r="K199" s="18">
        <v>71.3</v>
      </c>
      <c r="L199" s="13">
        <f>SUM(F199:K199)</f>
        <v>1905490.49</v>
      </c>
      <c r="M199" s="8"/>
      <c r="N199" s="164"/>
    </row>
    <row r="200" spans="1:14" s="3" customFormat="1" ht="12.2" customHeight="1" x14ac:dyDescent="0.15">
      <c r="A200" s="1" t="s">
        <v>440</v>
      </c>
      <c r="B200" s="2" t="s">
        <v>341</v>
      </c>
      <c r="C200" s="2" t="s">
        <v>292</v>
      </c>
      <c r="D200" s="2" t="s">
        <v>431</v>
      </c>
      <c r="E200" s="6">
        <v>1300</v>
      </c>
      <c r="F200" s="18"/>
      <c r="G200" s="18"/>
      <c r="H200" s="18">
        <v>40401.65</v>
      </c>
      <c r="I200" s="18"/>
      <c r="J200" s="18"/>
      <c r="K200" s="18"/>
      <c r="L200" s="13">
        <f>SUM(F200:K200)</f>
        <v>40401.65</v>
      </c>
      <c r="M200" s="8"/>
      <c r="N200" s="164"/>
    </row>
    <row r="201" spans="1:14" s="3" customFormat="1" ht="12.2" customHeight="1" x14ac:dyDescent="0.15">
      <c r="A201" s="1" t="s">
        <v>441</v>
      </c>
      <c r="B201" s="2" t="s">
        <v>341</v>
      </c>
      <c r="C201" s="2" t="s">
        <v>293</v>
      </c>
      <c r="D201" s="2" t="s">
        <v>431</v>
      </c>
      <c r="E201" s="6">
        <v>1400</v>
      </c>
      <c r="F201" s="18">
        <f>23845.85+6658+615.77+28821.59</f>
        <v>59941.21</v>
      </c>
      <c r="G201" s="18">
        <f>6174.96+507.16+7953.78</f>
        <v>14635.9</v>
      </c>
      <c r="H201" s="18">
        <v>5036.3599999999997</v>
      </c>
      <c r="I201" s="18">
        <v>2836.66</v>
      </c>
      <c r="J201" s="18"/>
      <c r="K201" s="18">
        <v>7.7</v>
      </c>
      <c r="L201" s="13">
        <f>SUM(F201:K201)</f>
        <v>82457.83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141122.81+105692.75</f>
        <v>246815.56</v>
      </c>
      <c r="G203" s="18">
        <f>75496.53+79586.32</f>
        <v>155082.85</v>
      </c>
      <c r="H203" s="18">
        <f>710.07+100.75+102241.39</f>
        <v>103052.21</v>
      </c>
      <c r="I203" s="18">
        <v>981.01</v>
      </c>
      <c r="J203" s="18"/>
      <c r="K203" s="18"/>
      <c r="L203" s="13">
        <f t="shared" ref="L203:L209" si="0">SUM(F203:K203)</f>
        <v>505931.63000000006</v>
      </c>
      <c r="M203" s="8"/>
      <c r="N203" s="164"/>
    </row>
    <row r="204" spans="1:14" s="3" customFormat="1" ht="12.2" customHeight="1" x14ac:dyDescent="0.15">
      <c r="A204" s="1" t="s">
        <v>443</v>
      </c>
      <c r="B204" s="2" t="s">
        <v>341</v>
      </c>
      <c r="C204" s="2" t="s">
        <v>295</v>
      </c>
      <c r="D204" s="2" t="s">
        <v>431</v>
      </c>
      <c r="E204" s="6">
        <v>2200</v>
      </c>
      <c r="F204" s="18">
        <f>9597.13+45654</f>
        <v>55251.13</v>
      </c>
      <c r="G204" s="18">
        <f>2077.16+37865.17</f>
        <v>39942.33</v>
      </c>
      <c r="H204" s="18">
        <f>19901.58+5698.64</f>
        <v>25600.22</v>
      </c>
      <c r="I204" s="18">
        <f>14067.67</f>
        <v>14067.67</v>
      </c>
      <c r="J204" s="18"/>
      <c r="K204" s="18"/>
      <c r="L204" s="13">
        <f t="shared" si="0"/>
        <v>134861.35</v>
      </c>
      <c r="M204" s="8"/>
      <c r="N204" s="164"/>
    </row>
    <row r="205" spans="1:14" s="3" customFormat="1" ht="12.2" customHeight="1" x14ac:dyDescent="0.15">
      <c r="A205" s="1" t="s">
        <v>444</v>
      </c>
      <c r="B205" s="2" t="s">
        <v>341</v>
      </c>
      <c r="C205" s="2" t="s">
        <v>296</v>
      </c>
      <c r="D205" s="2" t="s">
        <v>431</v>
      </c>
      <c r="E205" s="6">
        <v>2300</v>
      </c>
      <c r="F205" s="18">
        <f>10467.6+316216.43</f>
        <v>326684.02999999997</v>
      </c>
      <c r="G205" s="18">
        <f>929.21+93577.4</f>
        <v>94506.61</v>
      </c>
      <c r="H205" s="18">
        <f>46777.9+30365.36</f>
        <v>77143.260000000009</v>
      </c>
      <c r="I205" s="18"/>
      <c r="J205" s="18"/>
      <c r="K205" s="18">
        <f>2713.46+4964.3</f>
        <v>7677.76</v>
      </c>
      <c r="L205" s="13">
        <f t="shared" si="0"/>
        <v>506011.66</v>
      </c>
      <c r="M205" s="8"/>
      <c r="N205" s="164"/>
    </row>
    <row r="206" spans="1:14" s="3" customFormat="1" ht="12.2" customHeight="1" x14ac:dyDescent="0.15">
      <c r="A206" s="1" t="s">
        <v>445</v>
      </c>
      <c r="B206" s="2" t="s">
        <v>341</v>
      </c>
      <c r="C206" s="2" t="s">
        <v>297</v>
      </c>
      <c r="D206" s="2" t="s">
        <v>431</v>
      </c>
      <c r="E206" s="6">
        <v>2400</v>
      </c>
      <c r="F206" s="18">
        <v>485542.39</v>
      </c>
      <c r="G206" s="18">
        <v>241283.47</v>
      </c>
      <c r="H206" s="18">
        <v>20500.88</v>
      </c>
      <c r="I206" s="18">
        <v>2862.57</v>
      </c>
      <c r="J206" s="18">
        <v>250.99</v>
      </c>
      <c r="K206" s="18">
        <v>1779</v>
      </c>
      <c r="L206" s="13">
        <f t="shared" si="0"/>
        <v>752219.29999999993</v>
      </c>
      <c r="M206" s="8"/>
      <c r="N206" s="164"/>
    </row>
    <row r="207" spans="1:14" s="3" customFormat="1" ht="12.2" customHeight="1" x14ac:dyDescent="0.15">
      <c r="A207" s="1" t="s">
        <v>446</v>
      </c>
      <c r="B207" s="2" t="s">
        <v>341</v>
      </c>
      <c r="C207" s="2" t="s">
        <v>298</v>
      </c>
      <c r="D207" s="2" t="s">
        <v>431</v>
      </c>
      <c r="E207" s="6">
        <v>2500</v>
      </c>
      <c r="F207" s="18">
        <v>111650.27</v>
      </c>
      <c r="G207" s="18">
        <v>43729.78</v>
      </c>
      <c r="H207" s="18">
        <v>19691.439999999999</v>
      </c>
      <c r="I207" s="18">
        <v>10409.120000000001</v>
      </c>
      <c r="J207" s="18"/>
      <c r="K207" s="18">
        <v>391.5</v>
      </c>
      <c r="L207" s="13">
        <f t="shared" si="0"/>
        <v>185872.11</v>
      </c>
      <c r="M207" s="8"/>
      <c r="N207" s="164"/>
    </row>
    <row r="208" spans="1:14" s="3" customFormat="1" ht="12.2" customHeight="1" x14ac:dyDescent="0.15">
      <c r="A208" s="1" t="s">
        <v>447</v>
      </c>
      <c r="B208" s="2" t="s">
        <v>341</v>
      </c>
      <c r="C208" s="2" t="s">
        <v>299</v>
      </c>
      <c r="D208" s="2" t="s">
        <v>431</v>
      </c>
      <c r="E208" s="6">
        <v>2600</v>
      </c>
      <c r="F208" s="18">
        <v>454034.91</v>
      </c>
      <c r="G208" s="18">
        <v>210622.11</v>
      </c>
      <c r="H208" s="18">
        <f>150169.16+974.75</f>
        <v>151143.91</v>
      </c>
      <c r="I208" s="18">
        <f>261975.67+658.49</f>
        <v>262634.16000000003</v>
      </c>
      <c r="J208" s="18"/>
      <c r="K208" s="18">
        <v>704.37</v>
      </c>
      <c r="L208" s="13">
        <f t="shared" si="0"/>
        <v>1079139.4600000002</v>
      </c>
      <c r="M208" s="8"/>
      <c r="N208" s="164"/>
    </row>
    <row r="209" spans="1:14" s="3" customFormat="1" ht="12.2" customHeight="1" x14ac:dyDescent="0.15">
      <c r="A209" s="1" t="s">
        <v>448</v>
      </c>
      <c r="B209" s="2" t="s">
        <v>341</v>
      </c>
      <c r="C209" s="2" t="s">
        <v>300</v>
      </c>
      <c r="D209" s="2" t="s">
        <v>431</v>
      </c>
      <c r="E209" s="6">
        <v>2700</v>
      </c>
      <c r="F209" s="18">
        <f>107761.42+46571.36+12837.55+3819.11+941.71</f>
        <v>171931.14999999997</v>
      </c>
      <c r="G209" s="18">
        <f>22696.33+5471.78+2721.33+765.29</f>
        <v>31654.730000000003</v>
      </c>
      <c r="H209" s="18">
        <f>43932.11+38488.11</f>
        <v>82420.22</v>
      </c>
      <c r="I209" s="18">
        <f>23048.74</f>
        <v>23048.74</v>
      </c>
      <c r="J209" s="18"/>
      <c r="K209" s="18">
        <f>1680</f>
        <v>1680</v>
      </c>
      <c r="L209" s="13">
        <f t="shared" si="0"/>
        <v>310734.83999999997</v>
      </c>
      <c r="M209" s="8"/>
      <c r="N209" s="164"/>
    </row>
    <row r="210" spans="1:14" s="3" customFormat="1" ht="12.2" customHeight="1" x14ac:dyDescent="0.15">
      <c r="A210" s="1" t="s">
        <v>449</v>
      </c>
      <c r="B210" s="2" t="s">
        <v>341</v>
      </c>
      <c r="C210" s="2" t="s">
        <v>343</v>
      </c>
      <c r="D210" s="2" t="s">
        <v>431</v>
      </c>
      <c r="E210" s="6">
        <v>2800</v>
      </c>
      <c r="F210" s="18">
        <f>40508.19</f>
        <v>40508.19</v>
      </c>
      <c r="G210" s="18">
        <f>11210.39</f>
        <v>11210.39</v>
      </c>
      <c r="H210" s="18">
        <f>48592.76</f>
        <v>48592.76</v>
      </c>
      <c r="I210" s="18">
        <f>49907.73</f>
        <v>49907.73</v>
      </c>
      <c r="J210" s="18">
        <f>407.4</f>
        <v>407.4</v>
      </c>
      <c r="K210" s="18">
        <f>125686.2</f>
        <v>125686.2</v>
      </c>
      <c r="L210" s="13">
        <f>SUM(F210:K210)</f>
        <v>276312.67</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5753201.6799999997</v>
      </c>
      <c r="G212" s="38">
        <f t="shared" si="1"/>
        <v>2390289.38</v>
      </c>
      <c r="H212" s="38">
        <f t="shared" si="1"/>
        <v>782077.86</v>
      </c>
      <c r="I212" s="38">
        <f t="shared" si="1"/>
        <v>411292.56</v>
      </c>
      <c r="J212" s="38">
        <f t="shared" si="1"/>
        <v>16304.65</v>
      </c>
      <c r="K212" s="38">
        <f t="shared" si="1"/>
        <v>137997.82999999999</v>
      </c>
      <c r="L212" s="38">
        <f t="shared" si="1"/>
        <v>9491163.9600000009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1380140.35</v>
      </c>
      <c r="G234" s="18">
        <v>473964.99</v>
      </c>
      <c r="H234" s="18">
        <v>15458.58</v>
      </c>
      <c r="I234" s="18">
        <v>31616.720000000001</v>
      </c>
      <c r="J234" s="18">
        <v>7138.66</v>
      </c>
      <c r="K234" s="18"/>
      <c r="L234" s="13">
        <f>SUM(F234:K234)</f>
        <v>1908319.3</v>
      </c>
      <c r="M234" s="8"/>
      <c r="N234" s="164"/>
    </row>
    <row r="235" spans="1:14" s="3" customFormat="1" ht="12.2" customHeight="1" x14ac:dyDescent="0.15">
      <c r="A235" s="1" t="s">
        <v>439</v>
      </c>
      <c r="B235" s="2" t="s">
        <v>350</v>
      </c>
      <c r="C235" s="2" t="s">
        <v>291</v>
      </c>
      <c r="D235" s="2" t="s">
        <v>431</v>
      </c>
      <c r="E235" s="6">
        <v>1200</v>
      </c>
      <c r="F235" s="18">
        <v>179122.57</v>
      </c>
      <c r="G235" s="18">
        <v>55413.95</v>
      </c>
      <c r="H235" s="18">
        <v>636984.13</v>
      </c>
      <c r="I235" s="18">
        <v>3305.25</v>
      </c>
      <c r="J235" s="18"/>
      <c r="K235" s="18"/>
      <c r="L235" s="13">
        <f>SUM(F235:K235)</f>
        <v>874825.9</v>
      </c>
      <c r="M235" s="8"/>
      <c r="N235" s="164"/>
    </row>
    <row r="236" spans="1:14" s="3" customFormat="1" ht="12.2" customHeight="1" x14ac:dyDescent="0.15">
      <c r="A236" s="1" t="s">
        <v>440</v>
      </c>
      <c r="B236" s="2" t="s">
        <v>350</v>
      </c>
      <c r="C236" s="2" t="s">
        <v>292</v>
      </c>
      <c r="D236" s="2" t="s">
        <v>431</v>
      </c>
      <c r="E236" s="6">
        <v>1300</v>
      </c>
      <c r="F236" s="18"/>
      <c r="G236" s="18"/>
      <c r="H236" s="18"/>
      <c r="I236" s="18">
        <v>26934.44</v>
      </c>
      <c r="J236" s="18"/>
      <c r="K236" s="18"/>
      <c r="L236" s="13">
        <f>SUM(F236:K236)</f>
        <v>26934.44</v>
      </c>
      <c r="M236" s="8"/>
      <c r="N236" s="164"/>
    </row>
    <row r="237" spans="1:14" s="3" customFormat="1" ht="12.2" customHeight="1" x14ac:dyDescent="0.15">
      <c r="A237" s="1" t="s">
        <v>441</v>
      </c>
      <c r="B237" s="2" t="s">
        <v>350</v>
      </c>
      <c r="C237" s="2" t="s">
        <v>293</v>
      </c>
      <c r="D237" s="2" t="s">
        <v>431</v>
      </c>
      <c r="E237" s="6">
        <v>1400</v>
      </c>
      <c r="F237" s="18">
        <f>18256+56954+11389.7+9209.68</f>
        <v>95809.38</v>
      </c>
      <c r="G237" s="18">
        <f>4187.4+4366.4+2353.76</f>
        <v>10907.56</v>
      </c>
      <c r="H237" s="18">
        <v>25645.74</v>
      </c>
      <c r="I237" s="18">
        <f>21954.48+20792.28</f>
        <v>42746.759999999995</v>
      </c>
      <c r="J237" s="18"/>
      <c r="K237" s="18">
        <v>2.15</v>
      </c>
      <c r="L237" s="13">
        <f>SUM(F237:K237)</f>
        <v>175111.59</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57790.32+45620.85+25863.45</f>
        <v>129274.62</v>
      </c>
      <c r="G239" s="18">
        <f>35252.73+16628.92+1529.94</f>
        <v>53411.590000000004</v>
      </c>
      <c r="H239" s="18">
        <f>418.08+372+3172.28+454.59+61821.22+68160.92</f>
        <v>134399.09</v>
      </c>
      <c r="I239" s="18">
        <f>261.25+1820.79+3083.57+1584.89</f>
        <v>6750.5000000000009</v>
      </c>
      <c r="J239" s="18">
        <f>280+698</f>
        <v>978</v>
      </c>
      <c r="K239" s="18"/>
      <c r="L239" s="13">
        <f t="shared" ref="L239:L245" si="4">SUM(F239:K239)</f>
        <v>324813.8</v>
      </c>
      <c r="M239" s="8"/>
      <c r="N239" s="164"/>
    </row>
    <row r="240" spans="1:14" s="3" customFormat="1" ht="12.2" customHeight="1" x14ac:dyDescent="0.15">
      <c r="A240" s="1" t="s">
        <v>443</v>
      </c>
      <c r="B240" s="2" t="s">
        <v>350</v>
      </c>
      <c r="C240" s="2" t="s">
        <v>295</v>
      </c>
      <c r="D240" s="2" t="s">
        <v>431</v>
      </c>
      <c r="E240" s="6">
        <v>2200</v>
      </c>
      <c r="F240" s="18">
        <f>11156.08+28900.82</f>
        <v>40056.9</v>
      </c>
      <c r="G240" s="18">
        <v>688.91</v>
      </c>
      <c r="H240" s="18">
        <f>23155.56+2962.13</f>
        <v>26117.690000000002</v>
      </c>
      <c r="I240" s="18">
        <f>18387.26+4488.5</f>
        <v>22875.759999999998</v>
      </c>
      <c r="J240" s="18">
        <v>4235.18</v>
      </c>
      <c r="K240" s="18"/>
      <c r="L240" s="13">
        <f t="shared" si="4"/>
        <v>93974.44</v>
      </c>
      <c r="M240" s="8"/>
      <c r="N240" s="164"/>
    </row>
    <row r="241" spans="1:14" s="3" customFormat="1" ht="12.2" customHeight="1" x14ac:dyDescent="0.15">
      <c r="A241" s="1" t="s">
        <v>444</v>
      </c>
      <c r="B241" s="2" t="s">
        <v>350</v>
      </c>
      <c r="C241" s="2" t="s">
        <v>296</v>
      </c>
      <c r="D241" s="2" t="s">
        <v>431</v>
      </c>
      <c r="E241" s="6">
        <v>2300</v>
      </c>
      <c r="F241" s="18">
        <f>6978.4+210810.96</f>
        <v>217789.36</v>
      </c>
      <c r="G241" s="18">
        <f>619.47+62384.93</f>
        <v>63004.4</v>
      </c>
      <c r="H241" s="18">
        <f>31185.26+20243.58</f>
        <v>51428.84</v>
      </c>
      <c r="I241" s="18"/>
      <c r="J241" s="18"/>
      <c r="K241" s="18">
        <f>1808.98+3309.53</f>
        <v>5118.51</v>
      </c>
      <c r="L241" s="13">
        <f t="shared" si="4"/>
        <v>337341.11</v>
      </c>
      <c r="M241" s="8"/>
      <c r="N241" s="164"/>
    </row>
    <row r="242" spans="1:14" s="3" customFormat="1" ht="12.2" customHeight="1" x14ac:dyDescent="0.15">
      <c r="A242" s="1" t="s">
        <v>445</v>
      </c>
      <c r="B242" s="2" t="s">
        <v>350</v>
      </c>
      <c r="C242" s="2" t="s">
        <v>297</v>
      </c>
      <c r="D242" s="2" t="s">
        <v>431</v>
      </c>
      <c r="E242" s="6">
        <v>2400</v>
      </c>
      <c r="F242" s="18">
        <v>222335.52</v>
      </c>
      <c r="G242" s="18">
        <v>124133.92</v>
      </c>
      <c r="H242" s="18">
        <v>9620.0499999999993</v>
      </c>
      <c r="I242" s="18">
        <v>2087.06</v>
      </c>
      <c r="J242" s="18">
        <v>5828.96</v>
      </c>
      <c r="K242" s="18">
        <v>11.2</v>
      </c>
      <c r="L242" s="13">
        <f t="shared" si="4"/>
        <v>364016.71</v>
      </c>
      <c r="M242" s="8"/>
      <c r="N242" s="164"/>
    </row>
    <row r="243" spans="1:14" s="3" customFormat="1" ht="12.2" customHeight="1" x14ac:dyDescent="0.15">
      <c r="A243" s="1" t="s">
        <v>446</v>
      </c>
      <c r="B243" s="2" t="s">
        <v>350</v>
      </c>
      <c r="C243" s="2" t="s">
        <v>298</v>
      </c>
      <c r="D243" s="2" t="s">
        <v>431</v>
      </c>
      <c r="E243" s="6">
        <v>2500</v>
      </c>
      <c r="F243" s="18">
        <f>74433.51</f>
        <v>74433.509999999995</v>
      </c>
      <c r="G243" s="18">
        <f>29153.18</f>
        <v>29153.18</v>
      </c>
      <c r="H243" s="18">
        <f>13127.62</f>
        <v>13127.62</v>
      </c>
      <c r="I243" s="18">
        <f>6939.42</f>
        <v>6939.42</v>
      </c>
      <c r="J243" s="18"/>
      <c r="K243" s="18">
        <f>261</f>
        <v>261</v>
      </c>
      <c r="L243" s="13">
        <f t="shared" si="4"/>
        <v>123914.73</v>
      </c>
      <c r="M243" s="8"/>
      <c r="N243" s="164"/>
    </row>
    <row r="244" spans="1:14" s="3" customFormat="1" ht="12.2" customHeight="1" x14ac:dyDescent="0.15">
      <c r="A244" s="1" t="s">
        <v>447</v>
      </c>
      <c r="B244" s="2" t="s">
        <v>350</v>
      </c>
      <c r="C244" s="2" t="s">
        <v>299</v>
      </c>
      <c r="D244" s="2" t="s">
        <v>431</v>
      </c>
      <c r="E244" s="6">
        <v>2600</v>
      </c>
      <c r="F244" s="18">
        <v>175168.66</v>
      </c>
      <c r="G244" s="18">
        <v>56493.49</v>
      </c>
      <c r="H244" s="18">
        <f>92066.34+649.83</f>
        <v>92716.17</v>
      </c>
      <c r="I244" s="18">
        <f>205691.41+439</f>
        <v>206130.41</v>
      </c>
      <c r="J244" s="18"/>
      <c r="K244" s="18">
        <v>469.58</v>
      </c>
      <c r="L244" s="13">
        <f t="shared" si="4"/>
        <v>530978.30999999994</v>
      </c>
      <c r="M244" s="8"/>
      <c r="N244" s="164"/>
    </row>
    <row r="245" spans="1:14" s="3" customFormat="1" ht="12.2" customHeight="1" x14ac:dyDescent="0.15">
      <c r="A245" s="1" t="s">
        <v>448</v>
      </c>
      <c r="B245" s="2" t="s">
        <v>350</v>
      </c>
      <c r="C245" s="2" t="s">
        <v>300</v>
      </c>
      <c r="D245" s="2" t="s">
        <v>431</v>
      </c>
      <c r="E245" s="6">
        <v>2700</v>
      </c>
      <c r="F245" s="18">
        <f>71840.94+31047.57+8558.37+2304.32+3205.52+25658.74</f>
        <v>142615.46000000002</v>
      </c>
      <c r="G245" s="18">
        <f>15130.88+3647.85+1814.22+489.81</f>
        <v>21082.760000000002</v>
      </c>
      <c r="H245" s="18">
        <f>29288.07+25658.74</f>
        <v>54946.81</v>
      </c>
      <c r="I245" s="18">
        <f>15365.83</f>
        <v>15365.83</v>
      </c>
      <c r="J245" s="18"/>
      <c r="K245" s="18">
        <f>1120</f>
        <v>1120</v>
      </c>
      <c r="L245" s="13">
        <f t="shared" si="4"/>
        <v>235130.86000000002</v>
      </c>
      <c r="M245" s="8"/>
      <c r="N245" s="164"/>
    </row>
    <row r="246" spans="1:14" s="3" customFormat="1" ht="12.2" customHeight="1" x14ac:dyDescent="0.15">
      <c r="A246" s="1" t="s">
        <v>449</v>
      </c>
      <c r="B246" s="2" t="s">
        <v>350</v>
      </c>
      <c r="C246" s="2" t="s">
        <v>343</v>
      </c>
      <c r="D246" s="2" t="s">
        <v>431</v>
      </c>
      <c r="E246" s="6">
        <v>2800</v>
      </c>
      <c r="F246" s="18">
        <v>27005.46</v>
      </c>
      <c r="G246" s="18">
        <f>7473.6</f>
        <v>7473.6</v>
      </c>
      <c r="H246" s="18">
        <v>32395.18</v>
      </c>
      <c r="I246" s="18">
        <v>33271.82</v>
      </c>
      <c r="J246" s="18">
        <v>271.60000000000002</v>
      </c>
      <c r="K246" s="18">
        <v>83790.8</v>
      </c>
      <c r="L246" s="13">
        <f>SUM(F246:K246)</f>
        <v>184208.46000000002</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2683751.79</v>
      </c>
      <c r="G248" s="38">
        <f t="shared" si="5"/>
        <v>895728.35000000009</v>
      </c>
      <c r="H248" s="38">
        <f t="shared" si="5"/>
        <v>1092839.8999999999</v>
      </c>
      <c r="I248" s="38">
        <f t="shared" si="5"/>
        <v>398023.97000000003</v>
      </c>
      <c r="J248" s="38">
        <f t="shared" si="5"/>
        <v>18452.399999999998</v>
      </c>
      <c r="K248" s="38">
        <f t="shared" si="5"/>
        <v>90773.24</v>
      </c>
      <c r="L248" s="38">
        <f t="shared" si="5"/>
        <v>5179569.6499999994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8436953.4699999988</v>
      </c>
      <c r="G258" s="38">
        <f t="shared" si="8"/>
        <v>3286017.73</v>
      </c>
      <c r="H258" s="38">
        <f t="shared" si="8"/>
        <v>1874917.7599999998</v>
      </c>
      <c r="I258" s="38">
        <f t="shared" si="8"/>
        <v>809316.53</v>
      </c>
      <c r="J258" s="38">
        <f t="shared" si="8"/>
        <v>34757.049999999996</v>
      </c>
      <c r="K258" s="38">
        <f t="shared" si="8"/>
        <v>228771.07</v>
      </c>
      <c r="L258" s="38">
        <f t="shared" si="8"/>
        <v>14670733.609999999</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8436953.4699999988</v>
      </c>
      <c r="G272" s="39">
        <f t="shared" si="11"/>
        <v>3286017.73</v>
      </c>
      <c r="H272" s="39">
        <f t="shared" si="11"/>
        <v>1874917.7599999998</v>
      </c>
      <c r="I272" s="39">
        <f t="shared" si="11"/>
        <v>809316.53</v>
      </c>
      <c r="J272" s="39">
        <f t="shared" si="11"/>
        <v>34757.049999999996</v>
      </c>
      <c r="K272" s="39">
        <f t="shared" si="11"/>
        <v>228771.07</v>
      </c>
      <c r="L272" s="39">
        <f t="shared" si="11"/>
        <v>14670733.609999999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356113.87</v>
      </c>
      <c r="G277" s="18">
        <v>120278.36</v>
      </c>
      <c r="H277" s="18">
        <v>12203.44</v>
      </c>
      <c r="I277" s="18">
        <f>898.42+50+3171.22</f>
        <v>4119.6399999999994</v>
      </c>
      <c r="J277" s="18"/>
      <c r="K277" s="18"/>
      <c r="L277" s="13">
        <f>SUM(F277:K277)</f>
        <v>492715.31</v>
      </c>
      <c r="M277" s="8"/>
      <c r="N277" s="164"/>
    </row>
    <row r="278" spans="1:14" s="3" customFormat="1" ht="12.2" customHeight="1" x14ac:dyDescent="0.15">
      <c r="A278" s="1" t="s">
        <v>439</v>
      </c>
      <c r="B278" s="2" t="s">
        <v>357</v>
      </c>
      <c r="C278" s="2" t="s">
        <v>291</v>
      </c>
      <c r="D278" s="2" t="s">
        <v>431</v>
      </c>
      <c r="E278" s="6">
        <v>1200</v>
      </c>
      <c r="F278" s="18">
        <v>277589.33</v>
      </c>
      <c r="G278" s="18">
        <v>118401.12</v>
      </c>
      <c r="H278" s="18">
        <v>63268.56</v>
      </c>
      <c r="I278" s="18"/>
      <c r="J278" s="18"/>
      <c r="K278" s="18"/>
      <c r="L278" s="13">
        <f>SUM(F278:K278)</f>
        <v>459259.01</v>
      </c>
      <c r="M278" s="8"/>
      <c r="N278" s="164"/>
    </row>
    <row r="279" spans="1:14" s="3" customFormat="1" ht="12.2" customHeight="1" x14ac:dyDescent="0.15">
      <c r="A279" s="1" t="s">
        <v>440</v>
      </c>
      <c r="B279" s="2" t="s">
        <v>357</v>
      </c>
      <c r="C279" s="2" t="s">
        <v>292</v>
      </c>
      <c r="D279" s="2" t="s">
        <v>431</v>
      </c>
      <c r="E279" s="6">
        <v>1300</v>
      </c>
      <c r="F279" s="18"/>
      <c r="G279" s="18"/>
      <c r="H279" s="18">
        <v>1470</v>
      </c>
      <c r="I279" s="18"/>
      <c r="J279" s="18"/>
      <c r="K279" s="18"/>
      <c r="L279" s="13">
        <f>SUM(F279:K279)</f>
        <v>1470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60134.16</v>
      </c>
      <c r="G282" s="18">
        <v>11931.74</v>
      </c>
      <c r="H282" s="18">
        <f>39898.2+65607.66+140076.23+6007.87</f>
        <v>251589.96000000002</v>
      </c>
      <c r="I282" s="18"/>
      <c r="J282" s="18"/>
      <c r="K282" s="18"/>
      <c r="L282" s="13">
        <f t="shared" ref="L282:L288" si="12">SUM(F282:K282)</f>
        <v>323655.86000000004</v>
      </c>
      <c r="M282" s="8"/>
      <c r="N282" s="164"/>
    </row>
    <row r="283" spans="1:14" s="3" customFormat="1" ht="12.2" customHeight="1" x14ac:dyDescent="0.15">
      <c r="A283" s="1" t="s">
        <v>443</v>
      </c>
      <c r="B283" s="2" t="s">
        <v>357</v>
      </c>
      <c r="C283" s="2" t="s">
        <v>295</v>
      </c>
      <c r="D283" s="2" t="s">
        <v>431</v>
      </c>
      <c r="E283" s="6">
        <v>2200</v>
      </c>
      <c r="F283" s="18">
        <v>12476.57</v>
      </c>
      <c r="G283" s="18">
        <v>2716.93</v>
      </c>
      <c r="H283" s="18">
        <v>49203</v>
      </c>
      <c r="I283" s="18">
        <v>10505.19</v>
      </c>
      <c r="J283" s="18"/>
      <c r="K283" s="18">
        <v>8625.98</v>
      </c>
      <c r="L283" s="13">
        <f t="shared" si="12"/>
        <v>83527.67</v>
      </c>
      <c r="M283" s="8"/>
      <c r="N283" s="164"/>
    </row>
    <row r="284" spans="1:14" s="3" customFormat="1" ht="12.2" customHeight="1" x14ac:dyDescent="0.15">
      <c r="A284" s="1" t="s">
        <v>444</v>
      </c>
      <c r="B284" s="2" t="s">
        <v>357</v>
      </c>
      <c r="C284" s="2" t="s">
        <v>296</v>
      </c>
      <c r="D284" s="2" t="s">
        <v>431</v>
      </c>
      <c r="E284" s="6">
        <v>2300</v>
      </c>
      <c r="F284" s="18">
        <v>5639.4</v>
      </c>
      <c r="G284" s="18">
        <v>1161.67</v>
      </c>
      <c r="H284" s="18"/>
      <c r="I284" s="18"/>
      <c r="J284" s="18"/>
      <c r="K284" s="18"/>
      <c r="L284" s="13">
        <f t="shared" si="12"/>
        <v>6801.07</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v>87000</v>
      </c>
      <c r="J287" s="18">
        <v>117429</v>
      </c>
      <c r="K287" s="18"/>
      <c r="L287" s="13">
        <f t="shared" si="12"/>
        <v>204429</v>
      </c>
      <c r="M287" s="8"/>
      <c r="N287" s="164"/>
    </row>
    <row r="288" spans="1:14" s="3" customFormat="1" ht="12.2" customHeight="1" x14ac:dyDescent="0.15">
      <c r="A288" s="1" t="s">
        <v>448</v>
      </c>
      <c r="B288" s="2" t="s">
        <v>357</v>
      </c>
      <c r="C288" s="2" t="s">
        <v>300</v>
      </c>
      <c r="D288" s="2" t="s">
        <v>431</v>
      </c>
      <c r="E288" s="6">
        <v>2700</v>
      </c>
      <c r="F288" s="18"/>
      <c r="G288" s="18"/>
      <c r="H288" s="18">
        <v>2588.04</v>
      </c>
      <c r="I288" s="18"/>
      <c r="J288" s="18"/>
      <c r="K288" s="18"/>
      <c r="L288" s="13">
        <f t="shared" si="12"/>
        <v>2588.04</v>
      </c>
      <c r="M288" s="8"/>
      <c r="N288" s="164"/>
    </row>
    <row r="289" spans="1:14" s="3" customFormat="1" ht="12.2" customHeight="1" x14ac:dyDescent="0.15">
      <c r="A289" s="1" t="s">
        <v>449</v>
      </c>
      <c r="B289" s="2" t="s">
        <v>357</v>
      </c>
      <c r="C289" s="2" t="s">
        <v>343</v>
      </c>
      <c r="D289" s="2" t="s">
        <v>431</v>
      </c>
      <c r="E289" s="6">
        <v>2800</v>
      </c>
      <c r="F289" s="18">
        <v>14672.7</v>
      </c>
      <c r="G289" s="18">
        <v>6900.53</v>
      </c>
      <c r="H289" s="18">
        <v>97067.65</v>
      </c>
      <c r="I289" s="18"/>
      <c r="J289" s="18">
        <v>77320.75</v>
      </c>
      <c r="K289" s="18"/>
      <c r="L289" s="13">
        <f>SUM(F289:K289)</f>
        <v>195961.63</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726626.02999999991</v>
      </c>
      <c r="G291" s="39">
        <f t="shared" si="13"/>
        <v>261390.34999999998</v>
      </c>
      <c r="H291" s="39">
        <f t="shared" si="13"/>
        <v>477390.65</v>
      </c>
      <c r="I291" s="39">
        <f t="shared" si="13"/>
        <v>101624.83</v>
      </c>
      <c r="J291" s="39">
        <f t="shared" si="13"/>
        <v>194749.75</v>
      </c>
      <c r="K291" s="39">
        <f t="shared" si="13"/>
        <v>8625.98</v>
      </c>
      <c r="L291" s="38">
        <f t="shared" si="13"/>
        <v>1770407.5900000003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4"/>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159482.51</f>
        <v>159482.51</v>
      </c>
      <c r="G315" s="18">
        <v>103617.46</v>
      </c>
      <c r="H315" s="18">
        <f>110.93+8135.62</f>
        <v>8246.5499999999993</v>
      </c>
      <c r="I315" s="18">
        <v>7074.89</v>
      </c>
      <c r="J315" s="18">
        <v>102097.37</v>
      </c>
      <c r="K315" s="18">
        <v>1600</v>
      </c>
      <c r="L315" s="13">
        <f>SUM(F315:K315)</f>
        <v>382118.78</v>
      </c>
      <c r="M315" s="8"/>
      <c r="N315" s="164"/>
    </row>
    <row r="316" spans="1:14" s="3" customFormat="1" ht="12.2" customHeight="1" x14ac:dyDescent="0.15">
      <c r="A316" s="1" t="s">
        <v>439</v>
      </c>
      <c r="B316" s="2" t="s">
        <v>359</v>
      </c>
      <c r="C316" s="2" t="s">
        <v>291</v>
      </c>
      <c r="D316" s="2" t="s">
        <v>431</v>
      </c>
      <c r="E316" s="6">
        <v>1200</v>
      </c>
      <c r="F316" s="18">
        <v>148566.69</v>
      </c>
      <c r="G316" s="18">
        <v>54522.78</v>
      </c>
      <c r="H316" s="18">
        <v>42179.040000000001</v>
      </c>
      <c r="I316" s="18"/>
      <c r="J316" s="18"/>
      <c r="K316" s="18"/>
      <c r="L316" s="13">
        <f>SUM(F316:K316)</f>
        <v>245268.51</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v>980</v>
      </c>
      <c r="I318" s="18"/>
      <c r="J318" s="18"/>
      <c r="K318" s="18"/>
      <c r="L318" s="13">
        <f>SUM(F318:K318)</f>
        <v>980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40089.440000000002</v>
      </c>
      <c r="G320" s="18">
        <v>7954.49</v>
      </c>
      <c r="H320" s="18">
        <f>26598.8+43738.44+93384.16+4005.24</f>
        <v>167726.64000000001</v>
      </c>
      <c r="I320" s="18"/>
      <c r="J320" s="18"/>
      <c r="K320" s="18"/>
      <c r="L320" s="13">
        <f t="shared" ref="L320:L326" si="16">SUM(F320:K320)</f>
        <v>215770.57</v>
      </c>
      <c r="M320" s="8"/>
      <c r="N320" s="164"/>
    </row>
    <row r="321" spans="1:14" s="3" customFormat="1" ht="12.2" customHeight="1" x14ac:dyDescent="0.15">
      <c r="A321" s="1" t="s">
        <v>443</v>
      </c>
      <c r="B321" s="2" t="s">
        <v>359</v>
      </c>
      <c r="C321" s="2" t="s">
        <v>295</v>
      </c>
      <c r="D321" s="2" t="s">
        <v>431</v>
      </c>
      <c r="E321" s="6">
        <v>2200</v>
      </c>
      <c r="F321" s="18">
        <v>8317.7099999999991</v>
      </c>
      <c r="G321" s="18">
        <v>1811.28</v>
      </c>
      <c r="H321" s="18">
        <v>32802</v>
      </c>
      <c r="I321" s="18">
        <v>7003.46</v>
      </c>
      <c r="J321" s="4"/>
      <c r="K321" s="18">
        <v>5750.65</v>
      </c>
      <c r="L321" s="13">
        <f t="shared" si="16"/>
        <v>55685.1</v>
      </c>
      <c r="M321" s="8"/>
      <c r="N321" s="164"/>
    </row>
    <row r="322" spans="1:14" s="3" customFormat="1" ht="12.2" customHeight="1" x14ac:dyDescent="0.15">
      <c r="A322" s="1" t="s">
        <v>444</v>
      </c>
      <c r="B322" s="2" t="s">
        <v>359</v>
      </c>
      <c r="C322" s="2" t="s">
        <v>296</v>
      </c>
      <c r="D322" s="2" t="s">
        <v>431</v>
      </c>
      <c r="E322" s="6">
        <v>2300</v>
      </c>
      <c r="F322" s="18">
        <v>3759.6</v>
      </c>
      <c r="G322" s="18">
        <v>774.45</v>
      </c>
      <c r="H322" s="18"/>
      <c r="I322" s="18"/>
      <c r="J322" s="18"/>
      <c r="K322" s="18"/>
      <c r="L322" s="13">
        <f t="shared" si="16"/>
        <v>4534.05</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v>58000</v>
      </c>
      <c r="J325" s="18">
        <v>78286</v>
      </c>
      <c r="K325" s="18"/>
      <c r="L325" s="13">
        <f t="shared" si="16"/>
        <v>136286</v>
      </c>
      <c r="M325" s="8"/>
      <c r="N325" s="164"/>
    </row>
    <row r="326" spans="1:14" s="3" customFormat="1" ht="12.2" customHeight="1" x14ac:dyDescent="0.15">
      <c r="A326" s="1" t="s">
        <v>448</v>
      </c>
      <c r="B326" s="2" t="s">
        <v>359</v>
      </c>
      <c r="C326" s="2" t="s">
        <v>300</v>
      </c>
      <c r="D326" s="2" t="s">
        <v>431</v>
      </c>
      <c r="E326" s="6">
        <v>2700</v>
      </c>
      <c r="F326" s="18"/>
      <c r="G326" s="18"/>
      <c r="H326" s="18">
        <v>1725.36</v>
      </c>
      <c r="I326" s="18"/>
      <c r="J326" s="18"/>
      <c r="K326" s="18"/>
      <c r="L326" s="13">
        <f t="shared" si="16"/>
        <v>1725.36</v>
      </c>
      <c r="M326" s="8"/>
      <c r="N326" s="164"/>
    </row>
    <row r="327" spans="1:14" s="3" customFormat="1" ht="12.2" customHeight="1" x14ac:dyDescent="0.15">
      <c r="A327" s="1" t="s">
        <v>449</v>
      </c>
      <c r="B327" s="2" t="s">
        <v>359</v>
      </c>
      <c r="C327" s="2" t="s">
        <v>343</v>
      </c>
      <c r="D327" s="2" t="s">
        <v>431</v>
      </c>
      <c r="E327" s="6">
        <v>2800</v>
      </c>
      <c r="F327" s="18">
        <v>9781.7999999999993</v>
      </c>
      <c r="G327" s="18">
        <v>4600.3599999999997</v>
      </c>
      <c r="H327" s="18">
        <v>64711.77</v>
      </c>
      <c r="I327" s="18"/>
      <c r="J327" s="18">
        <v>51547.17</v>
      </c>
      <c r="K327" s="18"/>
      <c r="L327" s="13">
        <f>SUM(F327:K327)</f>
        <v>130641.09999999999</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369997.75</v>
      </c>
      <c r="G329" s="39">
        <f t="shared" si="17"/>
        <v>173280.81999999998</v>
      </c>
      <c r="H329" s="39">
        <f t="shared" si="17"/>
        <v>318371.36</v>
      </c>
      <c r="I329" s="39">
        <f t="shared" si="17"/>
        <v>72078.350000000006</v>
      </c>
      <c r="J329" s="39">
        <f t="shared" si="17"/>
        <v>231930.53999999998</v>
      </c>
      <c r="K329" s="39">
        <f t="shared" si="17"/>
        <v>7350.65</v>
      </c>
      <c r="L329" s="38">
        <f t="shared" si="17"/>
        <v>1173009.4700000002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1096623.7799999998</v>
      </c>
      <c r="G339" s="38">
        <f t="shared" si="20"/>
        <v>434671.16999999993</v>
      </c>
      <c r="H339" s="38">
        <f t="shared" si="20"/>
        <v>795762.01</v>
      </c>
      <c r="I339" s="38">
        <f t="shared" si="20"/>
        <v>173703.18</v>
      </c>
      <c r="J339" s="38">
        <f t="shared" si="20"/>
        <v>426680.29</v>
      </c>
      <c r="K339" s="38">
        <f t="shared" si="20"/>
        <v>15976.63</v>
      </c>
      <c r="L339" s="38">
        <f t="shared" si="20"/>
        <v>2943417.0600000005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1096623.7799999998</v>
      </c>
      <c r="G353" s="38">
        <f>G339</f>
        <v>434671.16999999993</v>
      </c>
      <c r="H353" s="38">
        <f>H339</f>
        <v>795762.01</v>
      </c>
      <c r="I353" s="38">
        <f>I339</f>
        <v>173703.18</v>
      </c>
      <c r="J353" s="38">
        <f>J339</f>
        <v>426680.29</v>
      </c>
      <c r="K353" s="38">
        <f>K339+K352</f>
        <v>15976.63</v>
      </c>
      <c r="L353" s="38">
        <f>L339+L352</f>
        <v>2943417.0600000005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178059.78</v>
      </c>
      <c r="I359" s="18"/>
      <c r="J359" s="18"/>
      <c r="K359" s="18"/>
      <c r="L359" s="13">
        <f>SUM(F359:K359)</f>
        <v>178059.78</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v>192874.3</v>
      </c>
      <c r="I361" s="18"/>
      <c r="J361" s="18"/>
      <c r="K361" s="18"/>
      <c r="L361" s="13">
        <f>SUM(F361:K361)</f>
        <v>192874.3</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370934.07999999996</v>
      </c>
      <c r="I363" s="38">
        <f t="shared" si="22"/>
        <v>0</v>
      </c>
      <c r="J363" s="38">
        <f t="shared" si="22"/>
        <v>0</v>
      </c>
      <c r="K363" s="38">
        <f t="shared" si="22"/>
        <v>0</v>
      </c>
      <c r="L363" s="38">
        <f t="shared" si="22"/>
        <v>370934.07999999996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12082.34</v>
      </c>
      <c r="I401" s="18"/>
      <c r="J401" s="23" t="s">
        <v>288</v>
      </c>
      <c r="K401" s="23" t="s">
        <v>288</v>
      </c>
      <c r="L401" s="13">
        <f t="shared" si="26"/>
        <v>12082.34</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12082.34</v>
      </c>
      <c r="I402" s="38">
        <f>SUM(I396:I401)</f>
        <v>0</v>
      </c>
      <c r="J402" s="42" t="s">
        <v>288</v>
      </c>
      <c r="K402" s="42" t="s">
        <v>288</v>
      </c>
      <c r="L402" s="38">
        <f>SUM(L396:L401)</f>
        <v>12082.34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12082.34</v>
      </c>
      <c r="I409" s="38">
        <f>I394+I402+I408</f>
        <v>0</v>
      </c>
      <c r="J409" s="23" t="s">
        <v>288</v>
      </c>
      <c r="K409" s="23" t="s">
        <v>288</v>
      </c>
      <c r="L409" s="38">
        <f>L394+L402+L408</f>
        <v>12082.34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v>928814.31</v>
      </c>
      <c r="I441" s="13">
        <f t="shared" si="33"/>
        <v>928814.31</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928814.31</v>
      </c>
      <c r="I447" s="13">
        <f>SUM(I440:I446)</f>
        <v>928814.31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v>928814.31</v>
      </c>
      <c r="I457" s="13">
        <f t="shared" si="34"/>
        <v>928814.31</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928814.31</v>
      </c>
      <c r="I461" s="65">
        <f>SUM(I455:I460)</f>
        <v>928814.31</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928814.31</v>
      </c>
      <c r="I462" s="39">
        <f>I453+I461</f>
        <v>928814.31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1700212.33</v>
      </c>
      <c r="G466" s="18">
        <v>2437937.89</v>
      </c>
      <c r="H466" s="18">
        <v>213879.12</v>
      </c>
      <c r="I466" s="18"/>
      <c r="J466" s="18">
        <v>916731.97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14763411.01</v>
      </c>
      <c r="G469" s="18">
        <v>370934.08</v>
      </c>
      <c r="H469" s="18">
        <v>2913330.5</v>
      </c>
      <c r="I469" s="18"/>
      <c r="J469" s="18">
        <v>12082.34</v>
      </c>
      <c r="K469" s="23" t="s">
        <v>288</v>
      </c>
      <c r="L469" s="23" t="s">
        <v>288</v>
      </c>
      <c r="N469" s="130"/>
    </row>
    <row r="470" spans="1:14" ht="12.2" customHeight="1" x14ac:dyDescent="0.2">
      <c r="A470" s="71" t="s">
        <v>611</v>
      </c>
      <c r="B470" s="22">
        <v>19</v>
      </c>
      <c r="C470" s="31">
        <v>3</v>
      </c>
      <c r="D470" s="2" t="s">
        <v>432</v>
      </c>
      <c r="E470" s="31"/>
      <c r="F470" s="18">
        <v>190108.67</v>
      </c>
      <c r="G470" s="18"/>
      <c r="H470" s="18">
        <v>0</v>
      </c>
      <c r="I470" s="18"/>
      <c r="J470" s="18"/>
      <c r="K470" s="23" t="s">
        <v>288</v>
      </c>
      <c r="L470" s="23" t="s">
        <v>288</v>
      </c>
      <c r="N470" s="130"/>
    </row>
    <row r="471" spans="1:14" ht="12.2" customHeight="1" x14ac:dyDescent="0.2">
      <c r="A471" s="32" t="s">
        <v>425</v>
      </c>
      <c r="B471" s="22">
        <v>19</v>
      </c>
      <c r="C471" s="31">
        <v>4</v>
      </c>
      <c r="D471" s="2" t="s">
        <v>432</v>
      </c>
      <c r="E471" s="31"/>
      <c r="F471" s="19">
        <f>SUM(F469:F470)</f>
        <v>14953519.68</v>
      </c>
      <c r="G471" s="19">
        <f>SUM(G469:G470)</f>
        <v>370934.08</v>
      </c>
      <c r="H471" s="19">
        <f>SUM(H469:H470)</f>
        <v>2913330.5</v>
      </c>
      <c r="I471" s="19">
        <f>SUM(I469:I470)</f>
        <v>0</v>
      </c>
      <c r="J471" s="19">
        <f>SUM(J469:J470)</f>
        <v>12082.34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14670733.609999999</v>
      </c>
      <c r="G473" s="18">
        <v>370934.08</v>
      </c>
      <c r="H473" s="18">
        <v>2943417.06</v>
      </c>
      <c r="I473" s="18"/>
      <c r="J473" s="18"/>
      <c r="K473" s="23" t="s">
        <v>288</v>
      </c>
      <c r="L473" s="23" t="s">
        <v>288</v>
      </c>
      <c r="N473" s="130"/>
    </row>
    <row r="474" spans="1:14" ht="12.2" customHeight="1" x14ac:dyDescent="0.2">
      <c r="A474" s="71" t="s">
        <v>613</v>
      </c>
      <c r="B474" s="22">
        <v>19</v>
      </c>
      <c r="C474" s="31">
        <v>6</v>
      </c>
      <c r="D474" s="2" t="s">
        <v>432</v>
      </c>
      <c r="E474" s="31"/>
      <c r="F474" s="18"/>
      <c r="G474" s="18">
        <v>2189606.84</v>
      </c>
      <c r="H474" s="18">
        <v>183792.56</v>
      </c>
      <c r="I474" s="18"/>
      <c r="J474" s="18"/>
      <c r="K474" s="23" t="s">
        <v>288</v>
      </c>
      <c r="L474" s="23" t="s">
        <v>288</v>
      </c>
      <c r="N474" s="130"/>
    </row>
    <row r="475" spans="1:14" ht="12.2" customHeight="1" x14ac:dyDescent="0.2">
      <c r="A475" s="32" t="s">
        <v>426</v>
      </c>
      <c r="B475" s="22">
        <v>19</v>
      </c>
      <c r="C475" s="31">
        <v>7</v>
      </c>
      <c r="D475" s="2" t="s">
        <v>432</v>
      </c>
      <c r="E475" s="31"/>
      <c r="F475" s="19">
        <f>SUM(F473:F474)</f>
        <v>14670733.609999999</v>
      </c>
      <c r="G475" s="19">
        <f>SUM(G473:G474)</f>
        <v>2560540.92</v>
      </c>
      <c r="H475" s="19">
        <f>SUM(H473:H474)</f>
        <v>3127209.62</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1982998.4000000004</v>
      </c>
      <c r="G477" s="19">
        <f>(G466+G471)- G475</f>
        <v>248331.05000000028</v>
      </c>
      <c r="H477" s="19">
        <f>(H466+H471)- H475</f>
        <v>0</v>
      </c>
      <c r="I477" s="19">
        <f>(I466+I471)- I475</f>
        <v>0</v>
      </c>
      <c r="J477" s="19">
        <f>(J466+J471)- J475</f>
        <v>928814.30999999994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20" t="s">
        <v>1842</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18" t="s">
        <v>1841</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1632680.5</v>
      </c>
      <c r="G522" s="18">
        <v>686615.11</v>
      </c>
      <c r="H522" s="18">
        <v>260853.65</v>
      </c>
      <c r="I522" s="18">
        <v>9445.64</v>
      </c>
      <c r="J522" s="18"/>
      <c r="K522" s="18">
        <v>7130</v>
      </c>
      <c r="L522" s="69">
        <f>SUM(F522:K522)</f>
        <v>2596724.9</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v>160876.09</v>
      </c>
      <c r="G524" s="18">
        <v>54783.59</v>
      </c>
      <c r="H524" s="18">
        <v>679163.17</v>
      </c>
      <c r="I524" s="18">
        <v>3305.25</v>
      </c>
      <c r="J524" s="18"/>
      <c r="K524" s="18"/>
      <c r="L524" s="69">
        <f>SUM(F524:K524)</f>
        <v>898128.10000000009</v>
      </c>
      <c r="N524" s="130"/>
    </row>
    <row r="525" spans="1:14" ht="12.2" customHeight="1" thickTop="1" x14ac:dyDescent="0.2">
      <c r="A525" s="97" t="s">
        <v>63</v>
      </c>
      <c r="B525" s="41">
        <v>21</v>
      </c>
      <c r="C525" s="41">
        <v>4</v>
      </c>
      <c r="D525" s="115" t="s">
        <v>432</v>
      </c>
      <c r="E525" s="41"/>
      <c r="F525" s="81">
        <f>SUM(F522:F524)</f>
        <v>1793556.59</v>
      </c>
      <c r="G525" s="81">
        <f t="shared" ref="G525:L525" si="36">SUM(G522:G524)</f>
        <v>741398.7</v>
      </c>
      <c r="H525" s="81">
        <f t="shared" si="36"/>
        <v>940016.82000000007</v>
      </c>
      <c r="I525" s="81">
        <f t="shared" si="36"/>
        <v>12750.89</v>
      </c>
      <c r="J525" s="81">
        <f t="shared" si="36"/>
        <v>0</v>
      </c>
      <c r="K525" s="81">
        <f t="shared" si="36"/>
        <v>7130</v>
      </c>
      <c r="L525" s="70">
        <f t="shared" si="36"/>
        <v>3494853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 t="shared" ref="F530:K530" si="37">SUM(F527:F529)</f>
        <v>0</v>
      </c>
      <c r="G530" s="70">
        <f t="shared" si="37"/>
        <v>0</v>
      </c>
      <c r="H530" s="70">
        <f t="shared" si="37"/>
        <v>0</v>
      </c>
      <c r="I530" s="70">
        <f t="shared" si="37"/>
        <v>0</v>
      </c>
      <c r="J530" s="70">
        <f t="shared" si="37"/>
        <v>0</v>
      </c>
      <c r="K530" s="70">
        <f t="shared" si="37"/>
        <v>0</v>
      </c>
      <c r="L530" s="70">
        <f t="shared" ref="L530" si="38">SUM(L527:L529)</f>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48957.43</v>
      </c>
      <c r="G532" s="18">
        <v>10689.29</v>
      </c>
      <c r="H532" s="18"/>
      <c r="I532" s="18"/>
      <c r="J532" s="18"/>
      <c r="K532" s="18"/>
      <c r="L532" s="69">
        <f>SUM(F532:K532)</f>
        <v>59646.720000000001</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32638.29</v>
      </c>
      <c r="G534" s="18">
        <v>7151.47</v>
      </c>
      <c r="H534" s="18"/>
      <c r="I534" s="18"/>
      <c r="J534" s="18"/>
      <c r="K534" s="18"/>
      <c r="L534" s="69">
        <f>SUM(F534:K534)</f>
        <v>39789.760000000002</v>
      </c>
      <c r="M534" s="8"/>
      <c r="N534" s="164"/>
    </row>
    <row r="535" spans="1:14" s="3" customFormat="1" ht="12.2" customHeight="1" thickTop="1" x14ac:dyDescent="0.15">
      <c r="A535" s="97" t="s">
        <v>67</v>
      </c>
      <c r="B535" s="41">
        <v>21</v>
      </c>
      <c r="C535" s="41">
        <v>12</v>
      </c>
      <c r="D535" s="115" t="s">
        <v>432</v>
      </c>
      <c r="E535" s="41"/>
      <c r="F535" s="70">
        <f t="shared" ref="F535:K535" si="39">SUM(F532:F534)</f>
        <v>81595.72</v>
      </c>
      <c r="G535" s="70">
        <f t="shared" si="39"/>
        <v>17840.760000000002</v>
      </c>
      <c r="H535" s="70">
        <f t="shared" si="39"/>
        <v>0</v>
      </c>
      <c r="I535" s="70">
        <f t="shared" si="39"/>
        <v>0</v>
      </c>
      <c r="J535" s="70">
        <f t="shared" si="39"/>
        <v>0</v>
      </c>
      <c r="K535" s="70">
        <f t="shared" si="39"/>
        <v>0</v>
      </c>
      <c r="L535" s="70">
        <f t="shared" ref="L535" si="40">SUM(L532:L534)</f>
        <v>99436.48000000001</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0</v>
      </c>
      <c r="I540" s="70">
        <f t="shared" si="41"/>
        <v>0</v>
      </c>
      <c r="J540" s="70">
        <f t="shared" si="41"/>
        <v>0</v>
      </c>
      <c r="K540" s="70">
        <f t="shared" si="41"/>
        <v>0</v>
      </c>
      <c r="L540" s="70">
        <f t="shared" si="41"/>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46571.360000000001</v>
      </c>
      <c r="G542" s="18">
        <v>5471.78</v>
      </c>
      <c r="H542" s="18">
        <v>2588.04</v>
      </c>
      <c r="I542" s="18"/>
      <c r="J542" s="18"/>
      <c r="K542" s="18"/>
      <c r="L542" s="69">
        <f>SUM(F542:K542)</f>
        <v>54631.18</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v>31047.57</v>
      </c>
      <c r="G544" s="18">
        <v>3647.85</v>
      </c>
      <c r="H544" s="18">
        <v>1725.36</v>
      </c>
      <c r="I544" s="18"/>
      <c r="J544" s="18"/>
      <c r="K544" s="18"/>
      <c r="L544" s="69">
        <f>SUM(F544:K544)</f>
        <v>36420.78</v>
      </c>
      <c r="M544" s="8"/>
      <c r="N544" s="164"/>
    </row>
    <row r="545" spans="1:14" s="3" customFormat="1" ht="12.2" customHeight="1" thickTop="1" thickBot="1" x14ac:dyDescent="0.2">
      <c r="A545" s="93" t="s">
        <v>71</v>
      </c>
      <c r="B545" s="63">
        <v>21</v>
      </c>
      <c r="C545" s="63">
        <v>20</v>
      </c>
      <c r="D545" s="139" t="s">
        <v>432</v>
      </c>
      <c r="E545" s="63"/>
      <c r="F545" s="140">
        <f>SUM(F542:F544)</f>
        <v>77618.929999999993</v>
      </c>
      <c r="G545" s="140">
        <f t="shared" ref="G545:L545" si="42">SUM(G542:G544)</f>
        <v>9119.6299999999992</v>
      </c>
      <c r="H545" s="140">
        <f t="shared" si="42"/>
        <v>4313.3999999999996</v>
      </c>
      <c r="I545" s="140">
        <f t="shared" si="42"/>
        <v>0</v>
      </c>
      <c r="J545" s="140">
        <f t="shared" si="42"/>
        <v>0</v>
      </c>
      <c r="K545" s="140">
        <f t="shared" si="42"/>
        <v>0</v>
      </c>
      <c r="L545" s="140">
        <f t="shared" si="42"/>
        <v>91051.959999999992</v>
      </c>
      <c r="M545" s="8"/>
      <c r="N545" s="164"/>
    </row>
    <row r="546" spans="1:14" s="3" customFormat="1" ht="12.2" customHeight="1" thickTop="1" x14ac:dyDescent="0.15">
      <c r="A546" s="75" t="s">
        <v>72</v>
      </c>
      <c r="B546" s="41">
        <v>21</v>
      </c>
      <c r="C546" s="41">
        <v>21</v>
      </c>
      <c r="D546" s="115" t="s">
        <v>432</v>
      </c>
      <c r="E546" s="41"/>
      <c r="F546" s="70">
        <f>F525+F530+F535+F540+F545</f>
        <v>1952771.24</v>
      </c>
      <c r="G546" s="70">
        <f t="shared" ref="G546:L546" si="43">G525+G530+G535+G540+G545</f>
        <v>768359.09</v>
      </c>
      <c r="H546" s="70">
        <f t="shared" si="43"/>
        <v>944330.22000000009</v>
      </c>
      <c r="I546" s="70">
        <f t="shared" si="43"/>
        <v>12750.89</v>
      </c>
      <c r="J546" s="70">
        <f t="shared" si="43"/>
        <v>0</v>
      </c>
      <c r="K546" s="70">
        <f t="shared" si="43"/>
        <v>7130</v>
      </c>
      <c r="L546" s="70">
        <f t="shared" si="43"/>
        <v>3685341.44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2596724.9</v>
      </c>
      <c r="G550" s="69">
        <f>L527</f>
        <v>0</v>
      </c>
      <c r="H550" s="69">
        <f>L532</f>
        <v>59646.720000000001</v>
      </c>
      <c r="I550" s="69">
        <f>L537</f>
        <v>0</v>
      </c>
      <c r="J550" s="69">
        <f>L542</f>
        <v>54631.18</v>
      </c>
      <c r="K550" s="69">
        <f>SUM(F550:J550)</f>
        <v>2711002.8000000003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898128.10000000009</v>
      </c>
      <c r="G552" s="69">
        <f>L529</f>
        <v>0</v>
      </c>
      <c r="H552" s="69">
        <f>L534</f>
        <v>39789.760000000002</v>
      </c>
      <c r="I552" s="69">
        <f>L539</f>
        <v>0</v>
      </c>
      <c r="J552" s="69">
        <f>L544</f>
        <v>36420.78</v>
      </c>
      <c r="K552" s="69">
        <f>SUM(F552:J552)</f>
        <v>974338.64000000013</v>
      </c>
      <c r="L552" s="23" t="s">
        <v>288</v>
      </c>
      <c r="M552" s="8"/>
      <c r="N552" s="164"/>
    </row>
    <row r="553" spans="1:14" s="3" customFormat="1" ht="12.2" customHeight="1" thickTop="1" x14ac:dyDescent="0.15">
      <c r="A553" s="126" t="s">
        <v>340</v>
      </c>
      <c r="B553" s="41">
        <v>21</v>
      </c>
      <c r="C553" s="41">
        <v>25</v>
      </c>
      <c r="D553" s="36" t="s">
        <v>432</v>
      </c>
      <c r="E553" s="41"/>
      <c r="F553" s="70">
        <f t="shared" ref="F553:K553" si="44">SUM(F550:F552)</f>
        <v>3494853</v>
      </c>
      <c r="G553" s="70">
        <f t="shared" si="44"/>
        <v>0</v>
      </c>
      <c r="H553" s="70">
        <f t="shared" si="44"/>
        <v>99436.48000000001</v>
      </c>
      <c r="I553" s="70">
        <f t="shared" si="44"/>
        <v>0</v>
      </c>
      <c r="J553" s="70">
        <f t="shared" si="44"/>
        <v>91051.959999999992</v>
      </c>
      <c r="K553" s="70">
        <f t="shared" si="44"/>
        <v>3685341.4400000004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7">SUM(G568:G570)</f>
        <v>0</v>
      </c>
      <c r="H571" s="140">
        <f t="shared" si="47"/>
        <v>0</v>
      </c>
      <c r="I571" s="140">
        <f t="shared" si="47"/>
        <v>0</v>
      </c>
      <c r="J571" s="140">
        <f t="shared" si="47"/>
        <v>0</v>
      </c>
      <c r="K571" s="140">
        <f t="shared" si="47"/>
        <v>0</v>
      </c>
      <c r="L571" s="140">
        <f t="shared" si="47"/>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9"/>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9"/>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9"/>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9"/>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129401.57</v>
      </c>
      <c r="G583" s="18"/>
      <c r="H583" s="18">
        <v>606150.38</v>
      </c>
      <c r="I583" s="69">
        <f t="shared" si="49"/>
        <v>735551.95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67336.09</v>
      </c>
      <c r="I585" s="69">
        <f t="shared" si="49"/>
        <v>67336.09</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9"/>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9"/>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129401.57</v>
      </c>
      <c r="G589" s="79">
        <f t="shared" ref="G589:I589" si="50">SUM(G576:G588)</f>
        <v>0</v>
      </c>
      <c r="H589" s="79">
        <f t="shared" si="50"/>
        <v>673486.47</v>
      </c>
      <c r="I589" s="79">
        <f t="shared" si="50"/>
        <v>802888.03999999992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171931.15</v>
      </c>
      <c r="I592" s="18">
        <v>0</v>
      </c>
      <c r="J592" s="18">
        <v>142615.46</v>
      </c>
      <c r="K592" s="80">
        <f t="shared" ref="K592:K598" si="51">SUM(H592:J592)</f>
        <v>314546.61</v>
      </c>
      <c r="L592" s="23" t="s">
        <v>288</v>
      </c>
      <c r="M592" s="8"/>
      <c r="N592" s="164"/>
    </row>
    <row r="593" spans="1:14" s="3" customFormat="1" ht="12.2" customHeight="1" x14ac:dyDescent="0.15">
      <c r="A593" s="3" t="s">
        <v>638</v>
      </c>
      <c r="B593" s="22">
        <v>23</v>
      </c>
      <c r="C593" s="22">
        <v>2</v>
      </c>
      <c r="D593" s="2" t="s">
        <v>432</v>
      </c>
      <c r="E593" s="22"/>
      <c r="F593" s="78">
        <v>2722</v>
      </c>
      <c r="G593" s="79" t="s">
        <v>97</v>
      </c>
      <c r="H593" s="18">
        <v>31654.73</v>
      </c>
      <c r="I593" s="18">
        <v>0</v>
      </c>
      <c r="J593" s="18">
        <v>21082.76</v>
      </c>
      <c r="K593" s="80">
        <f t="shared" si="51"/>
        <v>52737.49</v>
      </c>
      <c r="L593" s="23" t="s">
        <v>288</v>
      </c>
      <c r="M593" s="8"/>
      <c r="N593" s="164"/>
    </row>
    <row r="594" spans="1:14" s="3" customFormat="1" ht="12.2" customHeight="1" x14ac:dyDescent="0.15">
      <c r="A594" s="3" t="s">
        <v>639</v>
      </c>
      <c r="B594" s="22">
        <v>23</v>
      </c>
      <c r="C594" s="22">
        <v>3</v>
      </c>
      <c r="D594" s="2" t="s">
        <v>432</v>
      </c>
      <c r="E594" s="22"/>
      <c r="F594" s="78">
        <v>2723</v>
      </c>
      <c r="G594" s="79" t="s">
        <v>97</v>
      </c>
      <c r="H594" s="18">
        <v>82420.22</v>
      </c>
      <c r="I594" s="18">
        <v>0</v>
      </c>
      <c r="J594" s="18">
        <v>54946.81</v>
      </c>
      <c r="K594" s="80">
        <f t="shared" si="51"/>
        <v>137367.03</v>
      </c>
      <c r="L594" s="23" t="s">
        <v>288</v>
      </c>
      <c r="M594" s="8"/>
      <c r="N594" s="164"/>
    </row>
    <row r="595" spans="1:14" s="3" customFormat="1" ht="12.2" customHeight="1" x14ac:dyDescent="0.15">
      <c r="A595" s="21" t="s">
        <v>640</v>
      </c>
      <c r="B595" s="22">
        <v>23</v>
      </c>
      <c r="C595" s="22">
        <v>4</v>
      </c>
      <c r="D595" s="2" t="s">
        <v>432</v>
      </c>
      <c r="E595" s="22"/>
      <c r="F595" s="78">
        <v>2724</v>
      </c>
      <c r="G595" s="79" t="s">
        <v>97</v>
      </c>
      <c r="H595" s="18">
        <v>23048.74</v>
      </c>
      <c r="I595" s="18">
        <v>0</v>
      </c>
      <c r="J595" s="18">
        <v>15365.83</v>
      </c>
      <c r="K595" s="80">
        <f t="shared" si="51"/>
        <v>38414.57</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1680</v>
      </c>
      <c r="I596" s="18">
        <v>0</v>
      </c>
      <c r="J596" s="18">
        <v>1120</v>
      </c>
      <c r="K596" s="80">
        <f t="shared" si="51"/>
        <v>2800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v>0</v>
      </c>
      <c r="J597" s="18"/>
      <c r="K597" s="80">
        <f t="shared" si="51"/>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310734.83999999997</v>
      </c>
      <c r="I599" s="81">
        <f>SUM(I592:I598)</f>
        <v>0</v>
      </c>
      <c r="J599" s="81">
        <f>SUM(J592:J598)</f>
        <v>235130.86</v>
      </c>
      <c r="K599" s="81">
        <f>SUM(K592:K598)</f>
        <v>545865.69999999995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276862.40000000002</v>
      </c>
      <c r="I605" s="18"/>
      <c r="J605" s="18">
        <v>184574.94</v>
      </c>
      <c r="K605" s="80">
        <f>SUM(H605:J605)</f>
        <v>461437.34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276862.40000000002</v>
      </c>
      <c r="I606" s="81">
        <f>SUM(I603:I605)</f>
        <v>0</v>
      </c>
      <c r="J606" s="81">
        <f>SUM(J603:J605)</f>
        <v>184574.94</v>
      </c>
      <c r="K606" s="81">
        <f>SUM(K603:K605)</f>
        <v>461437.34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28821.59</v>
      </c>
      <c r="G612" s="18">
        <v>7953.78</v>
      </c>
      <c r="H612" s="18"/>
      <c r="I612" s="18"/>
      <c r="J612" s="18"/>
      <c r="K612" s="18"/>
      <c r="L612" s="69">
        <f>SUM(F612:K612)</f>
        <v>36775.370000000003</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9209.68</v>
      </c>
      <c r="G614" s="18">
        <v>2353.7600000000002</v>
      </c>
      <c r="H614" s="18"/>
      <c r="I614" s="18"/>
      <c r="J614" s="18"/>
      <c r="K614" s="18"/>
      <c r="L614" s="69">
        <f>SUM(F614:K614)</f>
        <v>11563.44</v>
      </c>
      <c r="M614" s="8"/>
      <c r="N614" s="164"/>
    </row>
    <row r="615" spans="1:14" s="3" customFormat="1" ht="12.2" customHeight="1" thickTop="1" x14ac:dyDescent="0.15">
      <c r="A615" s="75" t="s">
        <v>340</v>
      </c>
      <c r="B615" s="41">
        <v>23</v>
      </c>
      <c r="C615" s="41">
        <v>16</v>
      </c>
      <c r="D615" s="36" t="s">
        <v>432</v>
      </c>
      <c r="E615" s="41"/>
      <c r="F615" s="81">
        <f t="shared" ref="F615:L615" si="52">SUM(F612:F614)</f>
        <v>38031.270000000004</v>
      </c>
      <c r="G615" s="81">
        <f t="shared" si="52"/>
        <v>10307.540000000001</v>
      </c>
      <c r="H615" s="81">
        <f t="shared" si="52"/>
        <v>0</v>
      </c>
      <c r="I615" s="81">
        <f t="shared" si="52"/>
        <v>0</v>
      </c>
      <c r="J615" s="81">
        <f t="shared" si="52"/>
        <v>0</v>
      </c>
      <c r="K615" s="81">
        <f t="shared" si="52"/>
        <v>0</v>
      </c>
      <c r="L615" s="70">
        <f t="shared" si="52"/>
        <v>48338.810000000005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2347833.1</v>
      </c>
      <c r="H618" s="80">
        <f>SUM(F52)</f>
        <v>2347833.0999999996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265646.15000000002</v>
      </c>
      <c r="H619" s="80">
        <f>SUM(G52)</f>
        <v>265646.14999999997</v>
      </c>
      <c r="I619" s="87" t="s">
        <v>872</v>
      </c>
      <c r="J619" s="80">
        <f>G619-H619</f>
        <v>0</v>
      </c>
      <c r="K619" s="80"/>
      <c r="L619" s="80"/>
      <c r="M619" s="8"/>
    </row>
    <row r="620" spans="1:14" s="3" customFormat="1" ht="12.2" customHeight="1" x14ac:dyDescent="0.15">
      <c r="A620" s="74"/>
      <c r="B620" s="22"/>
      <c r="C620" s="22"/>
      <c r="D620" s="22"/>
      <c r="E620" s="22"/>
      <c r="F620" s="87" t="s">
        <v>685</v>
      </c>
      <c r="G620" s="80">
        <f>SUM(H19)</f>
        <v>12449.159999999989</v>
      </c>
      <c r="H620" s="80">
        <f>SUM(H52)</f>
        <v>12449.16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928814.31</v>
      </c>
      <c r="H622" s="80">
        <f>SUM(J52)</f>
        <v>928814.31</v>
      </c>
      <c r="I622" s="87" t="s">
        <v>875</v>
      </c>
      <c r="J622" s="80">
        <f>G622-H622</f>
        <v>0</v>
      </c>
      <c r="K622" s="80"/>
      <c r="L622" s="80"/>
      <c r="M622" s="8"/>
    </row>
    <row r="623" spans="1:14" s="3" customFormat="1" ht="12.2" customHeight="1" x14ac:dyDescent="0.15">
      <c r="A623" s="74"/>
      <c r="B623" s="22"/>
      <c r="C623" s="22"/>
      <c r="D623" s="22"/>
      <c r="E623" s="22"/>
      <c r="F623" s="87" t="s">
        <v>861</v>
      </c>
      <c r="G623" s="80">
        <f>F51</f>
        <v>1982998.4</v>
      </c>
      <c r="H623" s="80">
        <f>F477</f>
        <v>1982998.4000000004</v>
      </c>
      <c r="I623" s="87" t="s">
        <v>101</v>
      </c>
      <c r="J623" s="80">
        <f t="shared" ref="J623:J656" si="53">G623-H623</f>
        <v>0</v>
      </c>
      <c r="K623" s="80"/>
      <c r="L623" s="80"/>
      <c r="M623" s="8"/>
    </row>
    <row r="624" spans="1:14" s="3" customFormat="1" ht="12.2" customHeight="1" x14ac:dyDescent="0.15">
      <c r="A624" s="74"/>
      <c r="B624" s="22"/>
      <c r="C624" s="85"/>
      <c r="D624" s="85"/>
      <c r="E624" s="85"/>
      <c r="F624" s="85" t="s">
        <v>862</v>
      </c>
      <c r="G624" s="80">
        <f>G51</f>
        <v>248331.05</v>
      </c>
      <c r="H624" s="80">
        <f>G477</f>
        <v>248331.05000000028</v>
      </c>
      <c r="I624" s="87" t="s">
        <v>102</v>
      </c>
      <c r="J624" s="80">
        <f t="shared" si="53"/>
        <v>-2.9103830456733704E-10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3"/>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865</v>
      </c>
      <c r="G627" s="80">
        <f>J51</f>
        <v>928814.31</v>
      </c>
      <c r="H627" s="80">
        <f>J477</f>
        <v>928814.30999999994</v>
      </c>
      <c r="I627" s="87" t="s">
        <v>105</v>
      </c>
      <c r="J627" s="80">
        <f t="shared" si="53"/>
        <v>0</v>
      </c>
      <c r="K627" s="67"/>
      <c r="L627" s="69"/>
      <c r="M627" s="8"/>
    </row>
    <row r="628" spans="1:13" s="3" customFormat="1" ht="12.2" customHeight="1" x14ac:dyDescent="0.15">
      <c r="A628" s="21"/>
      <c r="B628" s="22"/>
      <c r="C628" s="22"/>
      <c r="D628" s="22"/>
      <c r="E628" s="22"/>
      <c r="F628" s="86" t="s">
        <v>658</v>
      </c>
      <c r="G628" s="80">
        <f>F194</f>
        <v>14763411.01</v>
      </c>
      <c r="H628" s="80">
        <f>SUM(F469)</f>
        <v>14763411.01</v>
      </c>
      <c r="I628" s="87" t="s">
        <v>106</v>
      </c>
      <c r="J628" s="80">
        <f>G628-H628</f>
        <v>0</v>
      </c>
      <c r="K628" s="67"/>
      <c r="L628" s="69"/>
      <c r="M628" s="8"/>
    </row>
    <row r="629" spans="1:13" s="3" customFormat="1" ht="12.2" customHeight="1" x14ac:dyDescent="0.15">
      <c r="A629" s="21"/>
      <c r="B629" s="22"/>
      <c r="C629" s="22"/>
      <c r="D629" s="22"/>
      <c r="E629" s="22"/>
      <c r="F629" s="86" t="s">
        <v>659</v>
      </c>
      <c r="G629" s="80">
        <f>G194</f>
        <v>370934.07999999996</v>
      </c>
      <c r="H629" s="80">
        <f>SUM(G469)</f>
        <v>370934.08</v>
      </c>
      <c r="I629" s="87" t="s">
        <v>107</v>
      </c>
      <c r="J629" s="80">
        <f>G629-H629</f>
        <v>0</v>
      </c>
      <c r="K629" s="67"/>
      <c r="L629" s="69"/>
      <c r="M629" s="8"/>
    </row>
    <row r="630" spans="1:13" s="3" customFormat="1" ht="12.2" customHeight="1" x14ac:dyDescent="0.15">
      <c r="A630" s="21"/>
      <c r="B630" s="22"/>
      <c r="C630" s="22"/>
      <c r="D630" s="22"/>
      <c r="E630" s="22"/>
      <c r="F630" s="86" t="s">
        <v>660</v>
      </c>
      <c r="G630" s="80">
        <f>H194</f>
        <v>2913330.5</v>
      </c>
      <c r="H630" s="80">
        <f>SUM(H469)</f>
        <v>2913330.5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12082.34</v>
      </c>
      <c r="H632" s="80">
        <f>SUM(J469)</f>
        <v>12082.34</v>
      </c>
      <c r="I632" s="87" t="s">
        <v>110</v>
      </c>
      <c r="J632" s="80">
        <f>G632-H632</f>
        <v>0</v>
      </c>
      <c r="K632" s="67"/>
      <c r="L632" s="69"/>
      <c r="M632" s="8"/>
    </row>
    <row r="633" spans="1:13" s="3" customFormat="1" ht="12.2" customHeight="1" x14ac:dyDescent="0.15">
      <c r="A633" s="21"/>
      <c r="B633" s="22"/>
      <c r="C633" s="22"/>
      <c r="D633" s="22"/>
      <c r="E633" s="22"/>
      <c r="F633" s="86" t="s">
        <v>394</v>
      </c>
      <c r="G633" s="80">
        <f>SUM(L272)</f>
        <v>14670733.609999999</v>
      </c>
      <c r="H633" s="80">
        <f>SUM(F473)</f>
        <v>14670733.609999999</v>
      </c>
      <c r="I633" s="87" t="s">
        <v>111</v>
      </c>
      <c r="J633" s="80">
        <f t="shared" si="53"/>
        <v>0</v>
      </c>
      <c r="K633" s="67"/>
      <c r="L633" s="69"/>
      <c r="M633" s="8"/>
    </row>
    <row r="634" spans="1:13" s="3" customFormat="1" ht="12.2" customHeight="1" x14ac:dyDescent="0.15">
      <c r="A634" s="21"/>
      <c r="B634" s="22"/>
      <c r="C634" s="22"/>
      <c r="D634" s="22"/>
      <c r="E634" s="22"/>
      <c r="F634" s="86" t="s">
        <v>395</v>
      </c>
      <c r="G634" s="80">
        <f>SUM(L353)</f>
        <v>2943417.0600000005</v>
      </c>
      <c r="H634" s="80">
        <f>SUM(H473)</f>
        <v>2943417.06</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370934.07999999996</v>
      </c>
      <c r="H636" s="80">
        <f>SUM(G473)</f>
        <v>370934.08</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12082.34</v>
      </c>
      <c r="H638" s="108">
        <f>SUM(J469)</f>
        <v>12082.34</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3"/>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3"/>
        <v>0</v>
      </c>
      <c r="K641" s="67"/>
      <c r="L641" s="69"/>
      <c r="M641" s="8"/>
    </row>
    <row r="642" spans="1:13" s="3" customFormat="1" ht="12.2" customHeight="1" x14ac:dyDescent="0.15">
      <c r="A642" s="21"/>
      <c r="B642" s="22"/>
      <c r="C642" s="22"/>
      <c r="D642" s="22"/>
      <c r="E642" s="22"/>
      <c r="F642" s="86" t="s">
        <v>120</v>
      </c>
      <c r="G642" s="80">
        <f>SUM(H447)</f>
        <v>928814.31</v>
      </c>
      <c r="H642" s="80">
        <f>SUM(H462)</f>
        <v>928814.31</v>
      </c>
      <c r="I642" s="87" t="s">
        <v>839</v>
      </c>
      <c r="J642" s="80">
        <f t="shared" si="53"/>
        <v>0</v>
      </c>
      <c r="K642" s="67"/>
      <c r="L642" s="69"/>
      <c r="M642" s="8"/>
    </row>
    <row r="643" spans="1:13" s="3" customFormat="1" ht="12.2" customHeight="1" x14ac:dyDescent="0.15">
      <c r="A643" s="21"/>
      <c r="B643" s="22"/>
      <c r="C643" s="22"/>
      <c r="D643" s="22"/>
      <c r="E643" s="22"/>
      <c r="F643" s="86" t="s">
        <v>121</v>
      </c>
      <c r="G643" s="80">
        <f>SUM(I447)</f>
        <v>928814.31</v>
      </c>
      <c r="H643" s="80">
        <f>SUM(I462)</f>
        <v>928814.31</v>
      </c>
      <c r="I643" s="87" t="s">
        <v>840</v>
      </c>
      <c r="J643" s="80">
        <f t="shared" si="53"/>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12082.34</v>
      </c>
      <c r="H645" s="80">
        <f>H409</f>
        <v>12082.34</v>
      </c>
      <c r="I645" s="87" t="s">
        <v>480</v>
      </c>
      <c r="J645" s="80">
        <f t="shared" si="53"/>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3"/>
        <v>0</v>
      </c>
      <c r="K646" s="67"/>
      <c r="L646" s="69"/>
      <c r="M646" s="8"/>
    </row>
    <row r="647" spans="1:13" s="3" customFormat="1" ht="12.2" customHeight="1" x14ac:dyDescent="0.15">
      <c r="A647" s="21"/>
      <c r="B647" s="22"/>
      <c r="C647" s="22"/>
      <c r="D647" s="22"/>
      <c r="E647" s="22"/>
      <c r="F647" s="86" t="s">
        <v>662</v>
      </c>
      <c r="G647" s="80">
        <f>J194</f>
        <v>12082.34</v>
      </c>
      <c r="H647" s="80">
        <f>L409</f>
        <v>12082.34</v>
      </c>
      <c r="I647" s="87" t="s">
        <v>477</v>
      </c>
      <c r="J647" s="80">
        <f t="shared" si="53"/>
        <v>0</v>
      </c>
      <c r="K647" s="67"/>
      <c r="L647" s="69"/>
      <c r="M647" s="8"/>
    </row>
    <row r="648" spans="1:13" s="3" customFormat="1" ht="12.2" customHeight="1" x14ac:dyDescent="0.15">
      <c r="A648" s="21"/>
      <c r="B648" s="22"/>
      <c r="C648" s="22"/>
      <c r="D648" s="22"/>
      <c r="E648" s="22"/>
      <c r="F648" s="86" t="s">
        <v>51</v>
      </c>
      <c r="G648" s="80">
        <f>K599</f>
        <v>545865.69999999995</v>
      </c>
      <c r="H648" s="80">
        <f>L209+L227+L245</f>
        <v>545865.69999999995</v>
      </c>
      <c r="I648" s="87" t="s">
        <v>396</v>
      </c>
      <c r="J648" s="80">
        <f t="shared" si="53"/>
        <v>0</v>
      </c>
      <c r="K648" s="67"/>
      <c r="L648" s="69"/>
      <c r="M648" s="8"/>
    </row>
    <row r="649" spans="1:13" s="3" customFormat="1" ht="12.2" customHeight="1" x14ac:dyDescent="0.15">
      <c r="A649" s="21"/>
      <c r="B649" s="22"/>
      <c r="C649" s="22"/>
      <c r="D649" s="22"/>
      <c r="E649" s="22"/>
      <c r="F649" s="86" t="s">
        <v>52</v>
      </c>
      <c r="G649" s="80">
        <f>K606</f>
        <v>461437.34</v>
      </c>
      <c r="H649" s="80">
        <f>(J258+J339)-(J256+J337)</f>
        <v>461437.33999999997</v>
      </c>
      <c r="I649" s="87" t="s">
        <v>699</v>
      </c>
      <c r="J649" s="80">
        <f t="shared" si="53"/>
        <v>0</v>
      </c>
      <c r="K649" s="67"/>
      <c r="L649" s="69"/>
      <c r="M649" s="8"/>
    </row>
    <row r="650" spans="1:13" s="3" customFormat="1" ht="12.2" customHeight="1" x14ac:dyDescent="0.15">
      <c r="A650" s="21"/>
      <c r="B650" s="22"/>
      <c r="C650" s="22"/>
      <c r="D650" s="22"/>
      <c r="E650" s="22"/>
      <c r="F650" s="86" t="s">
        <v>387</v>
      </c>
      <c r="G650" s="80">
        <f>L209</f>
        <v>310734.83999999997</v>
      </c>
      <c r="H650" s="80">
        <f>H599</f>
        <v>310734.83999999997</v>
      </c>
      <c r="I650" s="87" t="s">
        <v>388</v>
      </c>
      <c r="J650" s="80">
        <f t="shared" si="53"/>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3"/>
        <v>0</v>
      </c>
      <c r="K651" s="67"/>
      <c r="L651" s="69"/>
      <c r="M651" s="8"/>
    </row>
    <row r="652" spans="1:13" s="3" customFormat="1" ht="12.2" customHeight="1" x14ac:dyDescent="0.15">
      <c r="A652" s="21"/>
      <c r="B652" s="22"/>
      <c r="C652" s="22"/>
      <c r="D652" s="22"/>
      <c r="E652" s="22"/>
      <c r="F652" s="86" t="s">
        <v>393</v>
      </c>
      <c r="G652" s="80">
        <f>L245</f>
        <v>235130.86000000002</v>
      </c>
      <c r="H652" s="80">
        <f>J599</f>
        <v>235130.86</v>
      </c>
      <c r="I652" s="87" t="s">
        <v>390</v>
      </c>
      <c r="J652" s="80">
        <f t="shared" si="53"/>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3"/>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11439631.33</v>
      </c>
      <c r="G661" s="13">
        <f>(L230+L310+L360)</f>
        <v>0</v>
      </c>
      <c r="H661" s="13">
        <f>(L248+L329+L361)</f>
        <v>6545453.419999999</v>
      </c>
      <c r="I661" s="13">
        <f>SUM(F661:H661)</f>
        <v>17985084.75</v>
      </c>
      <c r="J661" s="13"/>
      <c r="K661" s="13"/>
      <c r="L661" s="13"/>
      <c r="M661" s="9"/>
    </row>
    <row r="662" spans="1:13" s="3" customFormat="1" ht="12.2" customHeight="1" x14ac:dyDescent="0.2">
      <c r="A662" s="1" t="s">
        <v>127</v>
      </c>
      <c r="F662" s="13">
        <f>(L359/IF(SUM(L359:L361)=0,1,SUM(L359:L361))*(SUM(G97:G110)))</f>
        <v>46355.632670449697</v>
      </c>
      <c r="G662" s="13">
        <f>(L360/IF(SUM(L359:L361)=0,1,SUM(L359:L361))*(SUM(G97:G110)))</f>
        <v>0</v>
      </c>
      <c r="H662" s="13">
        <f>(L361/IF(SUM(L359:L361)=0,1,SUM(L359:L361))*(SUM(G97:G110)))</f>
        <v>50212.407329550311</v>
      </c>
      <c r="I662" s="13">
        <f>SUM(F662:H662)</f>
        <v>96568.040000000008</v>
      </c>
      <c r="J662"/>
      <c r="K662" s="13"/>
      <c r="L662" s="13"/>
      <c r="M662" s="8"/>
    </row>
    <row r="663" spans="1:13" s="3" customFormat="1" ht="12.2" customHeight="1" x14ac:dyDescent="0.2">
      <c r="A663" s="1" t="s">
        <v>128</v>
      </c>
      <c r="F663" s="13">
        <f>(L209+L288)-(J209+J288)</f>
        <v>313322.87999999995</v>
      </c>
      <c r="G663" s="13">
        <f>(L227+L307)-(J227+J307)</f>
        <v>0</v>
      </c>
      <c r="H663" s="13">
        <f>(L245+L326)-(J245+J326)</f>
        <v>236856.22</v>
      </c>
      <c r="I663" s="13">
        <f>SUM(F663:H663)</f>
        <v>550179.1</v>
      </c>
      <c r="J663"/>
      <c r="K663" s="13"/>
      <c r="L663" s="13"/>
      <c r="M663" s="9"/>
    </row>
    <row r="664" spans="1:13" s="3" customFormat="1" ht="12.2" customHeight="1" x14ac:dyDescent="0.15">
      <c r="A664" s="141" t="s">
        <v>129</v>
      </c>
      <c r="B664" s="124"/>
      <c r="C664" s="124"/>
      <c r="D664" s="124"/>
      <c r="E664" s="124"/>
      <c r="F664" s="142">
        <f>SUM(F576:F588)+SUM(H603:H605)+SUM(L612)</f>
        <v>443039.34</v>
      </c>
      <c r="G664" s="142">
        <f>SUM(G576:G588)+SUM(I603:I605)+L613</f>
        <v>0</v>
      </c>
      <c r="H664" s="142">
        <f>SUM(H576:H588)+SUM(J603:J605)+L614</f>
        <v>869624.84999999986</v>
      </c>
      <c r="I664" s="13">
        <f>SUM(F664:H664)</f>
        <v>1312664.19</v>
      </c>
      <c r="J664" s="13"/>
      <c r="K664" s="13"/>
      <c r="L664" s="13"/>
      <c r="M664" s="9"/>
    </row>
    <row r="665" spans="1:13" s="3" customFormat="1" ht="12.2" customHeight="1" x14ac:dyDescent="0.15">
      <c r="A665" s="1" t="s">
        <v>130</v>
      </c>
      <c r="F665" s="13">
        <f>F661-SUM(F662:F664)</f>
        <v>10636913.47732955</v>
      </c>
      <c r="G665" s="13">
        <f>G661-SUM(G662:G664)</f>
        <v>0</v>
      </c>
      <c r="H665" s="13">
        <f>H661-SUM(H662:H664)</f>
        <v>5388759.9426704487</v>
      </c>
      <c r="I665" s="13">
        <f>I661-SUM(I662:I664)</f>
        <v>16025673.42</v>
      </c>
      <c r="J665" s="13"/>
      <c r="K665" s="13"/>
      <c r="L665" s="13"/>
      <c r="M665" s="8"/>
    </row>
    <row r="666" spans="1:13" s="3" customFormat="1" ht="12.2" customHeight="1" x14ac:dyDescent="0.2">
      <c r="A666" s="1" t="s">
        <v>131</v>
      </c>
      <c r="F666" s="182">
        <v>497.95</v>
      </c>
      <c r="G666" s="183">
        <v>0</v>
      </c>
      <c r="H666" s="183">
        <v>220.48</v>
      </c>
      <c r="I666" s="13">
        <f>SUM(F666:H666)</f>
        <v>718.43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21361.41</v>
      </c>
      <c r="G668" s="13" t="e">
        <f>ROUND(G665/G666,2)</f>
        <v>#DIV/0!</v>
      </c>
      <c r="H668" s="13">
        <f>ROUND(H665/H666,2)</f>
        <v>24441.040000000001</v>
      </c>
      <c r="I668" s="13">
        <f>ROUND(I665/I666,2)</f>
        <v>22306.52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2" customHeight="1" x14ac:dyDescent="0.15">
      <c r="A671" s="1" t="s">
        <v>135</v>
      </c>
      <c r="F671" s="18"/>
      <c r="G671" s="18"/>
      <c r="H671" s="18">
        <v>-11.06</v>
      </c>
      <c r="I671" s="13">
        <f>SUM(F671:H671)</f>
        <v>-11.06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21361.41</v>
      </c>
      <c r="G673" s="13" t="e">
        <f>ROUND((G665+G670)/(G666+G671),2)</f>
        <v>#DIV/0!</v>
      </c>
      <c r="H673" s="13">
        <f>ROUND((H665+H670)/(H666+H671),2)</f>
        <v>25731.83</v>
      </c>
      <c r="I673" s="13">
        <f>ROUND((I665+I670)/(I666+I671),2)</f>
        <v>22655.29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6" sqref="H16"/>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96835.97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68628.97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28207</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Farmington</v>
      </c>
      <c r="C5" s="321"/>
      <c r="D5" s="321"/>
      <c r="E5" s="321"/>
      <c r="F5" s="321"/>
    </row>
    <row r="8" spans="1:9" ht="18" x14ac:dyDescent="0.25">
      <c r="A8" s="239" t="s">
        <v>1548</v>
      </c>
      <c r="F8" s="246" t="s">
        <v>1566</v>
      </c>
    </row>
    <row r="9" spans="1:9" ht="15" x14ac:dyDescent="0.2">
      <c r="A9" s="237" t="s">
        <v>1549</v>
      </c>
      <c r="B9" s="240">
        <f>'DOE25'!G97</f>
        <v>96568.04</v>
      </c>
      <c r="F9" s="237" t="s">
        <v>1562</v>
      </c>
    </row>
    <row r="10" spans="1:9" ht="15" x14ac:dyDescent="0.2">
      <c r="A10" s="237" t="s">
        <v>1550</v>
      </c>
      <c r="B10" s="240">
        <f>'DOE25'!G112-'DOE25'!G97</f>
        <v>0</v>
      </c>
      <c r="F10" s="237" t="s">
        <v>1563</v>
      </c>
    </row>
    <row r="11" spans="1:9" ht="15" x14ac:dyDescent="0.2">
      <c r="A11" s="237" t="s">
        <v>1551</v>
      </c>
      <c r="B11" s="240">
        <f>'DOE25'!G140</f>
        <v>1842.74</v>
      </c>
      <c r="F11" s="237" t="s">
        <v>1564</v>
      </c>
    </row>
    <row r="12" spans="1:9" ht="15" x14ac:dyDescent="0.2">
      <c r="A12" s="237" t="s">
        <v>1552</v>
      </c>
      <c r="B12" s="240">
        <f>'DOE25'!G170</f>
        <v>272523.3</v>
      </c>
      <c r="F12" s="237" t="s">
        <v>1565</v>
      </c>
    </row>
    <row r="13" spans="1:9" ht="15" x14ac:dyDescent="0.2">
      <c r="A13" s="237" t="s">
        <v>1553</v>
      </c>
      <c r="B13" s="240">
        <f>'DOE25'!G193-'DOE25'!G180</f>
        <v>0</v>
      </c>
      <c r="F13" s="237" t="s">
        <v>1575</v>
      </c>
    </row>
    <row r="14" spans="1:9" ht="18" x14ac:dyDescent="0.25">
      <c r="A14" s="239" t="s">
        <v>732</v>
      </c>
      <c r="B14" s="241">
        <f>SUM(B9:B13)</f>
        <v>370934.07999999996</v>
      </c>
    </row>
    <row r="16" spans="1:9" ht="18" x14ac:dyDescent="0.25">
      <c r="A16" s="239" t="s">
        <v>783</v>
      </c>
      <c r="F16" s="246" t="s">
        <v>1567</v>
      </c>
    </row>
    <row r="17" spans="1:6" ht="15" x14ac:dyDescent="0.2">
      <c r="A17" s="237" t="s">
        <v>1554</v>
      </c>
      <c r="B17" s="240">
        <f>'DOE25'!L363-'DOE25'!L362</f>
        <v>370934.07999999996</v>
      </c>
      <c r="F17" s="237" t="s">
        <v>1568</v>
      </c>
    </row>
    <row r="18" spans="1:6" ht="15" x14ac:dyDescent="0.2">
      <c r="A18" s="237" t="s">
        <v>1555</v>
      </c>
      <c r="B18" s="250"/>
      <c r="F18" s="246" t="s">
        <v>1592</v>
      </c>
    </row>
    <row r="19" spans="1:6" ht="18" x14ac:dyDescent="0.25">
      <c r="A19" s="239" t="s">
        <v>725</v>
      </c>
      <c r="B19" s="241">
        <f>SUM(B17:B18)</f>
        <v>370934.07999999996</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2437937.89</v>
      </c>
      <c r="F31" s="237" t="s">
        <v>1572</v>
      </c>
    </row>
    <row r="33" spans="1:6" ht="15" x14ac:dyDescent="0.2">
      <c r="A33" s="237" t="s">
        <v>1790</v>
      </c>
      <c r="B33" s="240">
        <f>'DOE25'!G477</f>
        <v>248331.05000000028</v>
      </c>
      <c r="F33" s="237" t="s">
        <v>1573</v>
      </c>
    </row>
    <row r="36" spans="1:6" ht="15" x14ac:dyDescent="0.2">
      <c r="A36" s="237" t="s">
        <v>1559</v>
      </c>
      <c r="B36" s="251">
        <v>15036</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33" sqref="J3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Farmington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4509089.7399999993</v>
      </c>
      <c r="C9" s="166">
        <f>'DOE25'!G198+'DOE25'!G216+'DOE25'!G234+'DOE25'!G277+'DOE25'!G296+'DOE25'!G315</f>
        <v>1737166.24</v>
      </c>
    </row>
    <row r="10" spans="1:3" x14ac:dyDescent="0.2">
      <c r="A10" t="s">
        <v>772</v>
      </c>
      <c r="B10" s="176">
        <v>4509089.74</v>
      </c>
      <c r="C10" s="176">
        <v>1737166.24</v>
      </c>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4509089.74</v>
      </c>
      <c r="C13" s="168">
        <f>SUM(C10:C12)</f>
        <v>1737166.24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1792768.4200000002</v>
      </c>
      <c r="C18" s="166">
        <f>'DOE25'!G199+'DOE25'!G217+'DOE25'!G235+'DOE25'!G278+'DOE25'!G297+'DOE25'!G316</f>
        <v>736653.63</v>
      </c>
    </row>
    <row r="19" spans="1:3" x14ac:dyDescent="0.2">
      <c r="A19" t="s">
        <v>772</v>
      </c>
      <c r="B19" s="176">
        <v>634895.63</v>
      </c>
      <c r="C19" s="176">
        <v>435062.29</v>
      </c>
    </row>
    <row r="20" spans="1:3" x14ac:dyDescent="0.2">
      <c r="A20" t="s">
        <v>773</v>
      </c>
      <c r="B20" s="176">
        <v>1157872.79</v>
      </c>
      <c r="C20" s="176">
        <v>301591.34000000003</v>
      </c>
    </row>
    <row r="21" spans="1:3" x14ac:dyDescent="0.2">
      <c r="A21" t="s">
        <v>774</v>
      </c>
      <c r="B21" s="176"/>
      <c r="C21" s="176"/>
    </row>
    <row r="22" spans="1:3" x14ac:dyDescent="0.2">
      <c r="A22" t="str">
        <f>IF(B18=B22,IF(C18=C22,"Check Total OK","Check Total Error"),"Check Total Error")</f>
        <v>Check Total OK</v>
      </c>
      <c r="B22" s="168">
        <f>SUM(B19:B21)</f>
        <v>1792768.42</v>
      </c>
      <c r="C22" s="168">
        <f>SUM(C19:C21)</f>
        <v>736653.63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155750.59</v>
      </c>
      <c r="C36" s="172">
        <f>'DOE25'!G201+'DOE25'!G219+'DOE25'!G237+'DOE25'!G280+'DOE25'!G299+'DOE25'!G318</f>
        <v>25543.46</v>
      </c>
    </row>
    <row r="37" spans="1:3" x14ac:dyDescent="0.2">
      <c r="A37" t="s">
        <v>772</v>
      </c>
      <c r="B37" s="176">
        <v>155750.59</v>
      </c>
      <c r="C37" s="176">
        <v>25543.46</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155750.59</v>
      </c>
      <c r="C40" s="168">
        <f>SUM(C37:C39)</f>
        <v>25543.46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W38" sqref="W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Farmington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8725272.1699999999</v>
      </c>
      <c r="D5" s="19">
        <f>SUM('DOE25'!L198:L201)+SUM('DOE25'!L216:L219)+SUM('DOE25'!L234:L237)-F5-G5-H5</f>
        <v>7792406.0999999996</v>
      </c>
      <c r="E5" s="179"/>
      <c r="F5" s="180">
        <v>910000</v>
      </c>
      <c r="G5" s="19">
        <f>SUM('DOE25'!J198:J201)+SUM('DOE25'!J216:J219)+SUM('DOE25'!J234:J237)</f>
        <v>22784.92</v>
      </c>
      <c r="H5" s="19">
        <f>SUM('DOE25'!K198:K201)+SUM('DOE25'!K216:K219)+SUM('DOE25'!K234:K237)</f>
        <v>81.150000000000006</v>
      </c>
      <c r="I5" s="191"/>
    </row>
    <row r="6" spans="1:9" x14ac:dyDescent="0.2">
      <c r="A6" s="31">
        <v>2100</v>
      </c>
      <c r="B6" t="s">
        <v>793</v>
      </c>
      <c r="C6" s="205">
        <f t="shared" si="0"/>
        <v>830745.43</v>
      </c>
      <c r="D6" s="19">
        <f>'DOE25'!L203+'DOE25'!L221+'DOE25'!L239-F6-G6-H6</f>
        <v>829767.43</v>
      </c>
      <c r="E6" s="179"/>
      <c r="F6" s="180"/>
      <c r="G6" s="19">
        <f>'DOE25'!J203+'DOE25'!J221+'DOE25'!J239</f>
        <v>978</v>
      </c>
      <c r="H6" s="19">
        <f>'DOE25'!K203+'DOE25'!K221+'DOE25'!K239</f>
        <v>0</v>
      </c>
      <c r="I6" s="191"/>
    </row>
    <row r="7" spans="1:9" x14ac:dyDescent="0.2">
      <c r="A7" s="31">
        <v>2200</v>
      </c>
      <c r="B7" t="s">
        <v>817</v>
      </c>
      <c r="C7" s="205">
        <f t="shared" si="0"/>
        <v>228835.79</v>
      </c>
      <c r="D7" s="19">
        <f>'DOE25'!L204+'DOE25'!L222+'DOE25'!L240-F7-G7-H7</f>
        <v>224600.61000000002</v>
      </c>
      <c r="E7" s="179"/>
      <c r="F7" s="180"/>
      <c r="G7" s="19">
        <f>'DOE25'!J204+'DOE25'!J222+'DOE25'!J240</f>
        <v>4235.18</v>
      </c>
      <c r="H7" s="19">
        <f>'DOE25'!K204+'DOE25'!K222+'DOE25'!K240</f>
        <v>0</v>
      </c>
      <c r="I7" s="191"/>
    </row>
    <row r="8" spans="1:9" x14ac:dyDescent="0.2">
      <c r="A8" s="31">
        <v>2300</v>
      </c>
      <c r="B8" t="s">
        <v>794</v>
      </c>
      <c r="C8" s="205">
        <f t="shared" si="0"/>
        <v>741872.49</v>
      </c>
      <c r="D8" s="179"/>
      <c r="E8" s="19">
        <f>'DOE25'!L205+'DOE25'!L223+'DOE25'!L241-F8-G8-H8-D9-D11</f>
        <v>729076.22</v>
      </c>
      <c r="F8" s="180"/>
      <c r="G8" s="19">
        <f>'DOE25'!J205+'DOE25'!J223+'DOE25'!J241</f>
        <v>0</v>
      </c>
      <c r="H8" s="19">
        <f>'DOE25'!K205+'DOE25'!K223+'DOE25'!K241</f>
        <v>12796.27</v>
      </c>
      <c r="I8" s="191"/>
    </row>
    <row r="9" spans="1:9" ht="14.25" x14ac:dyDescent="0.2">
      <c r="A9" s="31">
        <v>2310</v>
      </c>
      <c r="B9" s="71" t="s">
        <v>884</v>
      </c>
      <c r="C9" s="205">
        <f t="shared" si="0"/>
        <v>101480.28</v>
      </c>
      <c r="D9" s="180">
        <v>101480.28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1116236.01</v>
      </c>
      <c r="D12" s="19">
        <f>'DOE25'!L206+'DOE25'!L224+'DOE25'!L242-F12-G12-H12</f>
        <v>1108365.8600000001</v>
      </c>
      <c r="E12" s="179"/>
      <c r="F12" s="180"/>
      <c r="G12" s="19">
        <f>'DOE25'!J206+'DOE25'!J224+'DOE25'!J242</f>
        <v>6079.95</v>
      </c>
      <c r="H12" s="19">
        <f>'DOE25'!K206+'DOE25'!K224+'DOE25'!K242</f>
        <v>1790.2</v>
      </c>
      <c r="I12" s="191"/>
    </row>
    <row r="13" spans="1:9" x14ac:dyDescent="0.2">
      <c r="A13" s="31">
        <v>2500</v>
      </c>
      <c r="B13" t="s">
        <v>795</v>
      </c>
      <c r="C13" s="205">
        <f t="shared" si="0"/>
        <v>309786.83999999997</v>
      </c>
      <c r="D13" s="179"/>
      <c r="E13" s="19">
        <f>'DOE25'!L207+'DOE25'!L225+'DOE25'!L243-F13-G13-H13</f>
        <v>259134.33999999997</v>
      </c>
      <c r="F13" s="180">
        <v>50000</v>
      </c>
      <c r="G13" s="19">
        <f>'DOE25'!J207+'DOE25'!J225+'DOE25'!J243</f>
        <v>0</v>
      </c>
      <c r="H13" s="19">
        <f>'DOE25'!K207+'DOE25'!K225+'DOE25'!K243</f>
        <v>652.5</v>
      </c>
      <c r="I13" s="191"/>
    </row>
    <row r="14" spans="1:9" x14ac:dyDescent="0.2">
      <c r="A14" s="31">
        <v>2600</v>
      </c>
      <c r="B14" t="s">
        <v>815</v>
      </c>
      <c r="C14" s="205">
        <f t="shared" si="0"/>
        <v>1610117.77</v>
      </c>
      <c r="D14" s="19">
        <f>'DOE25'!L208+'DOE25'!L226+'DOE25'!L244-F14-G14-H14</f>
        <v>1108943.82</v>
      </c>
      <c r="E14" s="179"/>
      <c r="F14" s="180">
        <v>500000</v>
      </c>
      <c r="G14" s="19">
        <f>'DOE25'!J208+'DOE25'!J226+'DOE25'!J244</f>
        <v>0</v>
      </c>
      <c r="H14" s="19">
        <f>'DOE25'!K208+'DOE25'!K226+'DOE25'!K244</f>
        <v>1173.95</v>
      </c>
      <c r="I14" s="191"/>
    </row>
    <row r="15" spans="1:9" x14ac:dyDescent="0.2">
      <c r="A15" s="31">
        <v>2700</v>
      </c>
      <c r="B15" t="s">
        <v>796</v>
      </c>
      <c r="C15" s="205">
        <f t="shared" si="0"/>
        <v>545865.69999999995</v>
      </c>
      <c r="D15" s="19">
        <f>'DOE25'!L209+'DOE25'!L227+'DOE25'!L245-F15-G15-H15</f>
        <v>443065.69999999995</v>
      </c>
      <c r="E15" s="179"/>
      <c r="F15" s="180">
        <v>100000</v>
      </c>
      <c r="G15" s="19">
        <f>'DOE25'!J209+'DOE25'!J227+'DOE25'!J245</f>
        <v>0</v>
      </c>
      <c r="H15" s="19">
        <f>'DOE25'!K209+'DOE25'!K227+'DOE25'!K245</f>
        <v>2800</v>
      </c>
      <c r="I15" s="191"/>
    </row>
    <row r="16" spans="1:9" x14ac:dyDescent="0.2">
      <c r="A16" s="31">
        <v>2800</v>
      </c>
      <c r="B16" t="s">
        <v>797</v>
      </c>
      <c r="C16" s="205">
        <f t="shared" si="0"/>
        <v>460521.13</v>
      </c>
      <c r="D16" s="179"/>
      <c r="E16" s="19">
        <f>'DOE25'!L210+'DOE25'!L228+'DOE25'!L246-F16-G16-H16</f>
        <v>100365.13</v>
      </c>
      <c r="F16" s="180">
        <v>150000</v>
      </c>
      <c r="G16" s="19">
        <f>'DOE25'!J210+'DOE25'!J228+'DOE25'!J246</f>
        <v>679</v>
      </c>
      <c r="H16" s="19">
        <f>'DOE25'!K210+'DOE25'!K228+'DOE25'!K246</f>
        <v>209477</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2943417.0600000005</v>
      </c>
      <c r="D31" s="19">
        <f>'DOE25'!L291+'DOE25'!L310+'DOE25'!L329+'DOE25'!L334+'DOE25'!L335+'DOE25'!L336-F31-G31-H31</f>
        <v>2100760.1400000006</v>
      </c>
      <c r="E31" s="179"/>
      <c r="F31" s="180">
        <v>400000</v>
      </c>
      <c r="G31" s="19">
        <f>'DOE25'!J291+'DOE25'!J310+'DOE25'!J329+'DOE25'!J334+'DOE25'!J335+'DOE25'!J336</f>
        <v>426680.29</v>
      </c>
      <c r="H31" s="19">
        <f>'DOE25'!K291+'DOE25'!K310+'DOE25'!K329+'DOE25'!K334+'DOE25'!K335+'DOE25'!K336</f>
        <v>15976.63</v>
      </c>
      <c r="I31" s="191"/>
    </row>
    <row r="32" spans="1:9" ht="12" thickBot="1" x14ac:dyDescent="0.25">
      <c r="C32" s="206"/>
      <c r="G32" s="187"/>
      <c r="H32" s="187"/>
      <c r="I32" s="193"/>
    </row>
    <row r="33" spans="1:9" ht="12" thickTop="1" x14ac:dyDescent="0.2">
      <c r="B33" t="s">
        <v>806</v>
      </c>
      <c r="D33" s="181">
        <f t="shared" ref="D33:I33" si="1">SUM(D5:D31)</f>
        <v>13709389.939999998</v>
      </c>
      <c r="E33" s="181">
        <f t="shared" si="1"/>
        <v>1088575.69</v>
      </c>
      <c r="F33" s="181">
        <f t="shared" si="1"/>
        <v>2110000</v>
      </c>
      <c r="G33" s="181">
        <f t="shared" si="1"/>
        <v>461437.33999999997</v>
      </c>
      <c r="H33" s="181">
        <f t="shared" si="1"/>
        <v>244747.7</v>
      </c>
      <c r="I33" s="181">
        <f t="shared" si="1"/>
        <v>0</v>
      </c>
    </row>
    <row r="34" spans="1:9" ht="12" thickBot="1" x14ac:dyDescent="0.25"/>
    <row r="35" spans="1:9" ht="12" thickBot="1" x14ac:dyDescent="0.25">
      <c r="B35" s="187" t="s">
        <v>827</v>
      </c>
      <c r="D35" s="188">
        <f>E33</f>
        <v>1088575.69</v>
      </c>
      <c r="E35" s="184"/>
      <c r="F35" s="294" t="s">
        <v>1596</v>
      </c>
      <c r="G35" s="295"/>
      <c r="H35" s="295"/>
      <c r="I35" s="296"/>
    </row>
    <row r="36" spans="1:9" ht="12" thickTop="1" x14ac:dyDescent="0.2">
      <c r="B36" t="s">
        <v>807</v>
      </c>
      <c r="D36" s="19">
        <f>D33</f>
        <v>13709389.939999998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370934.08</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N10" sqref="N1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Farmington</v>
      </c>
      <c r="B2">
        <f>'DOE25'!B2</f>
        <v>175</v>
      </c>
      <c r="J2" s="223" t="s">
        <v>1799</v>
      </c>
      <c r="K2" s="308">
        <f>SUM('DOE25'!L198:L201)+SUM('DOE25'!L277:L280)</f>
        <v>6693525.2600000007</v>
      </c>
      <c r="L2" s="308">
        <f>'DOE25'!L203+'DOE25'!L282</f>
        <v>829587.49000000011</v>
      </c>
      <c r="M2" s="308">
        <f>'DOE25'!L204+'DOE25'!L283</f>
        <v>218389.02000000002</v>
      </c>
      <c r="N2" s="308">
        <f>'DOE25'!L206+'DOE25'!L285</f>
        <v>752219.29999999993</v>
      </c>
      <c r="O2" s="316">
        <f>'Salaries-Benefits'!B10+'Salaries-Benefits'!B12+'Salaries-Benefits'!B19+'Salaries-Benefits'!B21+'Salaries-Benefits'!B28+'Salaries-Benefits'!B30+'Salaries-Benefits'!B37+'Salaries-Benefits'!B39</f>
        <v>5299735.96</v>
      </c>
      <c r="P2" s="316">
        <f>'Salaries-Benefits'!B11+'Salaries-Benefits'!B20+'Salaries-Benefits'!B29+'Salaries-Benefits'!B38</f>
        <v>1157872.79</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11261571.550000001</v>
      </c>
      <c r="G4" s="228">
        <f>'DOE25'!L212+'DOE25'!L291</f>
        <v>11261571.550000001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129401.59</v>
      </c>
      <c r="E5" s="219"/>
      <c r="F5" s="231">
        <f>D5+E5</f>
        <v>129401.59</v>
      </c>
      <c r="G5" s="222"/>
      <c r="H5" s="222"/>
      <c r="J5" s="71" t="s">
        <v>1840</v>
      </c>
      <c r="K5" s="20"/>
      <c r="L5" s="20"/>
      <c r="M5" s="20"/>
      <c r="N5" s="20"/>
      <c r="O5" s="20"/>
      <c r="P5" s="20"/>
      <c r="Q5" s="20"/>
    </row>
    <row r="6" spans="1:22" x14ac:dyDescent="0.2">
      <c r="A6" t="str" cm="1">
        <f t="array" ref="A6">IFERROR(INDEX('School Tables'!$A$4:$G$365,'School Tables'!$J4,3),"")</f>
        <v>Henry Wilson Memorial School</v>
      </c>
      <c r="B6" s="229">
        <f>IFERROR(VLOOKUP(A6,'School Tables'!$C$3:$D$365,2,FALSE),"")</f>
        <v>22055</v>
      </c>
      <c r="C6" s="222" t="str">
        <f>IFERROR(INDEX('School Tables'!$B$3:$B$365,MATCH('School Level Expenditures'!B6,'School Tables'!$D$3:$D$365,0)),"")</f>
        <v>Farmington</v>
      </c>
      <c r="D6" s="219">
        <v>5617057.4299999997</v>
      </c>
      <c r="E6" s="219">
        <v>1062244.55</v>
      </c>
      <c r="F6" s="231">
        <f t="shared" ref="F6:F20" si="2">D6+E6</f>
        <v>6679301.9799999995</v>
      </c>
      <c r="G6" s="222"/>
      <c r="H6" s="222"/>
      <c r="J6" t="str">
        <f t="shared" ref="J6:J20" si="3">A6</f>
        <v>Henry Wilson Memorial School</v>
      </c>
      <c r="K6" s="20">
        <v>4016115.16</v>
      </c>
      <c r="L6" s="20">
        <v>497752.49</v>
      </c>
      <c r="M6" s="307">
        <v>131033.41</v>
      </c>
      <c r="N6" s="20">
        <v>451331.58</v>
      </c>
      <c r="O6" s="20">
        <v>3179841.58</v>
      </c>
      <c r="P6" s="20">
        <v>694723.67</v>
      </c>
      <c r="Q6" s="20">
        <v>29500.16</v>
      </c>
    </row>
    <row r="7" spans="1:22" x14ac:dyDescent="0.2">
      <c r="A7" t="str" cm="1">
        <f t="array" ref="A7">IFERROR(INDEX('School Tables'!$A$4:$G$365,'School Tables'!$J5,3),"")</f>
        <v>Valley View Community School</v>
      </c>
      <c r="B7" s="229">
        <f>IFERROR(VLOOKUP(A7,'School Tables'!$C$3:$D$365,2,FALSE),"")</f>
        <v>27980</v>
      </c>
      <c r="C7" s="222" t="str">
        <f>IFERROR(INDEX('School Tables'!$B$3:$B$365,MATCH('School Level Expenditures'!B7,'School Tables'!$D$3:$D$365,0)),"")</f>
        <v>Farmington</v>
      </c>
      <c r="D7" s="219">
        <v>3744704.95</v>
      </c>
      <c r="E7" s="219">
        <v>708163.03</v>
      </c>
      <c r="F7" s="231">
        <f t="shared" si="2"/>
        <v>4452867.9800000004</v>
      </c>
      <c r="G7" s="222"/>
      <c r="H7" s="222"/>
      <c r="J7" t="str">
        <f t="shared" si="3"/>
        <v>Valley View Community School</v>
      </c>
      <c r="K7" s="20">
        <v>2677410.1</v>
      </c>
      <c r="L7" s="20">
        <v>331835</v>
      </c>
      <c r="M7" s="307">
        <v>87355.61</v>
      </c>
      <c r="N7" s="20">
        <v>300887.71999999997</v>
      </c>
      <c r="O7" s="20">
        <v>2119894.38</v>
      </c>
      <c r="P7" s="20">
        <v>463149.12</v>
      </c>
      <c r="Q7" s="219">
        <v>19666.77</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9491163.9699999988</v>
      </c>
      <c r="E21" s="261">
        <f>SUM(E5:E20)</f>
        <v>1770407.58</v>
      </c>
      <c r="F21" s="216"/>
      <c r="G21" s="216"/>
      <c r="H21" s="216"/>
      <c r="K21" s="262">
        <f t="shared" ref="K21:Q21" si="4">SUM(K5:K20)</f>
        <v>6693525.2599999998</v>
      </c>
      <c r="L21" s="262">
        <f t="shared" si="4"/>
        <v>829587.49</v>
      </c>
      <c r="M21" s="262">
        <f t="shared" si="4"/>
        <v>218389.02000000002</v>
      </c>
      <c r="N21" s="262">
        <f t="shared" si="4"/>
        <v>752219.3</v>
      </c>
      <c r="O21" s="262">
        <f t="shared" si="4"/>
        <v>5299735.96</v>
      </c>
      <c r="P21" s="262">
        <f t="shared" si="4"/>
        <v>1157872.79</v>
      </c>
      <c r="Q21" s="262">
        <f t="shared" si="4"/>
        <v>49166.93</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3613558.52</v>
      </c>
      <c r="L36" s="19">
        <f>'DOE25'!L239+'DOE25'!L320</f>
        <v>540584.37</v>
      </c>
      <c r="M36" s="19">
        <f>'DOE25'!L240+'DOE25'!L321</f>
        <v>149659.54</v>
      </c>
      <c r="N36" s="19">
        <f>'DOE25'!L242+'DOE25'!L323</f>
        <v>364016.71</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6352579.1199999992</v>
      </c>
      <c r="G38" s="228">
        <f>'DOE25'!L248+'DOE25'!L329</f>
        <v>6352579.1199999992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673486.47</v>
      </c>
      <c r="E39" s="219"/>
      <c r="F39" s="231">
        <f t="shared" ref="F39:F44" si="10">D39+E39</f>
        <v>673486.47</v>
      </c>
      <c r="G39" s="222"/>
      <c r="H39" s="222"/>
      <c r="J39" s="71" t="s">
        <v>1840</v>
      </c>
      <c r="K39" s="315"/>
      <c r="L39" s="315"/>
      <c r="M39" s="315"/>
      <c r="N39" s="315"/>
      <c r="O39" s="315"/>
      <c r="P39" s="315"/>
      <c r="Q39" s="315">
        <v>54492.480000000003</v>
      </c>
    </row>
    <row r="40" spans="1:17" x14ac:dyDescent="0.2">
      <c r="A40" t="str" cm="1">
        <f t="array" ref="A40">IFERROR(INDEX('School Tables'!$W$4:$AC$120,'School Tables'!$AF4,3),"")</f>
        <v>Farmington Senior High School</v>
      </c>
      <c r="B40" s="229">
        <f>IFERROR(VLOOKUP(A40,'School Tables'!$Y$4:$Z$120,2,FALSE),"")</f>
        <v>22050</v>
      </c>
      <c r="C40" s="222" t="str">
        <f>IFERROR(INDEX('School Tables'!$X$4:$X$120,MATCH('School Level Expenditures'!A40,'School Tables'!$Y$4:$Y$120,0)),"")</f>
        <v>Farmington</v>
      </c>
      <c r="D40" s="219">
        <v>4506083.18</v>
      </c>
      <c r="E40" s="219">
        <v>1173009.47</v>
      </c>
      <c r="F40" s="231">
        <f t="shared" si="10"/>
        <v>5679092.6499999994</v>
      </c>
      <c r="G40" s="222"/>
      <c r="H40" s="222"/>
      <c r="J40" t="str">
        <f>A40</f>
        <v>Farmington Senior High School</v>
      </c>
      <c r="K40" s="20">
        <v>3613558.52</v>
      </c>
      <c r="L40" s="20">
        <v>540584.37</v>
      </c>
      <c r="M40" s="307">
        <v>149659.54</v>
      </c>
      <c r="N40" s="20">
        <v>364016.71</v>
      </c>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5179569.6499999994</v>
      </c>
      <c r="E45" s="262">
        <f>SUM(E39:E44)</f>
        <v>1173009.47</v>
      </c>
      <c r="K45" s="262">
        <f t="shared" ref="K45:Q45" si="11">SUM(K39:K44)</f>
        <v>3613558.52</v>
      </c>
      <c r="L45" s="262">
        <f t="shared" si="11"/>
        <v>540584.37</v>
      </c>
      <c r="M45" s="262">
        <f t="shared" si="11"/>
        <v>149659.54</v>
      </c>
      <c r="N45" s="262">
        <f t="shared" si="11"/>
        <v>364016.71</v>
      </c>
      <c r="O45" s="262">
        <f t="shared" si="11"/>
        <v>0</v>
      </c>
      <c r="P45" s="262">
        <f t="shared" si="11"/>
        <v>0</v>
      </c>
      <c r="Q45" s="262">
        <f t="shared" si="11"/>
        <v>54492.480000000003</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64" zoomScale="80" zoomScaleNormal="80" workbookViewId="0">
      <selection activeCell="R127" sqref="R12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Farmington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999737.52</v>
      </c>
      <c r="D8" s="73">
        <f>'DOE25'!G9</f>
        <v>187579.5</v>
      </c>
      <c r="E8" s="73">
        <f>'DOE25'!H9</f>
        <v>0</v>
      </c>
      <c r="F8" s="73">
        <f>'DOE25'!I9</f>
        <v>0</v>
      </c>
      <c r="G8" s="73">
        <f>'DOE25'!J9</f>
        <v>0</v>
      </c>
      <c r="H8" s="13">
        <f>SUM(C8:G8)</f>
        <v>1187317.02</v>
      </c>
      <c r="I8" s="90"/>
    </row>
    <row r="9" spans="1:9" x14ac:dyDescent="0.2">
      <c r="A9" s="1" t="s">
        <v>140</v>
      </c>
      <c r="B9" s="6">
        <v>110</v>
      </c>
      <c r="C9" s="73">
        <f>'DOE25'!F10</f>
        <v>0</v>
      </c>
      <c r="D9" s="73">
        <f>'DOE25'!G10</f>
        <v>0</v>
      </c>
      <c r="E9" s="73">
        <f>'DOE25'!H10</f>
        <v>0</v>
      </c>
      <c r="F9" s="73">
        <f>'DOE25'!I10</f>
        <v>0</v>
      </c>
      <c r="G9" s="73">
        <f>'DOE25'!J10</f>
        <v>928814.31</v>
      </c>
      <c r="H9" s="13">
        <f t="shared" ref="H9:H18" si="0">SUM(C9:G9)</f>
        <v>928814.31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1347995.58</v>
      </c>
      <c r="D11" s="73">
        <f>'DOE25'!G12</f>
        <v>0</v>
      </c>
      <c r="E11" s="73">
        <f>'DOE25'!H12</f>
        <v>92206.74</v>
      </c>
      <c r="F11" s="73">
        <f>'DOE25'!I12</f>
        <v>0</v>
      </c>
      <c r="G11" s="73">
        <f>'DOE25'!J12</f>
        <v>0</v>
      </c>
      <c r="H11" s="13">
        <f t="shared" si="0"/>
        <v>1440202.32</v>
      </c>
      <c r="I11" s="90"/>
    </row>
    <row r="12" spans="1:9" x14ac:dyDescent="0.2">
      <c r="A12" s="1" t="s">
        <v>143</v>
      </c>
      <c r="B12" s="6">
        <v>140</v>
      </c>
      <c r="C12" s="73">
        <f>'DOE25'!F13</f>
        <v>0</v>
      </c>
      <c r="D12" s="73">
        <f>'DOE25'!G13</f>
        <v>44148.88</v>
      </c>
      <c r="E12" s="73">
        <f>'DOE25'!H13</f>
        <v>-148597.67000000001</v>
      </c>
      <c r="F12" s="73">
        <f>'DOE25'!I13</f>
        <v>0</v>
      </c>
      <c r="G12" s="73">
        <f>'DOE25'!J13</f>
        <v>0</v>
      </c>
      <c r="H12" s="13">
        <f t="shared" si="0"/>
        <v>-104448.79000000001</v>
      </c>
      <c r="I12" s="90"/>
    </row>
    <row r="13" spans="1:9" x14ac:dyDescent="0.2">
      <c r="A13" s="1" t="s">
        <v>144</v>
      </c>
      <c r="B13" s="6">
        <v>150</v>
      </c>
      <c r="C13" s="73">
        <f>'DOE25'!F14</f>
        <v>0</v>
      </c>
      <c r="D13" s="73">
        <f>'DOE25'!G14</f>
        <v>33917.769999999997</v>
      </c>
      <c r="E13" s="73">
        <f>'DOE25'!H14</f>
        <v>0</v>
      </c>
      <c r="F13" s="73">
        <f>'DOE25'!I14</f>
        <v>0</v>
      </c>
      <c r="G13" s="73">
        <f>'DOE25'!J14</f>
        <v>0</v>
      </c>
      <c r="H13" s="13">
        <f t="shared" si="0"/>
        <v>33917.769999999997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68840.09</v>
      </c>
      <c r="F16" s="73">
        <f>'DOE25'!I17</f>
        <v>0</v>
      </c>
      <c r="G16" s="73">
        <f>'DOE25'!J17</f>
        <v>0</v>
      </c>
      <c r="H16" s="13">
        <f t="shared" si="0"/>
        <v>68840.09</v>
      </c>
      <c r="I16" s="90"/>
    </row>
    <row r="17" spans="1:9" ht="12" thickBot="1" x14ac:dyDescent="0.25">
      <c r="A17" s="1" t="s">
        <v>148</v>
      </c>
      <c r="B17" s="6">
        <v>190</v>
      </c>
      <c r="C17" s="73">
        <f>'DOE25'!F18</f>
        <v>100</v>
      </c>
      <c r="D17" s="73">
        <f>'DOE25'!G18</f>
        <v>0</v>
      </c>
      <c r="E17" s="73">
        <f>'DOE25'!H18</f>
        <v>0</v>
      </c>
      <c r="F17" s="73">
        <f>'DOE25'!I18</f>
        <v>0</v>
      </c>
      <c r="G17" s="73">
        <f>'DOE25'!J18</f>
        <v>0</v>
      </c>
      <c r="H17" s="13">
        <f t="shared" si="0"/>
        <v>100</v>
      </c>
      <c r="I17" s="90"/>
    </row>
    <row r="18" spans="1:9" ht="12" thickTop="1" x14ac:dyDescent="0.2">
      <c r="A18" s="35" t="s">
        <v>149</v>
      </c>
      <c r="B18" s="36"/>
      <c r="C18" s="38">
        <f>SUM(C8:C17)</f>
        <v>2347833.1</v>
      </c>
      <c r="D18" s="38">
        <f>SUM(D8:D17)</f>
        <v>265646.15000000002</v>
      </c>
      <c r="E18" s="38">
        <f>SUM(E8:E17)</f>
        <v>12449.159999999989</v>
      </c>
      <c r="F18" s="38">
        <f>SUM(F8:F17)</f>
        <v>0</v>
      </c>
      <c r="G18" s="38">
        <f>SUM(G8:G17)</f>
        <v>928814.31</v>
      </c>
      <c r="H18" s="38">
        <f t="shared" si="0"/>
        <v>3554742.72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66685</v>
      </c>
      <c r="D22" s="73">
        <f>'DOE25'!G23</f>
        <v>0</v>
      </c>
      <c r="E22" s="73">
        <f>'DOE25'!H23</f>
        <v>0</v>
      </c>
      <c r="F22" s="73">
        <f>'DOE25'!I23</f>
        <v>0</v>
      </c>
      <c r="G22" s="73">
        <f>'DOE25'!J23</f>
        <v>0</v>
      </c>
      <c r="H22" s="13">
        <f t="shared" si="1"/>
        <v>66685</v>
      </c>
      <c r="I22" s="90"/>
    </row>
    <row r="23" spans="1:9" x14ac:dyDescent="0.2">
      <c r="A23" s="1" t="s">
        <v>152</v>
      </c>
      <c r="B23" s="6">
        <v>420</v>
      </c>
      <c r="C23" s="73">
        <f>'DOE25'!F24</f>
        <v>-38860</v>
      </c>
      <c r="D23" s="73">
        <f>'DOE25'!G24</f>
        <v>13.1</v>
      </c>
      <c r="E23" s="73">
        <f>'DOE25'!H24</f>
        <v>12449.16</v>
      </c>
      <c r="F23" s="73">
        <f>'DOE25'!I24</f>
        <v>0</v>
      </c>
      <c r="G23" s="73">
        <f>'DOE25'!J24</f>
        <v>0</v>
      </c>
      <c r="H23" s="13">
        <f t="shared" si="1"/>
        <v>-26397.74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77849.899999999994</v>
      </c>
      <c r="D27" s="73">
        <f>'DOE25'!G28</f>
        <v>0</v>
      </c>
      <c r="E27" s="73">
        <f>'DOE25'!H28</f>
        <v>0</v>
      </c>
      <c r="F27" s="73">
        <f>'DOE25'!I28</f>
        <v>0</v>
      </c>
      <c r="G27" s="23" t="s">
        <v>288</v>
      </c>
      <c r="H27" s="13">
        <f t="shared" si="1"/>
        <v>77849.899999999994</v>
      </c>
      <c r="I27" s="90"/>
    </row>
    <row r="28" spans="1:9" x14ac:dyDescent="0.2">
      <c r="A28" s="1" t="s">
        <v>157</v>
      </c>
      <c r="B28" s="6">
        <v>470</v>
      </c>
      <c r="C28" s="73">
        <f>'DOE25'!F29</f>
        <v>281308.08</v>
      </c>
      <c r="D28" s="73">
        <f>'DOE25'!G29</f>
        <v>0</v>
      </c>
      <c r="E28" s="73">
        <f>'DOE25'!H29</f>
        <v>0</v>
      </c>
      <c r="F28" s="73">
        <f>'DOE25'!I29</f>
        <v>0</v>
      </c>
      <c r="G28" s="23" t="s">
        <v>288</v>
      </c>
      <c r="H28" s="13">
        <f t="shared" si="1"/>
        <v>281308.08</v>
      </c>
      <c r="I28" s="90"/>
    </row>
    <row r="29" spans="1:9" x14ac:dyDescent="0.2">
      <c r="A29" s="1" t="s">
        <v>158</v>
      </c>
      <c r="B29" s="6">
        <v>480</v>
      </c>
      <c r="C29" s="73">
        <f>'DOE25'!F30</f>
        <v>0</v>
      </c>
      <c r="D29" s="73">
        <f>'DOE25'!G30</f>
        <v>17302</v>
      </c>
      <c r="E29" s="73">
        <f>'DOE25'!H30</f>
        <v>0</v>
      </c>
      <c r="F29" s="73">
        <f>'DOE25'!I30</f>
        <v>0</v>
      </c>
      <c r="G29" s="23" t="s">
        <v>288</v>
      </c>
      <c r="H29" s="13">
        <f t="shared" si="1"/>
        <v>17302</v>
      </c>
      <c r="I29" s="90"/>
    </row>
    <row r="30" spans="1:9" ht="12" thickBot="1" x14ac:dyDescent="0.25">
      <c r="A30" s="1" t="s">
        <v>159</v>
      </c>
      <c r="B30" s="56">
        <v>490</v>
      </c>
      <c r="C30" s="73">
        <f>'DOE25'!F31</f>
        <v>-22148.28</v>
      </c>
      <c r="D30" s="73">
        <f>'DOE25'!G31</f>
        <v>0</v>
      </c>
      <c r="E30" s="73">
        <f>'DOE25'!H31</f>
        <v>0</v>
      </c>
      <c r="F30" s="73">
        <f>'DOE25'!I31</f>
        <v>0</v>
      </c>
      <c r="G30" s="73">
        <f>'DOE25'!J31</f>
        <v>0</v>
      </c>
      <c r="H30" s="13">
        <f t="shared" si="1"/>
        <v>-22148.28</v>
      </c>
      <c r="I30" s="90"/>
    </row>
    <row r="31" spans="1:9" ht="12" thickTop="1" x14ac:dyDescent="0.2">
      <c r="A31" s="35" t="s">
        <v>160</v>
      </c>
      <c r="B31" s="2"/>
      <c r="C31" s="38">
        <f>SUM(C21:C30)</f>
        <v>364834.69999999995</v>
      </c>
      <c r="D31" s="38">
        <f>SUM(D21:D30)</f>
        <v>17315.099999999999</v>
      </c>
      <c r="E31" s="38">
        <f>SUM(E21:E30)</f>
        <v>12449.16</v>
      </c>
      <c r="F31" s="38">
        <f>SUM(F21:F30)</f>
        <v>0</v>
      </c>
      <c r="G31" s="38">
        <f>SUM(G21:G30)</f>
        <v>0</v>
      </c>
      <c r="H31" s="38">
        <f t="shared" si="1"/>
        <v>394598.9599999999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111251.67</v>
      </c>
      <c r="E34" s="73">
        <f>'DOE25'!H35</f>
        <v>0</v>
      </c>
      <c r="F34" s="73">
        <f>'DOE25'!I35</f>
        <v>0</v>
      </c>
      <c r="G34" s="23" t="s">
        <v>288</v>
      </c>
      <c r="H34" s="13">
        <f t="shared" ref="H34:H51" si="2">SUM(C34:G34)</f>
        <v>111251.67</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137079.38</v>
      </c>
      <c r="E42" s="73">
        <f>'DOE25'!H43</f>
        <v>0</v>
      </c>
      <c r="F42" s="73">
        <f>'DOE25'!I43</f>
        <v>0</v>
      </c>
      <c r="G42" s="73">
        <f>'DOE25'!J43</f>
        <v>928814.31</v>
      </c>
      <c r="H42" s="13">
        <f t="shared" si="2"/>
        <v>1065893.69</v>
      </c>
      <c r="I42" s="90"/>
    </row>
    <row r="43" spans="1:9" x14ac:dyDescent="0.2">
      <c r="A43" s="1" t="s">
        <v>859</v>
      </c>
      <c r="B43" s="6">
        <v>755</v>
      </c>
      <c r="C43" s="73">
        <f>'DOE25'!F44</f>
        <v>700000</v>
      </c>
      <c r="D43" s="73">
        <f>'DOE25'!G44</f>
        <v>0</v>
      </c>
      <c r="E43" s="73">
        <f>'DOE25'!H44</f>
        <v>0</v>
      </c>
      <c r="F43" s="73">
        <f>'DOE25'!I44</f>
        <v>0</v>
      </c>
      <c r="G43" s="23" t="s">
        <v>288</v>
      </c>
      <c r="H43" s="13">
        <f t="shared" si="2"/>
        <v>700000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400460</v>
      </c>
      <c r="D48" s="73">
        <f>'DOE25'!G49</f>
        <v>0</v>
      </c>
      <c r="E48" s="73">
        <f>'DOE25'!H49</f>
        <v>0</v>
      </c>
      <c r="F48" s="73">
        <f>'DOE25'!I49</f>
        <v>0</v>
      </c>
      <c r="G48" s="73">
        <f>'DOE25'!J49</f>
        <v>0</v>
      </c>
      <c r="H48" s="13">
        <f t="shared" si="2"/>
        <v>400460</v>
      </c>
      <c r="I48" s="90"/>
    </row>
    <row r="49" spans="1:9" ht="12" thickBot="1" x14ac:dyDescent="0.25">
      <c r="A49" s="28" t="s">
        <v>879</v>
      </c>
      <c r="B49" s="56">
        <v>770</v>
      </c>
      <c r="C49" s="73">
        <f>'DOE25'!F50</f>
        <v>882538.4</v>
      </c>
      <c r="D49" s="23" t="s">
        <v>288</v>
      </c>
      <c r="E49" s="23" t="s">
        <v>288</v>
      </c>
      <c r="F49" s="23" t="s">
        <v>288</v>
      </c>
      <c r="G49" s="23" t="s">
        <v>288</v>
      </c>
      <c r="H49" s="13">
        <f t="shared" si="2"/>
        <v>882538.4</v>
      </c>
      <c r="I49" s="90"/>
    </row>
    <row r="50" spans="1:9" ht="12.75" thickTop="1" thickBot="1" x14ac:dyDescent="0.25">
      <c r="A50" s="35" t="s">
        <v>880</v>
      </c>
      <c r="B50" s="44"/>
      <c r="C50" s="38">
        <f>SUM(C34:C49)</f>
        <v>1982998.4</v>
      </c>
      <c r="D50" s="38">
        <f>SUM(D34:D49)</f>
        <v>248331.05</v>
      </c>
      <c r="E50" s="38">
        <f>SUM(E34:E49)</f>
        <v>0</v>
      </c>
      <c r="F50" s="38">
        <f>SUM(F34:F49)</f>
        <v>0</v>
      </c>
      <c r="G50" s="38">
        <f>SUM(G34:G49)</f>
        <v>928814.31</v>
      </c>
      <c r="H50" s="38">
        <f t="shared" si="2"/>
        <v>3160143.76</v>
      </c>
      <c r="I50" s="90"/>
    </row>
    <row r="51" spans="1:9" ht="12" thickTop="1" x14ac:dyDescent="0.2">
      <c r="A51" s="35" t="s">
        <v>881</v>
      </c>
      <c r="B51" s="2"/>
      <c r="C51" s="38">
        <f>C50+C31</f>
        <v>2347833.0999999996</v>
      </c>
      <c r="D51" s="38">
        <f>D50+D31</f>
        <v>265646.14999999997</v>
      </c>
      <c r="E51" s="38">
        <f>E50+E31</f>
        <v>12449.16</v>
      </c>
      <c r="F51" s="38">
        <f>F50+F31</f>
        <v>0</v>
      </c>
      <c r="G51" s="38">
        <f>G50+G31</f>
        <v>928814.31</v>
      </c>
      <c r="H51" s="38">
        <f t="shared" si="2"/>
        <v>3554742.7199999997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7295085</v>
      </c>
      <c r="D56" s="73">
        <f>'DOE25'!G60</f>
        <v>0</v>
      </c>
      <c r="E56" s="73">
        <f>'DOE25'!H60</f>
        <v>0</v>
      </c>
      <c r="F56" s="73">
        <f>'DOE25'!I60</f>
        <v>0</v>
      </c>
      <c r="G56" s="73">
        <f>'DOE25'!J60</f>
        <v>0</v>
      </c>
      <c r="H56" s="13">
        <f t="shared" ref="H56:H63" si="3">SUM(C56:G56)</f>
        <v>7295085</v>
      </c>
      <c r="I56"/>
    </row>
    <row r="57" spans="1:9" x14ac:dyDescent="0.2">
      <c r="A57" s="1" t="s">
        <v>164</v>
      </c>
      <c r="B57" s="6" t="s">
        <v>165</v>
      </c>
      <c r="C57" s="73">
        <f>'DOE25'!F79</f>
        <v>15051.31</v>
      </c>
      <c r="D57" s="23" t="s">
        <v>288</v>
      </c>
      <c r="E57" s="73">
        <f>'DOE25'!H79</f>
        <v>0</v>
      </c>
      <c r="F57" s="23" t="s">
        <v>288</v>
      </c>
      <c r="G57" s="23" t="s">
        <v>288</v>
      </c>
      <c r="H57" s="13">
        <f t="shared" si="3"/>
        <v>15051.31</v>
      </c>
      <c r="I57"/>
    </row>
    <row r="58" spans="1:9" x14ac:dyDescent="0.2">
      <c r="A58" s="1" t="s">
        <v>166</v>
      </c>
      <c r="B58" s="6" t="s">
        <v>167</v>
      </c>
      <c r="C58" s="73">
        <f>'DOE25'!F94</f>
        <v>1521.77</v>
      </c>
      <c r="D58" s="23" t="s">
        <v>288</v>
      </c>
      <c r="E58" s="73">
        <f>'DOE25'!H94</f>
        <v>0</v>
      </c>
      <c r="F58" s="23" t="s">
        <v>288</v>
      </c>
      <c r="G58" s="23" t="s">
        <v>288</v>
      </c>
      <c r="H58" s="13">
        <f t="shared" si="3"/>
        <v>1521.77</v>
      </c>
      <c r="I58"/>
    </row>
    <row r="59" spans="1:9" x14ac:dyDescent="0.2">
      <c r="A59" s="1" t="s">
        <v>168</v>
      </c>
      <c r="B59" s="6" t="s">
        <v>169</v>
      </c>
      <c r="C59" s="73">
        <f>'DOE25'!F96</f>
        <v>0</v>
      </c>
      <c r="D59" s="73">
        <f>'DOE25'!G96</f>
        <v>0</v>
      </c>
      <c r="E59" s="73">
        <f>'DOE25'!H96</f>
        <v>0</v>
      </c>
      <c r="F59" s="73">
        <f>'DOE25'!I96</f>
        <v>0</v>
      </c>
      <c r="G59" s="73">
        <f>'DOE25'!J96</f>
        <v>12082.34</v>
      </c>
      <c r="H59" s="13">
        <f t="shared" si="3"/>
        <v>12082.34</v>
      </c>
      <c r="I59"/>
    </row>
    <row r="60" spans="1:9" x14ac:dyDescent="0.2">
      <c r="A60" s="1" t="s">
        <v>170</v>
      </c>
      <c r="B60" s="22" t="s">
        <v>171</v>
      </c>
      <c r="C60" s="23" t="s">
        <v>288</v>
      </c>
      <c r="D60" s="73">
        <f>'DOE25'!G97</f>
        <v>96568.04</v>
      </c>
      <c r="E60" s="23" t="s">
        <v>288</v>
      </c>
      <c r="F60" s="23" t="s">
        <v>288</v>
      </c>
      <c r="G60" s="23" t="s">
        <v>288</v>
      </c>
      <c r="H60" s="13">
        <f t="shared" si="3"/>
        <v>96568.04</v>
      </c>
      <c r="I60"/>
    </row>
    <row r="61" spans="1:9" ht="12" thickBot="1" x14ac:dyDescent="0.25">
      <c r="A61" s="1" t="s">
        <v>172</v>
      </c>
      <c r="B61" s="22" t="s">
        <v>173</v>
      </c>
      <c r="C61" s="73">
        <f>SUM('DOE25'!F98:F110)</f>
        <v>42386.45</v>
      </c>
      <c r="D61" s="73">
        <f>SUM('DOE25'!G98:G110)</f>
        <v>0</v>
      </c>
      <c r="E61" s="73">
        <f>SUM('DOE25'!H98:H110)</f>
        <v>0</v>
      </c>
      <c r="F61" s="73">
        <f>SUM('DOE25'!I98:I110)</f>
        <v>0</v>
      </c>
      <c r="G61" s="73">
        <f>SUM('DOE25'!J98:J110)</f>
        <v>0</v>
      </c>
      <c r="H61" s="13">
        <f t="shared" si="3"/>
        <v>42386.45</v>
      </c>
      <c r="I61"/>
    </row>
    <row r="62" spans="1:9" ht="12.75" thickTop="1" thickBot="1" x14ac:dyDescent="0.25">
      <c r="A62" s="28" t="s">
        <v>174</v>
      </c>
      <c r="B62" s="6"/>
      <c r="C62" s="93">
        <f>SUM(C57:C61)</f>
        <v>58959.53</v>
      </c>
      <c r="D62" s="93">
        <f>SUM(D57:D61)</f>
        <v>96568.04</v>
      </c>
      <c r="E62" s="93">
        <f>SUM(E57:E61)</f>
        <v>0</v>
      </c>
      <c r="F62" s="93">
        <f>SUM(F57:F61)</f>
        <v>0</v>
      </c>
      <c r="G62" s="93">
        <f>SUM(G57:G61)</f>
        <v>12082.34</v>
      </c>
      <c r="H62" s="13">
        <f t="shared" si="3"/>
        <v>167609.91</v>
      </c>
      <c r="I62"/>
    </row>
    <row r="63" spans="1:9" ht="12" thickTop="1" x14ac:dyDescent="0.2">
      <c r="A63" s="28" t="s">
        <v>175</v>
      </c>
      <c r="B63" s="6"/>
      <c r="C63" s="21">
        <f>C56+C62</f>
        <v>7354044.5300000003</v>
      </c>
      <c r="D63" s="21">
        <f>D56+D62</f>
        <v>96568.04</v>
      </c>
      <c r="E63" s="21">
        <f>E56+E62</f>
        <v>0</v>
      </c>
      <c r="F63" s="21">
        <f>F56+F62</f>
        <v>0</v>
      </c>
      <c r="G63" s="21">
        <f>G56+G62</f>
        <v>12082.34</v>
      </c>
      <c r="H63" s="13">
        <f t="shared" si="3"/>
        <v>7462694.9100000001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6080732.0499999998</v>
      </c>
      <c r="D66" s="23" t="s">
        <v>288</v>
      </c>
      <c r="E66" s="23" t="s">
        <v>288</v>
      </c>
      <c r="F66" s="23" t="s">
        <v>288</v>
      </c>
      <c r="G66" s="23" t="s">
        <v>288</v>
      </c>
      <c r="H66" s="13">
        <f t="shared" ref="H66:H81" si="4">SUM(C66:G66)</f>
        <v>6080732.0499999998</v>
      </c>
      <c r="I66"/>
    </row>
    <row r="67" spans="1:9" x14ac:dyDescent="0.2">
      <c r="A67" s="1" t="s">
        <v>767</v>
      </c>
      <c r="B67" s="6">
        <v>3112</v>
      </c>
      <c r="C67" s="73">
        <f>'DOE25'!F118</f>
        <v>1077291</v>
      </c>
      <c r="D67" s="23"/>
      <c r="E67" s="23"/>
      <c r="F67" s="23"/>
      <c r="G67" s="23"/>
      <c r="H67" s="13">
        <f t="shared" si="4"/>
        <v>1077291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t="e">
        <f>'DOE25'!#REF!</f>
        <v>#REF!</v>
      </c>
      <c r="D69" s="73">
        <f>'DOE25'!G120</f>
        <v>0</v>
      </c>
      <c r="E69" s="73">
        <f>'DOE25'!F120</f>
        <v>6928.27</v>
      </c>
      <c r="F69" s="73">
        <f>'DOE25'!I120</f>
        <v>0</v>
      </c>
      <c r="G69" s="73">
        <f>'DOE25'!J120</f>
        <v>0</v>
      </c>
      <c r="H69" s="13" t="e">
        <f t="shared" si="4"/>
        <v>#REF!</v>
      </c>
      <c r="I69"/>
    </row>
    <row r="70" spans="1:9" ht="12" thickTop="1" x14ac:dyDescent="0.2">
      <c r="A70" s="28" t="s">
        <v>252</v>
      </c>
      <c r="B70" s="2"/>
      <c r="C70" s="97" t="e">
        <f>SUM(C66:C69)</f>
        <v>#REF!</v>
      </c>
      <c r="D70" s="97">
        <f>D69</f>
        <v>0</v>
      </c>
      <c r="E70" s="97">
        <f>E69</f>
        <v>6928.27</v>
      </c>
      <c r="F70" s="97">
        <f>F69</f>
        <v>0</v>
      </c>
      <c r="G70" s="97">
        <f>G69</f>
        <v>0</v>
      </c>
      <c r="H70" s="13" t="e">
        <f t="shared" si="4"/>
        <v>#REF!</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142617.20000000001</v>
      </c>
      <c r="D75" s="23" t="s">
        <v>288</v>
      </c>
      <c r="E75" s="23" t="s">
        <v>288</v>
      </c>
      <c r="F75" s="23" t="s">
        <v>288</v>
      </c>
      <c r="G75" s="23" t="s">
        <v>288</v>
      </c>
      <c r="H75" s="13">
        <f t="shared" si="4"/>
        <v>142617.20000000001</v>
      </c>
      <c r="I75"/>
    </row>
    <row r="76" spans="1:9" x14ac:dyDescent="0.2">
      <c r="A76" s="1" t="s">
        <v>257</v>
      </c>
      <c r="B76" s="6" t="s">
        <v>179</v>
      </c>
      <c r="C76" s="73">
        <f>SUM('DOE25'!F127:F130)</f>
        <v>12407.2</v>
      </c>
      <c r="D76" s="23" t="s">
        <v>288</v>
      </c>
      <c r="E76" s="73">
        <f>SUM('DOE25'!H127:H130)</f>
        <v>0</v>
      </c>
      <c r="F76" s="73">
        <f>SUM('DOE25'!I127:I130)</f>
        <v>0</v>
      </c>
      <c r="G76" s="23" t="s">
        <v>288</v>
      </c>
      <c r="H76" s="13">
        <f t="shared" si="4"/>
        <v>12407.2</v>
      </c>
      <c r="I76"/>
    </row>
    <row r="77" spans="1:9" ht="12" thickBot="1" x14ac:dyDescent="0.25">
      <c r="A77" s="1" t="s">
        <v>258</v>
      </c>
      <c r="B77" s="6" t="s">
        <v>180</v>
      </c>
      <c r="C77" s="73">
        <f>SUM('DOE25'!F131:F135)</f>
        <v>4500</v>
      </c>
      <c r="D77" s="73">
        <f>SUM('DOE25'!G131:G135)</f>
        <v>1842.74</v>
      </c>
      <c r="E77" s="73">
        <f>SUM('DOE25'!H131:H135)</f>
        <v>0</v>
      </c>
      <c r="F77" s="73">
        <f>SUM('DOE25'!I131:I135)</f>
        <v>0</v>
      </c>
      <c r="G77" s="73">
        <f>SUM('DOE25'!J131:J135)</f>
        <v>0</v>
      </c>
      <c r="H77" s="13">
        <f t="shared" si="4"/>
        <v>6342.74</v>
      </c>
      <c r="I77"/>
    </row>
    <row r="78" spans="1:9" ht="12.75" thickTop="1" thickBot="1" x14ac:dyDescent="0.25">
      <c r="A78" s="28" t="s">
        <v>259</v>
      </c>
      <c r="B78" s="6"/>
      <c r="C78" s="93">
        <f>SUM(C72:C77)</f>
        <v>159524.40000000002</v>
      </c>
      <c r="D78" s="93">
        <f>SUM(D72:D77)</f>
        <v>1842.74</v>
      </c>
      <c r="E78" s="93">
        <f>SUM(E72:E77)</f>
        <v>0</v>
      </c>
      <c r="F78" s="93">
        <f>SUM(F72:F77)</f>
        <v>0</v>
      </c>
      <c r="G78" s="93">
        <f>SUM(G72:G77)</f>
        <v>0</v>
      </c>
      <c r="H78" s="13">
        <f t="shared" si="4"/>
        <v>161367.14000000001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t="e">
        <f>SUM(C79:C80)+C78+C70</f>
        <v>#REF!</v>
      </c>
      <c r="D81" s="93">
        <f>SUM(D79:D80)+D78+D70</f>
        <v>1842.74</v>
      </c>
      <c r="E81" s="93">
        <f>SUM(E79:E80)+E78+E70</f>
        <v>6928.27</v>
      </c>
      <c r="F81" s="93">
        <f>SUM(F79:F80)+F78+F70</f>
        <v>0</v>
      </c>
      <c r="G81" s="93">
        <f>SUM(G79:G80)+G78+G70</f>
        <v>0</v>
      </c>
      <c r="H81" s="93" t="e">
        <f t="shared" si="4"/>
        <v>#REF!</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84890.76</v>
      </c>
      <c r="D88" s="252">
        <f>SUM('DOE25'!G153:G162)</f>
        <v>272523.3</v>
      </c>
      <c r="E88" s="252">
        <f>SUM('DOE25'!H153:H162)</f>
        <v>2913330.5</v>
      </c>
      <c r="F88" s="252">
        <f>SUM('DOE25'!I153:I162)</f>
        <v>0</v>
      </c>
      <c r="G88" s="23" t="s">
        <v>288</v>
      </c>
      <c r="H88" s="13">
        <f t="shared" si="5"/>
        <v>3270744.56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84890.76</v>
      </c>
      <c r="D91" s="94">
        <f>SUM(D85:D90)</f>
        <v>272523.3</v>
      </c>
      <c r="E91" s="94">
        <f>SUM(E85:E90)</f>
        <v>2913330.5</v>
      </c>
      <c r="F91" s="94">
        <f>SUM(F85:F90)</f>
        <v>0</v>
      </c>
      <c r="G91" s="23" t="s">
        <v>288</v>
      </c>
      <c r="H91" s="13">
        <f t="shared" si="5"/>
        <v>3270744.56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t="e">
        <f>C63+C81+C91+C103</f>
        <v>#REF!</v>
      </c>
      <c r="D104" s="68">
        <f>D63+D81+D91+D103</f>
        <v>370934.07999999996</v>
      </c>
      <c r="E104" s="68">
        <f>E63+E81+E91+E103</f>
        <v>2920258.77</v>
      </c>
      <c r="F104" s="68">
        <f>F63+F81+F91+F103</f>
        <v>0</v>
      </c>
      <c r="G104" s="68">
        <f>G63+G81+G103</f>
        <v>12082.34</v>
      </c>
      <c r="H104" s="68" t="e">
        <f t="shared" si="5"/>
        <v>#REF!</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5620050.2699999996</v>
      </c>
      <c r="D109" s="23" t="s">
        <v>288</v>
      </c>
      <c r="E109" s="73">
        <f>('DOE25'!L277)+('DOE25'!L296)+('DOE25'!L315)</f>
        <v>874834.09000000008</v>
      </c>
      <c r="F109" s="23" t="s">
        <v>288</v>
      </c>
      <c r="G109" s="23" t="s">
        <v>288</v>
      </c>
      <c r="H109" s="13">
        <f t="shared" ref="H109:H115" si="6">SUM(C109:G109)</f>
        <v>6494884.3599999994</v>
      </c>
    </row>
    <row r="110" spans="1:8" x14ac:dyDescent="0.2">
      <c r="A110" t="s">
        <v>198</v>
      </c>
      <c r="B110" s="31" t="s">
        <v>199</v>
      </c>
      <c r="C110" s="73">
        <f>('DOE25'!L199)+('DOE25'!L217)+('DOE25'!L235)</f>
        <v>2780316.39</v>
      </c>
      <c r="D110" s="23" t="s">
        <v>288</v>
      </c>
      <c r="E110" s="73">
        <f>('DOE25'!L278)+('DOE25'!L297)+('DOE25'!L316)</f>
        <v>704527.52</v>
      </c>
      <c r="F110" s="23" t="s">
        <v>288</v>
      </c>
      <c r="G110" s="23" t="s">
        <v>288</v>
      </c>
      <c r="H110" s="13">
        <f t="shared" si="6"/>
        <v>3484843.91</v>
      </c>
    </row>
    <row r="111" spans="1:8" x14ac:dyDescent="0.2">
      <c r="A111" t="s">
        <v>200</v>
      </c>
      <c r="B111" s="31" t="s">
        <v>165</v>
      </c>
      <c r="C111" s="73">
        <f>('DOE25'!L200)+('DOE25'!L218)+('DOE25'!L236)</f>
        <v>67336.09</v>
      </c>
      <c r="D111" s="23" t="s">
        <v>288</v>
      </c>
      <c r="E111" s="73">
        <f>('DOE25'!L279)+('DOE25'!L298)+('DOE25'!L317)</f>
        <v>1470</v>
      </c>
      <c r="F111" s="23" t="s">
        <v>288</v>
      </c>
      <c r="G111" s="23" t="s">
        <v>288</v>
      </c>
      <c r="H111" s="13">
        <f t="shared" si="6"/>
        <v>68806.09</v>
      </c>
    </row>
    <row r="112" spans="1:8" x14ac:dyDescent="0.2">
      <c r="A112" t="s">
        <v>201</v>
      </c>
      <c r="B112" s="31" t="s">
        <v>167</v>
      </c>
      <c r="C112" s="73">
        <f>('DOE25'!L201)+('DOE25'!L219)+('DOE25'!L237)</f>
        <v>257569.41999999998</v>
      </c>
      <c r="D112" s="23" t="s">
        <v>288</v>
      </c>
      <c r="E112" s="73">
        <f>+('DOE25'!L280)+('DOE25'!L299)+('DOE25'!L318)</f>
        <v>980</v>
      </c>
      <c r="F112" s="23" t="s">
        <v>288</v>
      </c>
      <c r="G112" s="23" t="s">
        <v>288</v>
      </c>
      <c r="H112" s="13">
        <f t="shared" si="6"/>
        <v>258549.41999999998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8725272.1699999999</v>
      </c>
      <c r="D115" s="68">
        <f>SUM(D109:D114)</f>
        <v>0</v>
      </c>
      <c r="E115" s="68">
        <f>SUM(E109:E114)</f>
        <v>1581811.61</v>
      </c>
      <c r="F115" s="68">
        <f>SUM(F109:F114)</f>
        <v>0</v>
      </c>
      <c r="G115" s="68">
        <f>SUM(G109:G114)</f>
        <v>0</v>
      </c>
      <c r="H115" s="68">
        <f t="shared" si="6"/>
        <v>10307083.779999999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830745.43</v>
      </c>
      <c r="D118" s="23" t="s">
        <v>288</v>
      </c>
      <c r="E118" s="73">
        <f>+('DOE25'!L282)+('DOE25'!L301)+('DOE25'!L320)</f>
        <v>539426.43000000005</v>
      </c>
      <c r="F118" s="23" t="s">
        <v>288</v>
      </c>
      <c r="G118" s="23" t="s">
        <v>288</v>
      </c>
      <c r="H118" s="13">
        <f t="shared" ref="H118:H145" si="7">SUM(C118:G118)</f>
        <v>1370171.86</v>
      </c>
    </row>
    <row r="119" spans="1:8" x14ac:dyDescent="0.2">
      <c r="A119" t="s">
        <v>208</v>
      </c>
      <c r="B119" s="31" t="s">
        <v>209</v>
      </c>
      <c r="C119" s="73">
        <f>('DOE25'!L204)+('DOE25'!L222)+('DOE25'!L240)</f>
        <v>228835.79</v>
      </c>
      <c r="D119" s="23" t="s">
        <v>288</v>
      </c>
      <c r="E119" s="73">
        <f>+('DOE25'!L283)+('DOE25'!L302)+('DOE25'!L321)</f>
        <v>139212.76999999999</v>
      </c>
      <c r="F119" s="23" t="s">
        <v>288</v>
      </c>
      <c r="G119" s="23" t="s">
        <v>288</v>
      </c>
      <c r="H119" s="13">
        <f t="shared" si="7"/>
        <v>368048.56</v>
      </c>
    </row>
    <row r="120" spans="1:8" x14ac:dyDescent="0.2">
      <c r="A120" t="s">
        <v>210</v>
      </c>
      <c r="B120" s="31" t="s">
        <v>211</v>
      </c>
      <c r="C120" s="73">
        <f>('DOE25'!L205)+('DOE25'!L223)+('DOE25'!L241)</f>
        <v>843352.77</v>
      </c>
      <c r="D120" s="23" t="s">
        <v>288</v>
      </c>
      <c r="E120" s="73">
        <f>+('DOE25'!L284)+('DOE25'!L303)+('DOE25'!L322)</f>
        <v>11335.119999999999</v>
      </c>
      <c r="F120" s="23" t="s">
        <v>288</v>
      </c>
      <c r="G120" s="23" t="s">
        <v>288</v>
      </c>
      <c r="H120" s="13">
        <f t="shared" si="7"/>
        <v>854687.89</v>
      </c>
    </row>
    <row r="121" spans="1:8" x14ac:dyDescent="0.2">
      <c r="A121" t="s">
        <v>212</v>
      </c>
      <c r="B121" s="31" t="s">
        <v>213</v>
      </c>
      <c r="C121" s="73">
        <f>('DOE25'!L206)+('DOE25'!L224)+('DOE25'!L242)</f>
        <v>1116236.01</v>
      </c>
      <c r="D121" s="23" t="s">
        <v>288</v>
      </c>
      <c r="E121" s="73">
        <f>+('DOE25'!L285)+('DOE25'!L304)+('DOE25'!L323)</f>
        <v>0</v>
      </c>
      <c r="F121" s="23" t="s">
        <v>288</v>
      </c>
      <c r="G121" s="23" t="s">
        <v>288</v>
      </c>
      <c r="H121" s="13">
        <f t="shared" si="7"/>
        <v>1116236.01</v>
      </c>
    </row>
    <row r="122" spans="1:8" x14ac:dyDescent="0.2">
      <c r="A122" t="s">
        <v>214</v>
      </c>
      <c r="B122" s="31" t="s">
        <v>215</v>
      </c>
      <c r="C122" s="73">
        <f>('DOE25'!L207)+('DOE25'!L225)+('DOE25'!L243)</f>
        <v>309786.83999999997</v>
      </c>
      <c r="D122" s="23" t="s">
        <v>288</v>
      </c>
      <c r="E122" s="73">
        <f>+('DOE25'!L286)+('DOE25'!L305)+('DOE25'!L324)</f>
        <v>0</v>
      </c>
      <c r="F122" s="23" t="s">
        <v>288</v>
      </c>
      <c r="G122" s="23" t="s">
        <v>288</v>
      </c>
      <c r="H122" s="13">
        <f t="shared" si="7"/>
        <v>309786.83999999997</v>
      </c>
    </row>
    <row r="123" spans="1:8" x14ac:dyDescent="0.2">
      <c r="A123" t="s">
        <v>216</v>
      </c>
      <c r="B123" s="31" t="s">
        <v>217</v>
      </c>
      <c r="C123" s="73">
        <f>('DOE25'!L208)+('DOE25'!L226)+('DOE25'!L244)</f>
        <v>1610117.77</v>
      </c>
      <c r="D123" s="23" t="s">
        <v>288</v>
      </c>
      <c r="E123" s="73">
        <f>+('DOE25'!L287)+('DOE25'!L306)+('DOE25'!L325)</f>
        <v>340715</v>
      </c>
      <c r="F123" s="23" t="s">
        <v>288</v>
      </c>
      <c r="G123" s="23" t="s">
        <v>288</v>
      </c>
      <c r="H123" s="13">
        <f t="shared" si="7"/>
        <v>1950832.77</v>
      </c>
    </row>
    <row r="124" spans="1:8" x14ac:dyDescent="0.2">
      <c r="A124" t="s">
        <v>218</v>
      </c>
      <c r="B124" s="31" t="s">
        <v>219</v>
      </c>
      <c r="C124" s="73">
        <f>('DOE25'!L209)+('DOE25'!L227)+('DOE25'!L245+'DOE25'!L255)</f>
        <v>545865.69999999995</v>
      </c>
      <c r="D124" s="23" t="s">
        <v>288</v>
      </c>
      <c r="E124" s="73">
        <f>+('DOE25'!L288)+('DOE25'!L307)+('DOE25'!L326)</f>
        <v>4313.3999999999996</v>
      </c>
      <c r="F124" s="23" t="s">
        <v>288</v>
      </c>
      <c r="G124" s="23" t="s">
        <v>288</v>
      </c>
      <c r="H124" s="13">
        <f t="shared" si="7"/>
        <v>550179.1</v>
      </c>
    </row>
    <row r="125" spans="1:8" x14ac:dyDescent="0.2">
      <c r="A125" t="s">
        <v>220</v>
      </c>
      <c r="B125" s="31" t="s">
        <v>221</v>
      </c>
      <c r="C125" s="73">
        <f>('DOE25'!L210)+('DOE25'!L228)+('DOE25'!L246)</f>
        <v>460521.13</v>
      </c>
      <c r="D125" s="23" t="s">
        <v>288</v>
      </c>
      <c r="E125" s="73">
        <f>+('DOE25'!L289)+('DOE25'!L308)+('DOE25'!L327)</f>
        <v>326602.73</v>
      </c>
      <c r="F125" s="23" t="s">
        <v>288</v>
      </c>
      <c r="G125" s="23" t="s">
        <v>288</v>
      </c>
      <c r="H125" s="13">
        <f t="shared" si="7"/>
        <v>787123.86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370934.07999999996</v>
      </c>
      <c r="E127" s="23" t="s">
        <v>288</v>
      </c>
      <c r="F127" s="23" t="s">
        <v>288</v>
      </c>
      <c r="G127" s="23" t="s">
        <v>288</v>
      </c>
      <c r="H127" s="13">
        <f t="shared" si="7"/>
        <v>370934.07999999996</v>
      </c>
    </row>
    <row r="128" spans="1:8" ht="12.75" thickTop="1" thickBot="1" x14ac:dyDescent="0.25">
      <c r="A128" s="32" t="s">
        <v>226</v>
      </c>
      <c r="C128" s="68">
        <f>SUM(C118:C127)</f>
        <v>5945461.4399999995</v>
      </c>
      <c r="D128" s="68">
        <f>SUM(D118:D127)</f>
        <v>370934.07999999996</v>
      </c>
      <c r="E128" s="68">
        <f>SUM(E118:E127)</f>
        <v>1361605.4500000002</v>
      </c>
      <c r="F128" s="68">
        <f>SUM(F118:F127)</f>
        <v>0</v>
      </c>
      <c r="G128" s="68">
        <f>SUM(G118:G127)</f>
        <v>0</v>
      </c>
      <c r="H128" s="68">
        <f t="shared" si="7"/>
        <v>7678000.9699999997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12082.34</v>
      </c>
      <c r="D139" s="23" t="s">
        <v>288</v>
      </c>
      <c r="E139" s="23" t="s">
        <v>288</v>
      </c>
      <c r="F139" s="23" t="s">
        <v>288</v>
      </c>
      <c r="G139" s="23" t="s">
        <v>288</v>
      </c>
      <c r="H139" s="13">
        <f t="shared" si="7"/>
        <v>12082.34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-12082.34</v>
      </c>
      <c r="D141" s="23" t="s">
        <v>288</v>
      </c>
      <c r="E141" s="23" t="s">
        <v>288</v>
      </c>
      <c r="F141" s="23" t="s">
        <v>288</v>
      </c>
      <c r="G141" s="23" t="s">
        <v>288</v>
      </c>
      <c r="H141" s="13">
        <f t="shared" si="7"/>
        <v>-12082.34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14670733.609999999</v>
      </c>
      <c r="D145" s="68">
        <f>(D115+D128+D144)</f>
        <v>370934.07999999996</v>
      </c>
      <c r="E145" s="68">
        <f>(E115+E128+E144)</f>
        <v>2943417.0600000005</v>
      </c>
      <c r="F145" s="68">
        <f>(F115+F128+F144)</f>
        <v>0</v>
      </c>
      <c r="G145" s="68">
        <f>(G115+G128+G144)</f>
        <v>0</v>
      </c>
      <c r="H145" s="68">
        <f t="shared" si="7"/>
        <v>17985084.75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Farmington</v>
      </c>
    </row>
    <row r="3" spans="1:4" x14ac:dyDescent="0.2">
      <c r="B3" s="136" t="s">
        <v>1792</v>
      </c>
    </row>
    <row r="4" spans="1:4" x14ac:dyDescent="0.2">
      <c r="B4" t="s">
        <v>61</v>
      </c>
      <c r="C4" s="128">
        <f>IF('DOE25'!F666+'DOE25'!F671=0,0,ROUND('DOE25'!F673,0))</f>
        <v>21361</v>
      </c>
    </row>
    <row r="5" spans="1:4" x14ac:dyDescent="0.2">
      <c r="B5" t="s">
        <v>700</v>
      </c>
      <c r="C5" s="128">
        <f>IF('DOE25'!G666+'DOE25'!G671=0,0,ROUND('DOE25'!G673,0))</f>
        <v>0</v>
      </c>
    </row>
    <row r="6" spans="1:4" x14ac:dyDescent="0.2">
      <c r="B6" t="s">
        <v>62</v>
      </c>
      <c r="C6" s="128">
        <f>IF('DOE25'!H666+'DOE25'!H671=0,0,ROUND('DOE25'!H673,0))</f>
        <v>25732</v>
      </c>
    </row>
    <row r="7" spans="1:4" x14ac:dyDescent="0.2">
      <c r="B7" t="s">
        <v>701</v>
      </c>
      <c r="C7" s="128">
        <f>IF('DOE25'!I666+'DOE25'!I671=0,0,ROUND('DOE25'!I673,0))</f>
        <v>22655</v>
      </c>
    </row>
    <row r="9" spans="1:4" x14ac:dyDescent="0.2">
      <c r="A9" s="135" t="s">
        <v>94</v>
      </c>
      <c r="B9" s="136" t="s">
        <v>1793</v>
      </c>
      <c r="C9" s="130" t="s">
        <v>720</v>
      </c>
      <c r="D9" s="130" t="s">
        <v>721</v>
      </c>
    </row>
    <row r="10" spans="1:4" x14ac:dyDescent="0.2">
      <c r="A10">
        <v>1100</v>
      </c>
      <c r="B10" t="s">
        <v>702</v>
      </c>
      <c r="C10" s="128">
        <f>ROUND('DOE25'!L198+'DOE25'!L216+'DOE25'!L234+'DOE25'!L277+'DOE25'!L296+'DOE25'!L315,0)</f>
        <v>6494884</v>
      </c>
      <c r="D10" s="131">
        <f>ROUND((C10/$C$28)*100,1)</f>
        <v>36.299999999999997</v>
      </c>
    </row>
    <row r="11" spans="1:4" x14ac:dyDescent="0.2">
      <c r="A11">
        <v>1200</v>
      </c>
      <c r="B11" t="s">
        <v>703</v>
      </c>
      <c r="C11" s="128">
        <f>ROUND('DOE25'!L199+'DOE25'!L217+'DOE25'!L235+'DOE25'!L278+'DOE25'!L297+'DOE25'!L316,0)</f>
        <v>3484844</v>
      </c>
      <c r="D11" s="131">
        <f>ROUND((C11/$C$28)*100,1)</f>
        <v>19.5</v>
      </c>
    </row>
    <row r="12" spans="1:4" x14ac:dyDescent="0.2">
      <c r="A12">
        <v>1300</v>
      </c>
      <c r="B12" t="s">
        <v>704</v>
      </c>
      <c r="C12" s="128">
        <f>ROUND('DOE25'!L200+'DOE25'!L218+'DOE25'!L236+'DOE25'!L279+'DOE25'!L298+'DOE25'!L317,0)</f>
        <v>68806</v>
      </c>
      <c r="D12" s="131">
        <f>ROUND((C12/$C$28)*100,1)</f>
        <v>0.4</v>
      </c>
    </row>
    <row r="13" spans="1:4" x14ac:dyDescent="0.2">
      <c r="A13">
        <v>1400</v>
      </c>
      <c r="B13" t="s">
        <v>705</v>
      </c>
      <c r="C13" s="128">
        <f>ROUND('DOE25'!L201+'DOE25'!L219+'DOE25'!L237+'DOE25'!L280+'DOE25'!L299+'DOE25'!L318,0)</f>
        <v>258549</v>
      </c>
      <c r="D13" s="131">
        <f>ROUND((C13/$C$28)*100,1)</f>
        <v>1.4</v>
      </c>
    </row>
    <row r="14" spans="1:4" x14ac:dyDescent="0.2">
      <c r="D14" s="131"/>
    </row>
    <row r="15" spans="1:4" x14ac:dyDescent="0.2">
      <c r="A15">
        <v>2100</v>
      </c>
      <c r="B15" t="s">
        <v>706</v>
      </c>
      <c r="C15" s="128">
        <f>ROUND('DOE25'!L203+'DOE25'!L221+'DOE25'!L239+'DOE25'!L282+'DOE25'!L301+'DOE25'!L320,0)</f>
        <v>1370172</v>
      </c>
      <c r="D15" s="131">
        <f t="shared" ref="D15:D27" si="0">ROUND((C15/$C$28)*100,1)</f>
        <v>7.7</v>
      </c>
    </row>
    <row r="16" spans="1:4" x14ac:dyDescent="0.2">
      <c r="A16">
        <v>2200</v>
      </c>
      <c r="B16" t="s">
        <v>707</v>
      </c>
      <c r="C16" s="128">
        <f>ROUND('DOE25'!L204+'DOE25'!L222+'DOE25'!L240+'DOE25'!L283+'DOE25'!L302+'DOE25'!L321,0)</f>
        <v>368049</v>
      </c>
      <c r="D16" s="131">
        <f t="shared" si="0"/>
        <v>2.1</v>
      </c>
    </row>
    <row r="17" spans="1:4" x14ac:dyDescent="0.2">
      <c r="A17" s="132" t="s">
        <v>723</v>
      </c>
      <c r="B17" t="s">
        <v>738</v>
      </c>
      <c r="C17" s="128">
        <f>ROUND('DOE25'!L205+'DOE25'!L210+'DOE25'!L223+'DOE25'!L228+'DOE25'!L241+'DOE25'!L246+'DOE25'!L284+'DOE25'!L289+'DOE25'!L303+'DOE25'!L308+'DOE25'!L322+'DOE25'!L327,0)</f>
        <v>1641812</v>
      </c>
      <c r="D17" s="131">
        <f t="shared" si="0"/>
        <v>9.1999999999999993</v>
      </c>
    </row>
    <row r="18" spans="1:4" x14ac:dyDescent="0.2">
      <c r="A18">
        <v>2400</v>
      </c>
      <c r="B18" t="s">
        <v>711</v>
      </c>
      <c r="C18" s="128">
        <f>ROUND('DOE25'!L206+'DOE25'!L224+'DOE25'!L242+'DOE25'!L285+'DOE25'!L304+'DOE25'!L323,0)</f>
        <v>1116236</v>
      </c>
      <c r="D18" s="131">
        <f t="shared" si="0"/>
        <v>6.2</v>
      </c>
    </row>
    <row r="19" spans="1:4" x14ac:dyDescent="0.2">
      <c r="A19">
        <v>2500</v>
      </c>
      <c r="B19" t="s">
        <v>708</v>
      </c>
      <c r="C19" s="128">
        <f>ROUND('DOE25'!L207+'DOE25'!L225+'DOE25'!L243+'DOE25'!L286+'DOE25'!L305+'DOE25'!L324,0)</f>
        <v>309787</v>
      </c>
      <c r="D19" s="131">
        <f t="shared" si="0"/>
        <v>1.7</v>
      </c>
    </row>
    <row r="20" spans="1:4" x14ac:dyDescent="0.2">
      <c r="A20">
        <v>2600</v>
      </c>
      <c r="B20" t="s">
        <v>709</v>
      </c>
      <c r="C20" s="128">
        <f>ROUND('DOE25'!L208+'DOE25'!L226+'DOE25'!L244+'DOE25'!L287+'DOE25'!L306+'DOE25'!L325,0)</f>
        <v>1950833</v>
      </c>
      <c r="D20" s="131">
        <f t="shared" si="0"/>
        <v>10.9</v>
      </c>
    </row>
    <row r="21" spans="1:4" x14ac:dyDescent="0.2">
      <c r="A21">
        <v>2700</v>
      </c>
      <c r="B21" t="s">
        <v>710</v>
      </c>
      <c r="C21" s="128">
        <f>ROUND('DOE25'!L209+'DOE25'!L227+'DOE25'!L245+'DOE25'!L288+'DOE25'!L307+'DOE25'!L326,0)</f>
        <v>550179</v>
      </c>
      <c r="D21" s="131">
        <f t="shared" si="0"/>
        <v>3.1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274365.96000000002</v>
      </c>
      <c r="D27" s="131">
        <f t="shared" si="0"/>
        <v>1.5</v>
      </c>
    </row>
    <row r="28" spans="1:4" x14ac:dyDescent="0.2">
      <c r="B28" s="135" t="s">
        <v>719</v>
      </c>
      <c r="C28" s="129">
        <f>SUM(C10:C27)</f>
        <v>17888516.960000001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17888516.960000001</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7295085</v>
      </c>
      <c r="D35" s="131">
        <f t="shared" ref="D35:D40" si="1">ROUND((C35/$C$41)*100,1)</f>
        <v>40.6</v>
      </c>
    </row>
    <row r="36" spans="1:4" x14ac:dyDescent="0.2">
      <c r="B36" s="71" t="s">
        <v>739</v>
      </c>
      <c r="C36" s="128">
        <f>SUM('DOE25'!F112:J112)-SUM('DOE25'!G97:G110)+('DOE25'!F175+'DOE25'!F176+'DOE25'!I175+'DOE25'!I176)-C35</f>
        <v>71041.86999999918</v>
      </c>
      <c r="D36" s="131">
        <f t="shared" si="1"/>
        <v>0.4</v>
      </c>
    </row>
    <row r="37" spans="1:4" x14ac:dyDescent="0.2">
      <c r="A37" s="132" t="s">
        <v>831</v>
      </c>
      <c r="B37" s="71" t="s">
        <v>728</v>
      </c>
      <c r="C37" s="128">
        <f>ROUND('DOE25'!F117+'DOE25'!F118,0)</f>
        <v>7158023</v>
      </c>
      <c r="D37" s="131">
        <f t="shared" si="1"/>
        <v>39.799999999999997</v>
      </c>
    </row>
    <row r="38" spans="1:4" x14ac:dyDescent="0.2">
      <c r="A38" s="132" t="s">
        <v>734</v>
      </c>
      <c r="B38" s="71" t="s">
        <v>729</v>
      </c>
      <c r="C38" s="128">
        <f>ROUND(SUM('DOE25'!F140:J140)-SUM('DOE25'!F117:F119),0)</f>
        <v>168295</v>
      </c>
      <c r="D38" s="131">
        <f t="shared" si="1"/>
        <v>0.9</v>
      </c>
    </row>
    <row r="39" spans="1:4" x14ac:dyDescent="0.2">
      <c r="A39">
        <v>4000</v>
      </c>
      <c r="B39" s="71" t="s">
        <v>730</v>
      </c>
      <c r="C39" s="128">
        <f>ROUND('DOE25'!F170+'DOE25'!G170+'DOE25'!H170+'DOE25'!I170,0)</f>
        <v>3270745</v>
      </c>
      <c r="D39" s="131">
        <f t="shared" si="1"/>
        <v>18.2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17963189.869999997</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8" sqref="C18:M18"/>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Farmington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19</v>
      </c>
      <c r="B4" s="149">
        <v>3</v>
      </c>
      <c r="C4" s="332" t="s">
        <v>1843</v>
      </c>
      <c r="D4" s="332"/>
      <c r="E4" s="332"/>
      <c r="F4" s="332"/>
      <c r="G4" s="332"/>
      <c r="H4" s="332"/>
      <c r="I4" s="332"/>
      <c r="J4" s="332"/>
      <c r="K4" s="332"/>
      <c r="L4" s="332"/>
      <c r="M4" s="334"/>
    </row>
    <row r="5" spans="1:13" x14ac:dyDescent="0.2">
      <c r="A5" s="158">
        <v>19</v>
      </c>
      <c r="B5" s="149">
        <v>6</v>
      </c>
      <c r="C5" s="332" t="s">
        <v>1844</v>
      </c>
      <c r="D5" s="332"/>
      <c r="E5" s="332"/>
      <c r="F5" s="332"/>
      <c r="G5" s="332"/>
      <c r="H5" s="332"/>
      <c r="I5" s="332"/>
      <c r="J5" s="332"/>
      <c r="K5" s="332"/>
      <c r="L5" s="332"/>
      <c r="M5" s="334"/>
    </row>
    <row r="6" spans="1:13" x14ac:dyDescent="0.2">
      <c r="A6" s="158">
        <v>19</v>
      </c>
      <c r="B6" s="149">
        <v>6</v>
      </c>
      <c r="C6" s="332" t="s">
        <v>1845</v>
      </c>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125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23</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306</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f>IF('School Level Expenditures'!$B$2='School Tables'!W26,'School Tables'!AD26,"")</f>
        <v>23</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f>IF('School Level Expenditures'!$B$2=A128,'School Tables'!H128,"")</f>
        <v>125</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f>IF('School Level Expenditures'!$B$2=A309,'School Tables'!H309,"")</f>
        <v>306</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2024-12-20T18:45:06Z</dcterms:modified>
</cp:coreProperties>
</file>