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F7145D63-9856-4514-B7CB-33087A9A90F1}"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 i="14" l="1"/>
  <c r="K6" i="14"/>
  <c r="I359" i="1"/>
  <c r="L6" i="14"/>
  <c r="N6" i="14"/>
  <c r="M6" i="14"/>
  <c r="K39" i="14"/>
  <c r="L39" i="14"/>
  <c r="O6" i="14"/>
  <c r="P6" i="14"/>
  <c r="D6" i="14"/>
  <c r="D39" i="14"/>
  <c r="D5" i="14"/>
  <c r="E6" i="14"/>
  <c r="E5" i="14"/>
  <c r="F15" i="13"/>
  <c r="D9" i="13" l="1"/>
  <c r="C39" i="12"/>
  <c r="C37" i="12"/>
  <c r="C19" i="12"/>
  <c r="C20" i="12"/>
  <c r="C10" i="12"/>
  <c r="C12" i="12"/>
  <c r="C11" i="12"/>
  <c r="B39" i="12"/>
  <c r="B37" i="12"/>
  <c r="B19" i="12"/>
  <c r="B20" i="12"/>
  <c r="B12" i="12"/>
  <c r="B11" i="12"/>
  <c r="B10" i="12"/>
  <c r="H598" i="1"/>
  <c r="H612" i="1"/>
  <c r="G612" i="1" l="1"/>
  <c r="F612" i="1"/>
  <c r="H605" i="1"/>
  <c r="J593" i="1"/>
  <c r="J592" i="1"/>
  <c r="H596" i="1"/>
  <c r="H595" i="1"/>
  <c r="H593" i="1"/>
  <c r="H592" i="1"/>
  <c r="F583" i="1"/>
  <c r="H583" i="1"/>
  <c r="H582" i="1"/>
  <c r="H580" i="1"/>
  <c r="H563" i="1"/>
  <c r="K532" i="1"/>
  <c r="J527" i="1"/>
  <c r="J522" i="1"/>
  <c r="I532" i="1"/>
  <c r="I527" i="1"/>
  <c r="I522" i="1"/>
  <c r="H544" i="1"/>
  <c r="H529" i="1"/>
  <c r="H524" i="1"/>
  <c r="H542" i="1"/>
  <c r="H537" i="1"/>
  <c r="H532" i="1"/>
  <c r="H527" i="1"/>
  <c r="H522" i="1"/>
  <c r="G532" i="1"/>
  <c r="G527" i="1"/>
  <c r="G522" i="1"/>
  <c r="F532" i="1"/>
  <c r="F527" i="1"/>
  <c r="F522" i="1"/>
  <c r="K208" i="1"/>
  <c r="K206" i="1"/>
  <c r="K205" i="1"/>
  <c r="K204" i="1"/>
  <c r="K203" i="1"/>
  <c r="K198" i="1"/>
  <c r="J206" i="1"/>
  <c r="J204" i="1"/>
  <c r="J203" i="1"/>
  <c r="J201" i="1"/>
  <c r="J199" i="1"/>
  <c r="J198" i="1"/>
  <c r="I208" i="1"/>
  <c r="I206" i="1"/>
  <c r="I205" i="1"/>
  <c r="I204" i="1"/>
  <c r="I203" i="1"/>
  <c r="I201" i="1"/>
  <c r="I199" i="1"/>
  <c r="I198" i="1"/>
  <c r="H245" i="1"/>
  <c r="H239" i="1"/>
  <c r="H235" i="1"/>
  <c r="H234" i="1"/>
  <c r="H209" i="1"/>
  <c r="H208" i="1"/>
  <c r="H206" i="1"/>
  <c r="H205" i="1"/>
  <c r="H204" i="1"/>
  <c r="H203" i="1"/>
  <c r="H201" i="1"/>
  <c r="H199" i="1"/>
  <c r="H198" i="1"/>
  <c r="G208" i="1"/>
  <c r="G206" i="1"/>
  <c r="G205" i="1"/>
  <c r="G204" i="1"/>
  <c r="G203" i="1"/>
  <c r="G201" i="1"/>
  <c r="G199" i="1"/>
  <c r="G198" i="1"/>
  <c r="F206" i="1"/>
  <c r="F205" i="1"/>
  <c r="F204" i="1"/>
  <c r="F203" i="1"/>
  <c r="F199" i="1"/>
  <c r="F24" i="1"/>
  <c r="F17" i="1"/>
  <c r="F13" i="1"/>
  <c r="F12" i="1"/>
  <c r="K5" i="14" l="1"/>
  <c r="E13" i="17"/>
  <c r="E9" i="17"/>
  <c r="I612" i="1"/>
  <c r="H288" i="1"/>
  <c r="H278" i="1"/>
  <c r="J287" i="1"/>
  <c r="J278" i="1"/>
  <c r="J277" i="1"/>
  <c r="I289" i="1"/>
  <c r="I287" i="1"/>
  <c r="I283" i="1"/>
  <c r="I282" i="1"/>
  <c r="I280" i="1"/>
  <c r="I278" i="1"/>
  <c r="I277" i="1"/>
  <c r="H282" i="1"/>
  <c r="H283" i="1"/>
  <c r="H277" i="1"/>
  <c r="C38" i="12"/>
  <c r="B38" i="12"/>
  <c r="G283" i="1"/>
  <c r="G282" i="1"/>
  <c r="G280" i="1"/>
  <c r="G277" i="1"/>
  <c r="F283" i="1"/>
  <c r="F282" i="1"/>
  <c r="F280" i="1"/>
  <c r="F277" i="1"/>
  <c r="H162" i="1"/>
  <c r="H159" i="1"/>
  <c r="H155" i="1"/>
  <c r="H154" i="1"/>
  <c r="H150" i="1"/>
  <c r="G158" i="1"/>
  <c r="J469" i="1"/>
  <c r="F39" i="13" l="1"/>
  <c r="J35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H44" i="2" s="1"/>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H76" i="2" s="1"/>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H96" i="2" l="1"/>
  <c r="H35" i="2"/>
  <c r="H23" i="2"/>
  <c r="H9" i="2"/>
  <c r="G62" i="2"/>
  <c r="E13" i="13"/>
  <c r="C13" i="13" s="1"/>
  <c r="H69" i="2"/>
  <c r="H47" i="2"/>
  <c r="H30" i="2"/>
  <c r="H28" i="2"/>
  <c r="H25" i="2"/>
  <c r="H17" i="2"/>
  <c r="H15" i="2"/>
  <c r="H38" i="2"/>
  <c r="H43" i="2"/>
  <c r="D144" i="2"/>
  <c r="H102" i="2"/>
  <c r="H100" i="2"/>
  <c r="H98" i="2"/>
  <c r="H73" i="2"/>
  <c r="H11" i="2"/>
  <c r="H143" i="2"/>
  <c r="H89" i="2"/>
  <c r="H72" i="2"/>
  <c r="H29" i="2"/>
  <c r="K36" i="14"/>
  <c r="K37" i="14" s="1"/>
  <c r="D18" i="13"/>
  <c r="C18" i="13" s="1"/>
  <c r="H27" i="2"/>
  <c r="H24" i="2"/>
  <c r="H36" i="2"/>
  <c r="H48" i="2"/>
  <c r="H125" i="2"/>
  <c r="H101" i="2"/>
  <c r="H99" i="2"/>
  <c r="H87" i="2"/>
  <c r="H79" i="2"/>
  <c r="H58" i="2"/>
  <c r="H113" i="2"/>
  <c r="H97" i="2"/>
  <c r="H61" i="2"/>
  <c r="H22" i="2"/>
  <c r="H13" i="2"/>
  <c r="J652" i="1"/>
  <c r="D15" i="13"/>
  <c r="C15" i="13" s="1"/>
  <c r="C13" i="10"/>
  <c r="C120" i="2"/>
  <c r="H120" i="2" s="1"/>
  <c r="C119" i="2"/>
  <c r="H59" i="2"/>
  <c r="H8" i="2"/>
  <c r="E112" i="2"/>
  <c r="H112" i="2" s="1"/>
  <c r="K2" i="14"/>
  <c r="K3" i="14" s="1"/>
  <c r="H12" i="2"/>
  <c r="G409" i="1"/>
  <c r="H646" i="1" s="1"/>
  <c r="D29" i="13"/>
  <c r="C29" i="13" s="1"/>
  <c r="G662" i="1"/>
  <c r="D78" i="2"/>
  <c r="H77" i="2"/>
  <c r="G477" i="1"/>
  <c r="B33" i="16"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85" i="2" l="1"/>
  <c r="H42" i="2"/>
  <c r="H103" i="2"/>
  <c r="H57" i="2"/>
  <c r="H134" i="2"/>
  <c r="H21" i="2"/>
  <c r="H16" i="2"/>
  <c r="I663" i="1"/>
  <c r="H123" i="2"/>
  <c r="H78" i="2"/>
  <c r="C81" i="2"/>
  <c r="F194" i="1"/>
  <c r="H91" i="2"/>
  <c r="H81" i="2"/>
  <c r="H50" i="2"/>
  <c r="H18" i="2"/>
  <c r="D128" i="2"/>
  <c r="D145" i="2" s="1"/>
  <c r="H127" i="2"/>
  <c r="D63" i="2"/>
  <c r="H62" i="2"/>
  <c r="I662" i="1"/>
  <c r="H624" i="1"/>
  <c r="J624" i="1" s="1"/>
  <c r="D51"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D104" i="2"/>
  <c r="H104" i="2" s="1"/>
  <c r="H51" i="2"/>
  <c r="C144" i="2"/>
  <c r="H144" i="2" s="1"/>
  <c r="H141" i="2"/>
  <c r="H128" i="2"/>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<sst xmlns="http://schemas.openxmlformats.org/spreadsheetml/2006/main" count="6640" uniqueCount="1841">
  <si>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</si>
  <si>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</si>
  <si>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</si>
  <si>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</si>
  <si>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</si>
  <si>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</si>
  <si>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</si>
  <si>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</si>
  <si>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</si>
  <si>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</si>
  <si>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</si>
  <si>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</si>
  <si>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</si>
  <si>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</si>
  <si>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</si>
  <si>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</si>
  <si>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</si>
  <si>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</si>
  <si>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</si>
  <si>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</si>
  <si>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</si>
  <si>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</si>
  <si>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</si>
  <si>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</si>
  <si>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</si>
  <si>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</si>
  <si>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</si>
  <si>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</si>
  <si>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</si>
  <si>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</si>
  <si>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</si>
  <si>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</si>
  <si>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</si>
  <si>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</si>
  <si>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</si>
  <si>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</si>
  <si>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</si>
  <si>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</si>
  <si>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</si>
  <si>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</si>
  <si>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</si>
  <si>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</si>
  <si>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</si>
  <si>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</si>
  <si>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</si>
  <si>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</si>
  <si>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</si>
  <si>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</si>
  <si>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</si>
  <si>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</si>
  <si>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</si>
  <si>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</si>
  <si>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</si>
  <si>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</si>
  <si>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</si>
  <si>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</si>
  <si>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</si>
  <si>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</si>
  <si>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</si>
  <si>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</si>
  <si>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</si>
  <si>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</si>
  <si>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</si>
  <si>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</si>
  <si>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</si>
  <si>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</si>
  <si>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</si>
  <si>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</si>
  <si>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</si>
  <si>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</si>
  <si>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</si>
  <si>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</si>
  <si>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</si>
  <si>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</si>
  <si>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</si>
  <si>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</si>
  <si>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</si>
  <si>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</si>
  <si>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</si>
  <si>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</si>
  <si>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</si>
  <si>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</si>
  <si>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</si>
  <si>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</si>
  <si>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</si>
  <si>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</si>
  <si>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</si>
  <si>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</si>
  <si>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</si>
  <si>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</si>
  <si>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</si>
  <si>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</si>
  <si>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</si>
  <si>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</si>
  <si>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</si>
  <si>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</si>
  <si>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</si>
  <si>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</si>
  <si>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</si>
  <si>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</si>
  <si>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</si>
  <si>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</si>
  <si>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</si>
  <si>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</si>
  <si>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</si>
  <si>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</si>
  <si>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</si>
  <si>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</si>
  <si>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</si>
  <si>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</si>
  <si>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</si>
  <si>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</si>
  <si>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</si>
  <si>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</si>
  <si>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</si>
  <si>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</si>
  <si>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</si>
  <si>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</si>
  <si>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</si>
  <si>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</si>
  <si>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</si>
  <si>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</si>
  <si>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</si>
  <si>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</si>
  <si>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</si>
  <si>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</si>
  <si>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</si>
  <si>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</si>
  <si>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</si>
  <si>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</si>
  <si>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</si>
  <si>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</si>
  <si>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</si>
  <si>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</si>
  <si>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</si>
  <si>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</si>
  <si>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</si>
  <si>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</si>
  <si>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</si>
  <si>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</si>
  <si>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</si>
  <si>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</si>
  <si>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</si>
  <si>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</si>
  <si>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</si>
  <si>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</si>
  <si>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</si>
  <si>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</si>
  <si>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</si>
  <si>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</si>
  <si>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</si>
  <si>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</si>
  <si>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</si>
  <si>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</si>
  <si>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</si>
  <si>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</si>
  <si>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</si>
  <si>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</si>
  <si>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</si>
  <si>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</si>
  <si>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</si>
  <si>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</si>
  <si>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</si>
  <si>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</si>
  <si>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</si>
  <si>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</si>
  <si>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</si>
  <si>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</si>
  <si>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</si>
  <si>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</si>
  <si>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</si>
  <si>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</si>
  <si>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</si>
  <si>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</si>
  <si>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</si>
  <si>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</si>
  <si>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</si>
  <si>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</si>
  <si>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</si>
  <si>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</si>
  <si>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</si>
  <si>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</si>
  <si>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</si>
  <si>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</si>
  <si>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</si>
  <si>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</si>
  <si>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</si>
  <si>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</si>
  <si>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</si>
  <si>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</si>
  <si>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</si>
  <si>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</si>
  <si>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</si>
  <si>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</si>
  <si>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</si>
  <si>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</si>
  <si>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</si>
  <si>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</si>
  <si>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</si>
  <si>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</si>
  <si>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</si>
  <si>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</si>
  <si>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</si>
  <si>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</si>
  <si>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</si>
  <si>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</si>
  <si>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</si>
  <si>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</si>
  <si>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</si>
  <si>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</si>
  <si>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</si>
  <si>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</si>
  <si>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</si>
  <si>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</si>
  <si>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</si>
  <si>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</si>
  <si>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</si>
  <si>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</si>
  <si>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</si>
  <si>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</si>
  <si>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</si>
  <si>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</si>
  <si>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</si>
  <si>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</si>
  <si>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</si>
  <si>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</si>
  <si>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</si>
  <si>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</si>
  <si>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</si>
  <si>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</si>
  <si>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</si>
  <si>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</si>
  <si>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</si>
  <si>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</si>
  <si>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</si>
  <si>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</si>
  <si>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</si>
  <si>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</si>
  <si>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</si>
  <si>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</si>
  <si>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</si>
  <si>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</si>
  <si>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</si>
  <si>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</si>
  <si>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</si>
  <si>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</si>
  <si>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</si>
  <si>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</si>
  <si>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</si>
  <si>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</si>
  <si>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</si>
  <si>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</si>
  <si>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</si>
  <si>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</si>
  <si>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</si>
  <si>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</si>
  <si>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</si>
  <si>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</si>
  <si>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</si>
  <si>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</si>
  <si>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</si>
  <si>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</si>
  <si>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</si>
  <si>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</si>
  <si>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</si>
  <si>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</si>
  <si>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</si>
  <si>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</si>
  <si>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</si>
  <si>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</si>
  <si>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</si>
  <si>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</si>
  <si>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</si>
  <si>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</si>
  <si>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</si>
  <si>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</si>
  <si>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</si>
  <si>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</si>
  <si>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</si>
  <si>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</si>
  <si>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</si>
  <si>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</si>
  <si>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</si>
  <si>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</si>
  <si>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</si>
  <si>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</si>
  <si>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</si>
  <si>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</si>
  <si>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</si>
  <si>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</si>
  <si>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</si>
  <si>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</si>
  <si>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</si>
  <si>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</si>
  <si>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</si>
  <si>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</si>
  <si>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</si>
  <si>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</si>
  <si>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</si>
  <si>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</si>
  <si>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</si>
  <si>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</si>
  <si>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</si>
  <si>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</si>
  <si>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</si>
  <si>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</si>
  <si>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</si>
  <si>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</si>
  <si>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</si>
  <si>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</si>
  <si>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</si>
  <si>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</si>
  <si>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</si>
  <si>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</si>
  <si>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</si>
  <si>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</si>
  <si>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</si>
  <si>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</si>
  <si>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</si>
  <si>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</si>
  <si>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</si>
  <si>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</si>
  <si>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</si>
  <si>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</si>
  <si>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</si>
  <si>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</si>
  <si>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</si>
  <si>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</si>
  <si>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</si>
  <si>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</si>
  <si>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</si>
  <si>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</si>
  <si>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</si>
  <si>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</si>
  <si>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</si>
  <si>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</si>
  <si>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</si>
  <si>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</si>
  <si>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</si>
  <si>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</si>
  <si>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</si>
  <si>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</si>
  <si>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</si>
  <si>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</si>
  <si>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</si>
  <si>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</si>
  <si>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</si>
  <si>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</si>
  <si>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</si>
  <si>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</si>
  <si>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</si>
  <si>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</si>
  <si>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</si>
  <si>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</si>
  <si>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</si>
  <si>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</si>
  <si>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</si>
  <si>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</si>
  <si>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</si>
  <si>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</si>
  <si>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</si>
  <si>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</si>
  <si>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</si>
  <si>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</si>
  <si>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</si>
  <si>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</si>
  <si>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</si>
  <si>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</si>
  <si>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</si>
  <si>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</si>
  <si>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</si>
  <si>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</si>
  <si>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</si>
  <si>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</si>
  <si>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</si>
  <si>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</si>
  <si>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</si>
  <si>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</si>
  <si>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</si>
  <si>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</si>
  <si>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</si>
  <si>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</si>
  <si>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</si>
  <si>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</si>
  <si>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</si>
  <si>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</si>
  <si>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</si>
  <si>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</si>
  <si>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</si>
  <si>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</si>
  <si>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</si>
  <si>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</si>
  <si>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</si>
  <si>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</si>
  <si>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</si>
  <si>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</si>
  <si>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</si>
  <si>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</si>
  <si>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</si>
  <si>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</si>
  <si>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</si>
  <si>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</si>
  <si>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</si>
  <si>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</si>
  <si>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</si>
  <si>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</si>
  <si>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</si>
  <si>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</si>
  <si>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</si>
  <si>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</si>
  <si>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</si>
  <si>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</si>
  <si>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</si>
  <si>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</si>
  <si>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</si>
  <si>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</si>
  <si>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</si>
  <si>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</si>
  <si>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</si>
  <si>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</si>
  <si>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</si>
  <si>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</si>
  <si>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</si>
  <si>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</si>
  <si>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</si>
  <si>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</si>
  <si>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</si>
  <si>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</si>
  <si>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</si>
  <si>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</si>
  <si>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</si>
  <si>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</si>
  <si>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</si>
  <si>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</si>
  <si>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</si>
  <si>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</si>
  <si>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</si>
  <si>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</si>
  <si>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</si>
  <si>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</si>
  <si>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</si>
  <si>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</si>
  <si>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</si>
  <si>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</si>
  <si>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</si>
  <si>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</si>
  <si>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</si>
  <si>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</si>
  <si>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</si>
  <si>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</si>
  <si>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</si>
  <si>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</si>
  <si>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</si>
  <si>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</si>
  <si>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</si>
  <si>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</si>
  <si>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</si>
  <si>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</si>
  <si>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</si>
  <si>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</si>
  <si>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</si>
  <si>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</si>
  <si>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</si>
  <si>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</si>
  <si>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</si>
  <si>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</si>
  <si>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</si>
  <si>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</si>
  <si>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</si>
  <si>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</si>
  <si>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</si>
  <si>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</si>
  <si>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</si>
  <si>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</si>
  <si>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</si>
  <si>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</si>
  <si>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</si>
  <si>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</si>
  <si>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</si>
  <si>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</si>
  <si>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</si>
  <si>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</si>
  <si>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</si>
  <si>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</si>
  <si>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</si>
  <si>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</si>
  <si>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</si>
  <si>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</si>
  <si>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</si>
  <si>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</si>
  <si>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</si>
  <si>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</si>
  <si>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</si>
  <si>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</si>
  <si>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</si>
  <si>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</si>
  <si>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</si>
  <si>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</si>
  <si>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</si>
  <si>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</si>
  <si>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</si>
  <si>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</si>
  <si>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</si>
  <si>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</si>
  <si>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</si>
  <si>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</si>
  <si>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</si>
  <si>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</si>
  <si>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</si>
  <si>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</si>
  <si>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</si>
  <si>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</si>
  <si>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</si>
  <si>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</si>
  <si>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</si>
  <si>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</si>
  <si>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</si>
  <si>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</si>
  <si>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</si>
  <si>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</si>
  <si>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</si>
  <si>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</si>
  <si>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</si>
  <si>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</si>
  <si>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</si>
  <si>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</si>
  <si>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</si>
  <si>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</si>
  <si>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</si>
  <si>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</si>
  <si>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</si>
  <si>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</si>
  <si>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</si>
  <si>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</si>
  <si>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</si>
  <si>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</si>
  <si>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</si>
  <si>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</si>
  <si>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</si>
  <si>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</si>
  <si>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</si>
  <si>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</si>
  <si>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</si>
  <si>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</si>
  <si>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</si>
  <si>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</si>
  <si>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</si>
  <si>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</si>
  <si>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</si>
  <si>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</si>
  <si>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</si>
  <si>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</si>
  <si>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</si>
  <si>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</si>
  <si>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</si>
  <si>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</si>
  <si>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</si>
  <si>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</si>
  <si>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</si>
  <si>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</si>
  <si>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</si>
  <si>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</si>
  <si>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</si>
  <si>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</si>
  <si>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</si>
  <si>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</si>
  <si>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</si>
  <si>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</si>
  <si>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</si>
  <si>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</si>
  <si>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</si>
  <si>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</si>
  <si>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</si>
  <si>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</si>
  <si>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</si>
  <si>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</si>
  <si>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</si>
  <si>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</si>
  <si>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</si>
  <si>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</si>
  <si>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</si>
  <si>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</si>
  <si>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</si>
  <si>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</si>
  <si>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</si>
  <si>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</si>
  <si>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</si>
  <si>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</si>
  <si>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</si>
  <si>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</si>
  <si>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</si>
  <si>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</si>
  <si>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</si>
  <si>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</si>
  <si>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</si>
  <si>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</si>
  <si>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</si>
  <si>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</si>
  <si>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</si>
  <si>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</si>
  <si>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</si>
  <si>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</si>
  <si>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</si>
  <si>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</si>
  <si>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</si>
  <si>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</si>
  <si>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</si>
  <si>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</si>
  <si>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</si>
  <si>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</si>
  <si>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</si>
  <si>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</si>
  <si>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</si>
  <si>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</si>
  <si>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</si>
  <si>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</si>
  <si>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</si>
  <si>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</si>
  <si>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</si>
  <si>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</si>
  <si>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</si>
  <si>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</si>
  <si>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</si>
  <si>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</si>
  <si>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</si>
  <si>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</si>
  <si>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</si>
  <si>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</si>
  <si>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</si>
  <si>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</si>
  <si>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</si>
  <si>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</si>
  <si>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</si>
  <si>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</si>
  <si>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</si>
  <si>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</si>
  <si>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</si>
  <si>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</si>
  <si>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</si>
  <si>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</si>
  <si>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</si>
  <si>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</si>
  <si>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</si>
  <si>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</si>
  <si>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</si>
  <si>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</si>
  <si>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</si>
  <si>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</si>
  <si>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</si>
  <si>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</si>
  <si>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</si>
  <si>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</si>
  <si>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</si>
  <si>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</si>
  <si>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</si>
  <si>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</si>
  <si>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</si>
  <si>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</si>
  <si>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</si>
  <si>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</si>
  <si>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</si>
  <si>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</si>
  <si>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</si>
  <si>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</si>
  <si>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</si>
  <si>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</si>
  <si>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</si>
  <si>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</si>
  <si>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</si>
  <si>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</si>
  <si>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</si>
  <si>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</si>
  <si>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</si>
  <si>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</si>
  <si>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</si>
  <si>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</si>
  <si>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</si>
  <si>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</si>
  <si>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</si>
  <si>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</si>
  <si>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</si>
  <si>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</si>
  <si>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</si>
  <si>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</si>
  <si>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</si>
  <si>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</si>
  <si>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</si>
  <si>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</si>
  <si>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</si>
  <si>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</si>
  <si>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</si>
  <si>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</si>
  <si>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</si>
  <si>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</si>
  <si>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</si>
  <si>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</si>
  <si>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</si>
  <si>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</si>
  <si>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</si>
  <si>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</si>
  <si>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</si>
  <si>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</si>
  <si>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</si>
  <si>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</si>
  <si>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</si>
  <si>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</si>
  <si>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</si>
  <si>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</si>
  <si>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</si>
  <si>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</si>
  <si>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</si>
  <si>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</si>
  <si>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</si>
  <si>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</si>
  <si>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</si>
  <si>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</si>
  <si>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</si>
  <si>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</si>
  <si>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</si>
  <si>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</si>
  <si>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</si>
  <si>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</si>
  <si>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</si>
  <si>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</si>
  <si>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</si>
  <si>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</si>
  <si>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</si>
  <si>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</si>
  <si>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</si>
  <si>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</si>
  <si>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</si>
  <si>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</si>
  <si>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</si>
  <si>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</si>
  <si>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</si>
  <si>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</si>
  <si>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</si>
  <si>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</si>
  <si>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</si>
  <si>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</si>
  <si>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</si>
  <si>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</si>
  <si>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</si>
  <si>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</si>
  <si>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</si>
  <si>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</si>
  <si>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</si>
  <si>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</si>
  <si>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</si>
  <si>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</si>
  <si>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</si>
  <si>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</si>
  <si>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</si>
  <si>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</si>
  <si>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</si>
  <si>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</si>
  <si>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</si>
  <si>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</si>
  <si>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</si>
  <si>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</si>
  <si>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</si>
  <si>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</si>
  <si>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</si>
  <si>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</si>
  <si>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</si>
  <si>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</si>
  <si>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</si>
  <si>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</si>
  <si>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</si>
  <si>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</si>
  <si>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</si>
  <si>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</si>
  <si>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</si>
  <si>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</si>
  <si>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</si>
  <si>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</si>
  <si>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</si>
  <si>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</si>
  <si>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</si>
  <si>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</si>
  <si>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</si>
  <si>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</si>
  <si>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</si>
  <si>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</si>
  <si>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</si>
  <si>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</si>
  <si>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</si>
  <si>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</si>
  <si>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</si>
  <si>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</si>
  <si>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</si>
  <si>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</si>
  <si>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</si>
  <si>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</si>
  <si>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</si>
  <si>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</si>
  <si>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</si>
  <si>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</si>
  <si>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</si>
  <si>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</si>
  <si>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</si>
  <si>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</si>
  <si>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</si>
  <si>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</si>
  <si>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</si>
  <si>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</si>
  <si>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</si>
  <si>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</si>
  <si>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</si>
  <si>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</si>
  <si>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</si>
  <si>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</si>
  <si>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</si>
  <si>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</si>
  <si>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</si>
  <si>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</si>
  <si>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</si>
  <si>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</si>
  <si>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</si>
  <si>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</si>
  <si>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</si>
  <si>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</si>
  <si>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</si>
  <si>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</si>
  <si>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</si>
  <si>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</si>
  <si>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</si>
  <si>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</si>
  <si>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</si>
  <si>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</si>
  <si>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</si>
  <si>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</si>
  <si>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</si>
  <si>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</si>
  <si>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</si>
  <si>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</si>
  <si>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</si>
  <si>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</si>
  <si>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</si>
  <si>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</si>
  <si>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</si>
  <si>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</si>
  <si>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</si>
  <si>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</si>
  <si>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</si>
  <si>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</si>
  <si>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</si>
  <si>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</si>
  <si>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</si>
  <si>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</si>
  <si>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</si>
  <si>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</si>
  <si>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</si>
  <si>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</si>
  <si>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</si>
  <si>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</si>
  <si>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</si>
  <si>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</si>
  <si>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</si>
  <si>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</si>
  <si>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</si>
  <si>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</si>
  <si>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</si>
  <si>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</si>
  <si>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</si>
  <si>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</si>
  <si>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</si>
  <si>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</si>
  <si>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</si>
  <si>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</si>
  <si>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</si>
  <si>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</si>
  <si>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</si>
  <si>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</si>
  <si>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</si>
  <si>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</si>
  <si>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</si>
  <si>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</si>
  <si>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</si>
  <si>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</si>
  <si>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</si>
  <si>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</si>
  <si>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</si>
  <si>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</si>
  <si>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</si>
  <si>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</si>
  <si>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</si>
  <si>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</si>
  <si>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</si>
  <si>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</si>
  <si>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</si>
  <si>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</si>
  <si>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</si>
  <si>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</si>
  <si>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</si>
  <si>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</si>
  <si>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</si>
  <si>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</si>
  <si>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</si>
  <si>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</si>
  <si>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</si>
  <si>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</si>
  <si>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</si>
  <si>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</si>
  <si>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</si>
  <si>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</si>
  <si>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</si>
  <si>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</si>
  <si>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</si>
  <si>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</si>
  <si>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</si>
  <si>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</si>
  <si>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</si>
  <si>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</si>
  <si>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</si>
  <si>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</si>
  <si>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</si>
  <si>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</si>
  <si>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</si>
  <si>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</si>
  <si>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</si>
  <si>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</si>
  <si>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</si>
  <si>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</si>
  <si>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</si>
  <si>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</si>
  <si>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</si>
  <si>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</si>
  <si>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</si>
  <si>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</si>
  <si>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</si>
  <si>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</si>
  <si>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</si>
  <si>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</si>
  <si>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</si>
  <si>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</si>
  <si>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</si>
  <si>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</si>
  <si>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</si>
  <si>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</si>
  <si>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</si>
  <si>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</si>
  <si>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</si>
  <si>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</si>
  <si>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</si>
  <si>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</si>
  <si>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</si>
  <si>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</si>
  <si>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</si>
  <si>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</si>
  <si>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</si>
  <si>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</si>
  <si>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</si>
  <si>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</si>
  <si>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</si>
  <si>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</si>
  <si>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</si>
  <si>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</si>
  <si>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</si>
  <si>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</si>
  <si>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</si>
  <si>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</si>
  <si>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</si>
  <si>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</si>
  <si>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</si>
  <si>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</si>
  <si>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</si>
  <si>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</si>
  <si>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</si>
  <si>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</si>
  <si>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</si>
  <si>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</si>
  <si>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</si>
  <si>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</si>
  <si>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</si>
  <si>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</si>
  <si>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</si>
  <si>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</si>
  <si>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</si>
  <si>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</si>
  <si>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</si>
  <si>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</si>
  <si>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</si>
  <si>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</si>
  <si>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</si>
  <si>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</si>
  <si>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</si>
  <si>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</si>
  <si>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</si>
  <si>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</si>
  <si>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</si>
  <si>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</si>
  <si>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</si>
  <si>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</si>
  <si>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</si>
  <si>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</si>
  <si>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</si>
  <si>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</si>
  <si>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</si>
  <si>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</si>
  <si>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</si>
  <si>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</si>
  <si>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</si>
  <si>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</si>
  <si>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</si>
  <si>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</si>
  <si>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</si>
  <si>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</si>
  <si>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</si>
  <si>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</si>
  <si>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</si>
  <si>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</si>
  <si>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</si>
  <si>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</si>
  <si>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</si>
  <si>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</si>
  <si>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</si>
  <si>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</si>
  <si>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</si>
  <si>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</si>
  <si>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</si>
  <si>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</si>
  <si>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</si>
  <si>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</si>
  <si>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</si>
  <si>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</si>
  <si>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</si>
  <si>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</si>
  <si>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</si>
  <si>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</si>
  <si>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</si>
  <si>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</si>
  <si>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</si>
  <si>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</si>
  <si>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</si>
  <si>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</si>
  <si>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</si>
  <si>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</si>
  <si>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</si>
  <si>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</si>
  <si>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</si>
  <si>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</si>
  <si>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</si>
  <si>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</si>
  <si>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</si>
  <si>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</si>
  <si>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</si>
  <si>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</si>
  <si>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</si>
  <si>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</si>
  <si>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</si>
  <si>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</si>
  <si>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</si>
  <si>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</si>
  <si>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</si>
  <si>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</si>
  <si>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</si>
  <si>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</si>
  <si>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</si>
  <si>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</si>
  <si>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</si>
  <si>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</si>
  <si>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</si>
  <si>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</si>
  <si>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</si>
  <si>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</si>
  <si>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</si>
  <si>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</si>
  <si>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</si>
  <si>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</si>
  <si>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</si>
  <si>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</si>
  <si>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</si>
  <si>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</si>
  <si>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</si>
  <si>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</si>
  <si>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</si>
  <si>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</si>
  <si>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</si>
  <si>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</si>
  <si>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</si>
  <si>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</si>
  <si>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</si>
  <si>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</si>
  <si>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</si>
  <si>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</si>
  <si>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</si>
  <si>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</si>
  <si>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</si>
  <si>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</si>
  <si>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</si>
  <si>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</si>
  <si>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</si>
  <si>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</si>
  <si>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</si>
  <si>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</si>
  <si>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</si>
  <si>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</si>
  <si>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</si>
  <si>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</si>
  <si>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</si>
  <si>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</si>
  <si>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</si>
  <si>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</si>
  <si>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</si>
  <si>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</si>
  <si>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</si>
  <si>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</si>
  <si>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</si>
  <si>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</si>
  <si>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</si>
  <si>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</si>
  <si>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</si>
  <si>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</si>
  <si>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</si>
  <si>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</si>
  <si>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</si>
  <si>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</si>
  <si>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</si>
  <si>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</si>
  <si>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</si>
  <si>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</si>
  <si>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</si>
  <si>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</si>
  <si>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</si>
  <si>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</si>
  <si>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</si>
  <si>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</si>
  <si>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</si>
  <si>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</si>
  <si>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</si>
  <si>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</si>
  <si>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</si>
  <si>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</si>
  <si>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</si>
  <si>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</si>
  <si>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</si>
  <si>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</si>
  <si>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</si>
  <si>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</si>
  <si>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</si>
  <si>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</si>
  <si>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</si>
  <si>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</si>
  <si>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</si>
  <si>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</si>
  <si>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</si>
  <si>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</si>
  <si>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</si>
  <si>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</si>
  <si>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</si>
  <si>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</si>
  <si>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</si>
  <si>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</si>
  <si>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</si>
  <si>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</si>
  <si>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</si>
  <si>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</si>
  <si>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</si>
  <si>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</si>
  <si>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</si>
  <si>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</si>
  <si>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</si>
  <si>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</si>
  <si>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</si>
  <si>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</si>
  <si>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</si>
  <si>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</si>
  <si>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</si>
  <si>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</si>
  <si>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</si>
  <si>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</si>
  <si>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</si>
  <si>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</si>
  <si>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</si>
  <si>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</si>
  <si>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</si>
  <si>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</si>
  <si>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</si>
  <si>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</si>
  <si>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</si>
  <si>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</si>
  <si>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</si>
  <si>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</si>
  <si>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</si>
  <si>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</si>
  <si>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</si>
  <si>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</si>
  <si>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</si>
  <si>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</si>
  <si>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</si>
  <si>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</si>
  <si>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</si>
  <si>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</si>
  <si>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</si>
  <si>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</si>
  <si>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</si>
  <si>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</si>
  <si>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</si>
  <si>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</si>
  <si>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</si>
  <si>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</si>
  <si>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</si>
  <si>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</si>
  <si>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</si>
  <si>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</si>
  <si>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</si>
  <si>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</si>
  <si>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</si>
  <si>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</si>
  <si>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</si>
  <si>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</si>
  <si>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</si>
  <si>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</si>
  <si>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</si>
  <si>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</si>
  <si>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</si>
  <si>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</si>
  <si>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</si>
  <si>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</si>
  <si>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</si>
  <si>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</si>
  <si>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</si>
  <si>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</si>
  <si>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</si>
  <si>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</si>
  <si>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</si>
  <si>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</si>
  <si>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</si>
  <si>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</si>
  <si>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</si>
  <si>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</si>
  <si>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</si>
  <si>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</si>
  <si>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</si>
  <si>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</si>
  <si>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</si>
  <si>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</si>
  <si>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</si>
  <si>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</si>
  <si>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</si>
  <si>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</si>
  <si>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</si>
  <si>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</si>
  <si>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</si>
  <si>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</si>
  <si>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</si>
  <si>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</si>
  <si>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</si>
  <si>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</si>
  <si>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</si>
  <si>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</si>
  <si>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</si>
  <si>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</si>
  <si>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</si>
  <si>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</si>
  <si>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</si>
  <si>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</si>
  <si>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</si>
  <si>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</si>
  <si>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</si>
  <si>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</si>
  <si>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</si>
  <si>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</si>
  <si>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</si>
  <si>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</si>
  <si>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</si>
  <si>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</si>
  <si>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</si>
  <si>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</si>
  <si>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</si>
  <si>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</si>
  <si>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</si>
  <si>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</si>
  <si>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</si>
  <si>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</si>
  <si>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</si>
  <si>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</si>
  <si>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</si>
  <si>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</si>
  <si>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</si>
  <si>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</si>
  <si>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</si>
  <si>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</si>
  <si>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</si>
  <si>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</si>
  <si>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</si>
  <si>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</si>
  <si>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</si>
  <si>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</si>
  <si>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</si>
  <si>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</si>
  <si>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</si>
  <si>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</si>
  <si>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</si>
  <si>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</si>
  <si>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</si>
  <si>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</si>
  <si>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</si>
  <si>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</si>
  <si>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</si>
  <si>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</si>
  <si>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</si>
  <si>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</si>
  <si>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</si>
  <si>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</si>
  <si>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</si>
  <si>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</si>
  <si>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</si>
  <si>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</si>
  <si>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</si>
  <si>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</si>
  <si>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</si>
  <si>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</si>
  <si>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</si>
  <si>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</si>
  <si>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</si>
  <si>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</si>
  <si>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</si>
  <si>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</si>
  <si>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</si>
  <si>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</si>
  <si>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</si>
  <si>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</si>
  <si>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</si>
  <si>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</si>
  <si>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</si>
  <si>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</si>
  <si>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</si>
  <si>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</si>
  <si>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</si>
  <si>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</si>
  <si>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</si>
  <si>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</si>
  <si>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</si>
  <si>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</si>
  <si>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</si>
  <si>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</si>
  <si>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</si>
  <si>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</si>
  <si>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</si>
  <si>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</si>
  <si>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</si>
  <si>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</si>
  <si>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</si>
  <si>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</si>
  <si>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</si>
  <si>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</si>
  <si>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</si>
  <si>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</si>
  <si>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</si>
  <si>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</si>
  <si>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</si>
  <si>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</si>
  <si>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</si>
  <si>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</si>
  <si>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</si>
  <si>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</si>
  <si>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</si>
  <si>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</si>
  <si>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</si>
  <si>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</si>
  <si>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</si>
  <si>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</si>
  <si>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</si>
  <si>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</si>
  <si>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</si>
  <si>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</si>
  <si>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</si>
  <si>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</si>
  <si>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</si>
  <si>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</si>
  <si>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</si>
  <si>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</si>
  <si>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</si>
  <si>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</si>
  <si>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</si>
  <si>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</si>
  <si>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</si>
  <si>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</si>
  <si>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</si>
  <si>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</si>
  <si>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</si>
  <si>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</si>
  <si>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</si>
  <si>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</si>
  <si>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</si>
  <si>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</si>
  <si>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</si>
  <si>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</si>
  <si>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</si>
  <si>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</si>
  <si>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</si>
  <si>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</si>
  <si>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</si>
  <si>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</si>
  <si>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</si>
  <si>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</si>
  <si>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</si>
  <si>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</si>
  <si>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</si>
  <si>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</si>
  <si>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</si>
  <si>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</si>
  <si>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</si>
  <si>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</si>
  <si>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</si>
  <si>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</si>
  <si>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</si>
  <si>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</si>
  <si>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</si>
  <si>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</si>
  <si>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</si>
  <si>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</si>
  <si>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</si>
  <si>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</si>
  <si>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</si>
  <si>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</si>
  <si>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</si>
  <si>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</si>
  <si>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</si>
  <si>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</si>
  <si>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</si>
  <si>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</si>
  <si>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</si>
  <si>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</si>
  <si>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</si>
  <si>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</si>
  <si>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</si>
  <si>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</si>
  <si>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</si>
  <si>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</si>
  <si>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</si>
  <si>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</si>
  <si>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</si>
  <si>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</si>
  <si>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</si>
  <si>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</si>
  <si>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</si>
  <si>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</si>
  <si>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</si>
  <si>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</si>
  <si>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</si>
  <si>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</si>
  <si>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</si>
  <si>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</si>
  <si>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</si>
  <si>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</si>
  <si>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</si>
  <si>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</si>
  <si>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</si>
  <si>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</si>
  <si>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</si>
  <si>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</si>
  <si>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</si>
  <si>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</si>
  <si>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</si>
  <si>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</si>
  <si>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</si>
  <si>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</si>
  <si>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</si>
  <si>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</si>
  <si>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</si>
  <si>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</si>
  <si>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</si>
  <si>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</si>
  <si>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</si>
  <si>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</si>
  <si>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</si>
  <si>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</si>
  <si>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</si>
  <si>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</si>
  <si>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</si>
  <si>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</si>
  <si>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</si>
  <si>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</si>
  <si>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</si>
  <si>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</si>
  <si>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</si>
  <si>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</si>
  <si>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</si>
  <si>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</si>
  <si>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</si>
  <si>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</si>
  <si>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</si>
  <si>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</si>
  <si>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</si>
  <si>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</si>
  <si>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</si>
  <si>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</si>
  <si>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</si>
  <si>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</si>
  <si>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</si>
  <si>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</si>
  <si>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</si>
  <si>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</si>
  <si>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</si>
  <si>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</si>
  <si>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</si>
  <si>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</si>
  <si>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</si>
  <si>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</si>
  <si>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</si>
  <si>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</si>
  <si>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</si>
  <si>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</si>
  <si>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</si>
  <si>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</si>
  <si>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</si>
  <si>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</si>
  <si>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</si>
  <si>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</si>
  <si>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</si>
  <si>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</si>
  <si>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</si>
  <si>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</si>
  <si>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</si>
  <si>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</si>
  <si>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</si>
  <si>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</si>
  <si>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</si>
  <si>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</si>
  <si>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</si>
  <si>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</si>
  <si>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</si>
  <si>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</si>
  <si>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</si>
  <si>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</si>
  <si>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</si>
  <si>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</si>
  <si>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</si>
  <si>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</si>
  <si>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</si>
  <si>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</si>
  <si>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</si>
  <si>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</si>
  <si>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</si>
  <si>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</si>
  <si>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</si>
  <si>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</si>
  <si>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</si>
  <si>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</si>
  <si>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</si>
  <si>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</si>
  <si>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</si>
  <si>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</si>
  <si>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</si>
  <si>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</si>
  <si>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</si>
  <si>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</si>
  <si>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</si>
  <si>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</si>
  <si>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</si>
  <si>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</si>
  <si>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</si>
  <si>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</si>
  <si>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</si>
  <si>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</si>
  <si>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</si>
  <si>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</si>
  <si>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</si>
  <si>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</si>
  <si>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</si>
  <si>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</si>
  <si>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</si>
  <si>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</si>
  <si>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</si>
  <si>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</si>
  <si>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</si>
  <si>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</si>
  <si>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</si>
  <si>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</si>
  <si>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</si>
  <si>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</si>
  <si>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</si>
  <si>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</si>
  <si>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</si>
  <si>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</si>
  <si>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</si>
  <si>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</si>
  <si>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</si>
  <si>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</si>
  <si>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</si>
  <si>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</si>
  <si>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</si>
  <si>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</si>
  <si>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</si>
  <si>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</si>
  <si>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</si>
  <si>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</si>
  <si>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</si>
  <si>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</si>
  <si>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</si>
  <si>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</si>
  <si>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</si>
  <si>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</si>
  <si>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</si>
  <si>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</si>
  <si>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</si>
  <si>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</si>
  <si>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</si>
  <si>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</si>
  <si>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</si>
  <si>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</si>
  <si>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</si>
  <si>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</si>
  <si>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</si>
  <si>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</si>
  <si>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</si>
  <si>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</si>
  <si>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</si>
  <si>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</si>
  <si>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</si>
  <si>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</si>
  <si>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</si>
  <si>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</si>
  <si>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</si>
  <si>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</si>
  <si>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</si>
  <si>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</si>
  <si>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</si>
  <si>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</si>
  <si>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</si>
  <si>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</si>
  <si>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</si>
  <si>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</si>
  <si>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</si>
  <si>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</si>
  <si>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</si>
  <si>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</si>
  <si>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</si>
  <si>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</si>
  <si>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</si>
  <si>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</si>
  <si>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</si>
  <si>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</si>
  <si>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</si>
  <si>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</si>
  <si>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</si>
  <si>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</si>
  <si>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</si>
  <si>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</si>
  <si>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</si>
  <si>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</si>
  <si>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</si>
  <si>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</si>
  <si>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</si>
  <si>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</si>
  <si>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</si>
  <si>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</si>
  <si>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</si>
  <si>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</si>
  <si>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</si>
  <si>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</si>
  <si>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</si>
  <si>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</si>
  <si>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</si>
  <si>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</si>
  <si>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</si>
  <si>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</si>
  <si>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</si>
  <si>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</si>
  <si>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</si>
  <si>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</si>
  <si>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</si>
  <si>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</si>
  <si>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</si>
  <si>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</si>
  <si>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</si>
  <si>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</si>
  <si>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</si>
  <si>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</si>
  <si>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</si>
  <si>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</si>
  <si>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</si>
  <si>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</si>
  <si>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</si>
  <si>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</si>
  <si>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</si>
  <si>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</si>
  <si>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</si>
  <si>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</si>
  <si>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</si>
  <si>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</si>
  <si>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</si>
  <si>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</si>
  <si>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</si>
  <si>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</si>
  <si>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</si>
  <si>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</si>
  <si>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</si>
  <si>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</si>
  <si>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</si>
  <si>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</si>
  <si>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</si>
  <si>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</si>
  <si>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</si>
  <si>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</si>
  <si>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</si>
  <si>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</si>
  <si>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</si>
  <si>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</si>
  <si>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</si>
  <si>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</si>
  <si>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</si>
  <si>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</si>
  <si>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</si>
  <si>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</si>
  <si>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</si>
  <si>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</si>
  <si>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</si>
  <si>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</si>
  <si>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</si>
  <si>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</si>
  <si>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</si>
  <si>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</si>
  <si>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</si>
  <si>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</si>
  <si>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</si>
  <si>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</si>
  <si>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</si>
  <si>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</si>
  <si>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</si>
  <si>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</si>
  <si>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</si>
  <si>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</si>
  <si>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</si>
  <si>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</si>
  <si>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</si>
  <si>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</si>
  <si>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</si>
  <si>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</si>
  <si>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</si>
  <si>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</si>
  <si>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</si>
  <si>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</si>
  <si>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</si>
  <si>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</si>
  <si>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</si>
  <si>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</si>
  <si>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</si>
  <si>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</si>
  <si>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</si>
  <si>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</si>
  <si>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</si>
  <si>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</si>
  <si>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</si>
  <si>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</si>
  <si>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</si>
  <si>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</si>
  <si>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</si>
  <si>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</si>
  <si>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</si>
  <si>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</si>
  <si>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</si>
  <si>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</si>
  <si>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</si>
  <si>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</si>
  <si>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</si>
  <si>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</si>
  <si>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</si>
  <si>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</si>
  <si>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</si>
  <si>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</si>
  <si>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</si>
  <si>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</si>
  <si>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</si>
  <si>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</si>
  <si>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</si>
  <si>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</si>
  <si>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</si>
  <si>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</si>
  <si>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</si>
  <si>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</si>
  <si>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</si>
  <si>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</si>
  <si>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</si>
  <si>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</si>
  <si>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</si>
  <si>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</si>
  <si>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</si>
  <si>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</si>
  <si>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</si>
  <si>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</si>
  <si>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</si>
  <si>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</si>
  <si>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</si>
  <si>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</si>
  <si>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</si>
  <si>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</si>
  <si>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</si>
  <si>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</si>
  <si>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</si>
  <si>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</si>
  <si>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</si>
  <si>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</si>
  <si>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</si>
  <si>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</si>
  <si>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</si>
  <si>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</si>
  <si>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</si>
  <si>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</si>
  <si>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</si>
  <si>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</si>
  <si>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</si>
  <si>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</si>
  <si>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</si>
  <si>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</si>
  <si>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</si>
  <si>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</si>
  <si>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</si>
  <si>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</si>
  <si>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</si>
  <si>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</si>
  <si>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</si>
  <si>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</si>
  <si>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</si>
  <si>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</si>
  <si>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</si>
  <si>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</si>
  <si>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</si>
  <si>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</si>
  <si>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</si>
  <si>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</si>
  <si>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</si>
  <si>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</si>
  <si>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</si>
  <si>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</si>
  <si>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</si>
  <si>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</si>
  <si>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</si>
  <si>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</si>
  <si>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</si>
  <si>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</si>
  <si>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</si>
  <si>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</si>
  <si>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</si>
  <si>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</si>
  <si>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</si>
  <si>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</si>
  <si>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Frost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</si>
</sst>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1043</v>
      </c>
      <c r="B2">
        <f>INDEX('School Tables'!$AH$3:$AH$213,MATCH('DOE25'!A2,'School Tables'!$AJ$3:$AJ$213,0))</f>
        <v>189</v>
      </c>
      <c r="C2">
        <f>INDEX('School Tables'!$AI$3:$AI$213,MATCH('DOE25'!A2,'School Tables'!$AJ$3:$AJ$213,0))</f>
        <v>189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58683.53</v>
      </c>
      <c r="G9" s="18"/>
      <c r="H9" s="18"/>
      <c r="I9" s="18"/>
      <c r="J9" s="13">
        <f>SUM(I440)</f>
        <v>1004921.0599999999</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40000+274996.21</f>
        <v>314996.21000000002</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f>-21.38+28106.92</f>
        <v>28085.539999999997</v>
      </c>
      <c r="G13" s="18">
        <v>10142.469999999999</v>
      </c>
      <c r="H13" s="18">
        <v>23888.76</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v>1426.32</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6441.24</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f>105974.77</f>
        <v>105974.77</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507740.05</v>
      </c>
      <c r="G19" s="38">
        <f>SUM(G9:G18)</f>
        <v>18010.03</v>
      </c>
      <c r="H19" s="38">
        <f>SUM(H9:H18)</f>
        <v>23888.76</v>
      </c>
      <c r="I19" s="38">
        <f>SUM(I9:I18)</f>
        <v>0</v>
      </c>
      <c r="J19" s="38">
        <f>SUM(J9:J18)</f>
        <v>1004921.0599999999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35543.74</v>
      </c>
      <c r="G22" s="18">
        <v>-54396.22</v>
      </c>
      <c r="H22" s="18">
        <v>17383.84</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169863.95</f>
        <v>169863.95</v>
      </c>
      <c r="G24" s="18"/>
      <c r="H24" s="18">
        <v>6504.92</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10294.94</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205407.69</v>
      </c>
      <c r="G32" s="38">
        <f>SUM(G22:G31)</f>
        <v>-44101.279999999999</v>
      </c>
      <c r="H32" s="38">
        <f>SUM(H22:H31)</f>
        <v>23888.760000000002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6441.24</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400</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v>55270.07</v>
      </c>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200000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1004921.0599999999</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102332.36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302332.36</v>
      </c>
      <c r="G51" s="38">
        <f>SUM(G35:G50)</f>
        <v>62111.31</v>
      </c>
      <c r="H51" s="38">
        <f>SUM(H35:H50)</f>
        <v>0</v>
      </c>
      <c r="I51" s="38">
        <f>SUM(I35:I50)</f>
        <v>0</v>
      </c>
      <c r="J51" s="38">
        <f>SUM(J35:J50)</f>
        <v>1004921.0599999999</v>
      </c>
      <c r="K51" s="42" t="s">
        <v>288</v>
      </c>
      <c r="L51" s="42" t="s">
        <v>288</v>
      </c>
      <c r="N51" s="130"/>
    </row>
    <row r="52" spans="1:14" s="3" customFormat="1" ht="12.2" customHeight="1" thickTop="1" x14ac:dyDescent="0.15">
      <c r="A52" s="35" t="s">
        <v>455</v>
      </c>
      <c r="B52" s="36" t="s">
        <v>289</v>
      </c>
      <c r="C52" s="6">
        <v>37</v>
      </c>
      <c r="D52" s="36" t="s">
        <v>653</v>
      </c>
      <c r="E52" s="36"/>
      <c r="F52" s="38">
        <f>F51+F32</f>
        <v>507740.05</v>
      </c>
      <c r="G52" s="38">
        <f>G51+G32</f>
        <v>18010.03</v>
      </c>
      <c r="H52" s="38">
        <f>H51+H32</f>
        <v>23888.760000000002</v>
      </c>
      <c r="I52" s="38">
        <f>I51+I32</f>
        <v>0</v>
      </c>
      <c r="J52" s="38">
        <f>J51+J32</f>
        <v>1004921.0599999999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9199964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9199964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10322.780000000001</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10322.780000000001</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46011.79</v>
      </c>
      <c r="G96" s="18"/>
      <c r="H96" s="18"/>
      <c r="I96" s="18"/>
      <c r="J96" s="18">
        <v>31109.38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136537.18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1272.96</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995</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48279.75</v>
      </c>
      <c r="G111" s="38">
        <f>SUM(G96:G110)</f>
        <v>136537.18</v>
      </c>
      <c r="H111" s="38">
        <f>SUM(H96:H110)</f>
        <v>0</v>
      </c>
      <c r="I111" s="38">
        <f>SUM(I96:I110)</f>
        <v>0</v>
      </c>
      <c r="J111" s="38">
        <f>SUM(J96:J110)</f>
        <v>31109.38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9258566.5299999993</v>
      </c>
      <c r="G112" s="38">
        <f>G60+G111</f>
        <v>136537.18</v>
      </c>
      <c r="H112" s="38">
        <f>H60+H79+H94+H111</f>
        <v>0</v>
      </c>
      <c r="I112" s="38">
        <f>I60+I111</f>
        <v>0</v>
      </c>
      <c r="J112" s="38">
        <f>J60+J111</f>
        <v>31109.38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1530677.6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1004599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6111.33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2541387.9300000002</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70861.490000000005</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v>14563.8</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2690.53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70861.490000000005</v>
      </c>
      <c r="G136" s="38">
        <f>SUM(G123:G135)</f>
        <v>2690.53</v>
      </c>
      <c r="H136" s="38">
        <f>SUM(H123:H135)</f>
        <v>14563.8</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2612249.4200000004</v>
      </c>
      <c r="G140" s="38">
        <f>G121+SUM(G136:G137)</f>
        <v>2690.53</v>
      </c>
      <c r="H140" s="38">
        <f>H121+SUM(H136:H139)</f>
        <v>14563.8</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f>6357.32+7135+20147.48</f>
        <v>33639.800000000003</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9122.64+38590.99</f>
        <v>47713.63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11700.72+15142.89+1568.75+6340.15+3598.74</f>
        <v>38351.25</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53394.41+6417.81</f>
        <v>59812.22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8215.8+32087.39+129182.94+261.56+1622.91</f>
        <v>171370.6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78336.73</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16927.91+7674.8+18968.29</f>
        <v>43571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78336.73</v>
      </c>
      <c r="G163" s="38">
        <f>SUM(G150:G162)</f>
        <v>59812.22</v>
      </c>
      <c r="H163" s="38">
        <f>SUM(H150:H162)</f>
        <v>334646.28000000003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78336.73</v>
      </c>
      <c r="G170" s="38">
        <f>G147+G163+SUM(G164:G169)</f>
        <v>59812.22</v>
      </c>
      <c r="H170" s="38">
        <f>H147+H163+SUM(H164:H169)</f>
        <v>334646.28000000003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11949152.68</v>
      </c>
      <c r="G194" s="38">
        <f>G112+G140+G170+G193</f>
        <v>199039.93</v>
      </c>
      <c r="H194" s="38">
        <f>H112+H140+H170+H193</f>
        <v>349210.08</v>
      </c>
      <c r="I194" s="38">
        <f>I112+I140+I170+I193</f>
        <v>0</v>
      </c>
      <c r="J194" s="38">
        <f>J112+J140+J193</f>
        <v>81109.38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1909023.04</v>
      </c>
      <c r="G198" s="18">
        <f>1054093.74</f>
        <v>1054093.74</v>
      </c>
      <c r="H198" s="18">
        <f>2486.67</f>
        <v>2486.67</v>
      </c>
      <c r="I198" s="18">
        <f>67565.39</f>
        <v>67565.39</v>
      </c>
      <c r="J198" s="18">
        <f>1872.04</f>
        <v>1872.04</v>
      </c>
      <c r="K198" s="18">
        <f>507.46</f>
        <v>507.46</v>
      </c>
      <c r="L198" s="13">
        <f>SUM(F198:K198)</f>
        <v>3035548.3400000003</v>
      </c>
      <c r="M198" s="8"/>
      <c r="N198" s="164"/>
    </row>
    <row r="199" spans="1:14" s="3" customFormat="1" ht="12.2" customHeight="1" x14ac:dyDescent="0.15">
      <c r="A199" s="1" t="s">
        <v>439</v>
      </c>
      <c r="B199" s="2" t="s">
        <v>341</v>
      </c>
      <c r="C199" s="2" t="s">
        <v>291</v>
      </c>
      <c r="D199" s="2" t="s">
        <v>431</v>
      </c>
      <c r="E199" s="6">
        <v>1200</v>
      </c>
      <c r="F199" s="18">
        <f>641584.76</f>
        <v>641584.76</v>
      </c>
      <c r="G199" s="18">
        <f>247654.52</f>
        <v>247654.52</v>
      </c>
      <c r="H199" s="18">
        <f>293033.57+7463.21</f>
        <v>300496.78000000003</v>
      </c>
      <c r="I199" s="18">
        <f>8942.51</f>
        <v>8942.51</v>
      </c>
      <c r="J199" s="18">
        <f>1960.15</f>
        <v>1960.15</v>
      </c>
      <c r="K199" s="18"/>
      <c r="L199" s="13">
        <f>SUM(F199:K199)</f>
        <v>1200638.72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39005</v>
      </c>
      <c r="G201" s="18">
        <f>7904.72</f>
        <v>7904.72</v>
      </c>
      <c r="H201" s="18">
        <f>4215.39</f>
        <v>4215.3900000000003</v>
      </c>
      <c r="I201" s="18">
        <f>4027.08</f>
        <v>4027.08</v>
      </c>
      <c r="J201" s="18">
        <f>320.88</f>
        <v>320.88</v>
      </c>
      <c r="K201" s="18"/>
      <c r="L201" s="13">
        <f>SUM(F201:K201)</f>
        <v>55473.07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94273.5+61800+153362.84+155000.58+60253.03+98523.62</f>
        <v>623213.56999999995</v>
      </c>
      <c r="G203" s="18">
        <f>318.62+44045.98+18457.04+64540.6+77645.7+5757.51+22850.14</f>
        <v>233615.59000000003</v>
      </c>
      <c r="H203" s="18">
        <f>600+144.22+6394.2+11867.95+3290.54+184.47+2278.51</f>
        <v>24759.890000000007</v>
      </c>
      <c r="I203" s="18">
        <f>230.16+3117.34+2711.5+633.13+157.99+1334.54</f>
        <v>8184.66</v>
      </c>
      <c r="J203" s="18">
        <f>75.98+123.09</f>
        <v>199.07</v>
      </c>
      <c r="K203" s="18">
        <f>100</f>
        <v>100</v>
      </c>
      <c r="L203" s="13">
        <f t="shared" ref="L203:L209" si="0">SUM(F203:K203)</f>
        <v>890072.77999999991</v>
      </c>
      <c r="M203" s="8"/>
      <c r="N203" s="164"/>
    </row>
    <row r="204" spans="1:14" s="3" customFormat="1" ht="12.2" customHeight="1" x14ac:dyDescent="0.15">
      <c r="A204" s="1" t="s">
        <v>443</v>
      </c>
      <c r="B204" s="2" t="s">
        <v>341</v>
      </c>
      <c r="C204" s="2" t="s">
        <v>295</v>
      </c>
      <c r="D204" s="2" t="s">
        <v>431</v>
      </c>
      <c r="E204" s="6">
        <v>2200</v>
      </c>
      <c r="F204" s="18">
        <f>997+80367.5</f>
        <v>81364.5</v>
      </c>
      <c r="G204" s="18">
        <f>19750.26+29929.36</f>
        <v>49679.619999999995</v>
      </c>
      <c r="H204" s="18">
        <f>424.49+20144.91</f>
        <v>20569.400000000001</v>
      </c>
      <c r="I204" s="18">
        <f>3509.52+12315.56</f>
        <v>15825.08</v>
      </c>
      <c r="J204" s="18">
        <f>39120.83</f>
        <v>39120.83</v>
      </c>
      <c r="K204" s="18">
        <f>17637.14</f>
        <v>17637.14</v>
      </c>
      <c r="L204" s="13">
        <f t="shared" si="0"/>
        <v>224196.57</v>
      </c>
      <c r="M204" s="8"/>
      <c r="N204" s="164"/>
    </row>
    <row r="205" spans="1:14" s="3" customFormat="1" ht="12.2" customHeight="1" x14ac:dyDescent="0.15">
      <c r="A205" s="1" t="s">
        <v>444</v>
      </c>
      <c r="B205" s="2" t="s">
        <v>341</v>
      </c>
      <c r="C205" s="2" t="s">
        <v>296</v>
      </c>
      <c r="D205" s="2" t="s">
        <v>431</v>
      </c>
      <c r="E205" s="6">
        <v>2300</v>
      </c>
      <c r="F205" s="18">
        <f>9993.15+294393.18+156226.8</f>
        <v>460613.13</v>
      </c>
      <c r="G205" s="18">
        <f>764.48+96398.5+59461.8</f>
        <v>156624.78</v>
      </c>
      <c r="H205" s="18">
        <f>81326.79+32855.9+1298.78</f>
        <v>115481.47</v>
      </c>
      <c r="I205" s="18">
        <f>3458.77+189.37</f>
        <v>3648.14</v>
      </c>
      <c r="J205" s="18"/>
      <c r="K205" s="18">
        <f>7015.89+5599.58+7447.96</f>
        <v>20063.43</v>
      </c>
      <c r="L205" s="13">
        <f t="shared" si="0"/>
        <v>756430.95000000007</v>
      </c>
      <c r="M205" s="8"/>
      <c r="N205" s="164"/>
    </row>
    <row r="206" spans="1:14" s="3" customFormat="1" ht="12.2" customHeight="1" x14ac:dyDescent="0.15">
      <c r="A206" s="1" t="s">
        <v>445</v>
      </c>
      <c r="B206" s="2" t="s">
        <v>341</v>
      </c>
      <c r="C206" s="2" t="s">
        <v>297</v>
      </c>
      <c r="D206" s="2" t="s">
        <v>431</v>
      </c>
      <c r="E206" s="6">
        <v>2400</v>
      </c>
      <c r="F206" s="18">
        <f>257424.47</f>
        <v>257424.47</v>
      </c>
      <c r="G206" s="18">
        <f>159154.79</f>
        <v>159154.79</v>
      </c>
      <c r="H206" s="18">
        <f>26015.95</f>
        <v>26015.95</v>
      </c>
      <c r="I206" s="18">
        <f>8897.14</f>
        <v>8897.14</v>
      </c>
      <c r="J206" s="18">
        <f>800</f>
        <v>800</v>
      </c>
      <c r="K206" s="18">
        <f>3125.64</f>
        <v>3125.64</v>
      </c>
      <c r="L206" s="13">
        <f t="shared" si="0"/>
        <v>455417.99000000005</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188882.33</v>
      </c>
      <c r="G208" s="18">
        <f>44419.76</f>
        <v>44419.76</v>
      </c>
      <c r="H208" s="18">
        <f>98342.24</f>
        <v>98342.24</v>
      </c>
      <c r="I208" s="18">
        <f>80462.33</f>
        <v>80462.33</v>
      </c>
      <c r="J208" s="18"/>
      <c r="K208" s="18">
        <f>70089</f>
        <v>70089</v>
      </c>
      <c r="L208" s="13">
        <f t="shared" si="0"/>
        <v>482195.66000000003</v>
      </c>
      <c r="M208" s="8"/>
      <c r="N208" s="164"/>
    </row>
    <row r="209" spans="1:14" s="3" customFormat="1" ht="12.2" customHeight="1" x14ac:dyDescent="0.15">
      <c r="A209" s="1" t="s">
        <v>448</v>
      </c>
      <c r="B209" s="2" t="s">
        <v>341</v>
      </c>
      <c r="C209" s="2" t="s">
        <v>300</v>
      </c>
      <c r="D209" s="2" t="s">
        <v>431</v>
      </c>
      <c r="E209" s="6">
        <v>2700</v>
      </c>
      <c r="F209" s="18"/>
      <c r="G209" s="18"/>
      <c r="H209" s="18">
        <f>377791.05+59026.83+5279.7+7450.96+4024.79</f>
        <v>453573.33</v>
      </c>
      <c r="I209" s="18"/>
      <c r="J209" s="18"/>
      <c r="K209" s="18"/>
      <c r="L209" s="13">
        <f t="shared" si="0"/>
        <v>453573.33</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4201110.8</v>
      </c>
      <c r="G212" s="38">
        <f t="shared" si="1"/>
        <v>1953147.52</v>
      </c>
      <c r="H212" s="38">
        <f t="shared" si="1"/>
        <v>1045941.1200000001</v>
      </c>
      <c r="I212" s="38">
        <f t="shared" si="1"/>
        <v>197552.33000000002</v>
      </c>
      <c r="J212" s="38">
        <f t="shared" si="1"/>
        <v>44272.97</v>
      </c>
      <c r="K212" s="38">
        <f t="shared" si="1"/>
        <v>111522.67</v>
      </c>
      <c r="L212" s="38">
        <f t="shared" si="1"/>
        <v>7553547.410000002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4"/>
      <c r="H234" s="18">
        <f>3503871</f>
        <v>3503871</v>
      </c>
      <c r="I234" s="18"/>
      <c r="J234" s="18"/>
      <c r="K234" s="18"/>
      <c r="L234" s="13">
        <f>SUM(F234:K234)</f>
        <v>3503871</v>
      </c>
      <c r="M234" s="8"/>
      <c r="N234" s="164"/>
    </row>
    <row r="235" spans="1:14" s="3" customFormat="1" ht="12.2" customHeight="1" x14ac:dyDescent="0.15">
      <c r="A235" s="1" t="s">
        <v>439</v>
      </c>
      <c r="B235" s="2" t="s">
        <v>350</v>
      </c>
      <c r="C235" s="2" t="s">
        <v>291</v>
      </c>
      <c r="D235" s="2" t="s">
        <v>431</v>
      </c>
      <c r="E235" s="6">
        <v>1200</v>
      </c>
      <c r="F235" s="18"/>
      <c r="G235" s="18"/>
      <c r="H235" s="18">
        <f>728699.91</f>
        <v>728699.91</v>
      </c>
      <c r="I235" s="18"/>
      <c r="J235" s="18"/>
      <c r="K235" s="18"/>
      <c r="L235" s="13">
        <f>SUM(F235:K235)</f>
        <v>728699.91</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f>5687.83</f>
        <v>5687.83</v>
      </c>
      <c r="I239" s="18"/>
      <c r="J239" s="18"/>
      <c r="K239" s="18"/>
      <c r="L239" s="13">
        <f t="shared" ref="L239:L245" si="4">SUM(F239:K239)</f>
        <v>5687.83</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f>123234.3+158438.16</f>
        <v>281672.46000000002</v>
      </c>
      <c r="I245" s="18"/>
      <c r="J245" s="18"/>
      <c r="K245" s="18"/>
      <c r="L245" s="13">
        <f t="shared" si="4"/>
        <v>281672.46000000002</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SUM(G235:G247)</f>
        <v>0</v>
      </c>
      <c r="H248" s="38">
        <f t="shared" si="5"/>
        <v>4519931.2</v>
      </c>
      <c r="I248" s="38">
        <f t="shared" si="5"/>
        <v>0</v>
      </c>
      <c r="J248" s="38">
        <f t="shared" si="5"/>
        <v>0</v>
      </c>
      <c r="K248" s="38">
        <f t="shared" si="5"/>
        <v>0</v>
      </c>
      <c r="L248" s="38">
        <f t="shared" si="5"/>
        <v>4519931.2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4201110.8</v>
      </c>
      <c r="G258" s="38">
        <f t="shared" si="8"/>
        <v>1953147.52</v>
      </c>
      <c r="H258" s="38">
        <f t="shared" si="8"/>
        <v>5565872.3200000003</v>
      </c>
      <c r="I258" s="38">
        <f t="shared" si="8"/>
        <v>197552.33000000002</v>
      </c>
      <c r="J258" s="38">
        <f t="shared" si="8"/>
        <v>44272.97</v>
      </c>
      <c r="K258" s="38">
        <f t="shared" si="8"/>
        <v>111522.67</v>
      </c>
      <c r="L258" s="38">
        <f t="shared" si="8"/>
        <v>12073478.610000003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50000</v>
      </c>
      <c r="L271" s="38">
        <f t="shared" si="9"/>
        <v>50000</v>
      </c>
      <c r="M271" s="8"/>
      <c r="N271" s="164"/>
    </row>
    <row r="272" spans="1:14" s="33" customFormat="1" ht="12.2" customHeight="1" thickTop="1" x14ac:dyDescent="0.2">
      <c r="A272" s="40" t="s">
        <v>464</v>
      </c>
      <c r="B272" s="37">
        <v>10</v>
      </c>
      <c r="C272" s="37">
        <v>18</v>
      </c>
      <c r="D272" s="36" t="s">
        <v>431</v>
      </c>
      <c r="E272" s="37"/>
      <c r="F272" s="39">
        <f t="shared" ref="F272:L272" si="11">F258+F271</f>
        <v>4201110.8</v>
      </c>
      <c r="G272" s="39">
        <f t="shared" si="11"/>
        <v>1953147.52</v>
      </c>
      <c r="H272" s="39">
        <f t="shared" si="11"/>
        <v>5565872.3200000003</v>
      </c>
      <c r="I272" s="39">
        <f t="shared" si="11"/>
        <v>197552.33000000002</v>
      </c>
      <c r="J272" s="39">
        <f t="shared" si="11"/>
        <v>44272.97</v>
      </c>
      <c r="K272" s="39">
        <f t="shared" si="11"/>
        <v>161522.66999999998</v>
      </c>
      <c r="L272" s="39">
        <f t="shared" si="11"/>
        <v>12123478.610000003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50110.5</f>
        <v>50110.5</v>
      </c>
      <c r="G277" s="18">
        <f>10996.62</f>
        <v>10996.62</v>
      </c>
      <c r="H277" s="18">
        <f>1686.22</f>
        <v>1686.22</v>
      </c>
      <c r="I277" s="18">
        <f>10203.99</f>
        <v>10203.99</v>
      </c>
      <c r="J277" s="18">
        <f>5060</f>
        <v>5060</v>
      </c>
      <c r="K277" s="18"/>
      <c r="L277" s="13">
        <f>SUM(F277:K277)</f>
        <v>78057.33</v>
      </c>
      <c r="M277" s="8"/>
      <c r="N277" s="164"/>
    </row>
    <row r="278" spans="1:14" s="3" customFormat="1" ht="12.2" customHeight="1" x14ac:dyDescent="0.15">
      <c r="A278" s="1" t="s">
        <v>439</v>
      </c>
      <c r="B278" s="2" t="s">
        <v>357</v>
      </c>
      <c r="C278" s="2" t="s">
        <v>291</v>
      </c>
      <c r="D278" s="2" t="s">
        <v>431</v>
      </c>
      <c r="E278" s="6">
        <v>1200</v>
      </c>
      <c r="F278" s="18"/>
      <c r="G278" s="18"/>
      <c r="H278" s="18">
        <f>159678.93-53711.6</f>
        <v>105967.32999999999</v>
      </c>
      <c r="I278" s="18">
        <f>11201.68</f>
        <v>11201.68</v>
      </c>
      <c r="J278" s="18">
        <f>489.99</f>
        <v>489.99</v>
      </c>
      <c r="K278" s="18"/>
      <c r="L278" s="13">
        <f>SUM(F278:K278)</f>
        <v>117658.99999999999</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24524.8</f>
        <v>24524.799999999999</v>
      </c>
      <c r="G280" s="18">
        <f>6161.13</f>
        <v>6161.13</v>
      </c>
      <c r="H280" s="18"/>
      <c r="I280" s="18">
        <f>14563.8+732.93</f>
        <v>15296.73</v>
      </c>
      <c r="J280" s="18"/>
      <c r="K280" s="18"/>
      <c r="L280" s="13">
        <f>SUM(F280:K280)</f>
        <v>45982.66</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1500</f>
        <v>1500</v>
      </c>
      <c r="G282" s="18">
        <f>407.2</f>
        <v>407.2</v>
      </c>
      <c r="H282" s="18">
        <f>2492.85</f>
        <v>2492.85</v>
      </c>
      <c r="I282" s="18">
        <f>367.3</f>
        <v>367.3</v>
      </c>
      <c r="J282" s="18"/>
      <c r="K282" s="18"/>
      <c r="L282" s="13">
        <f t="shared" ref="L282:L288" si="12">SUM(F282:K282)</f>
        <v>4767.3500000000004</v>
      </c>
      <c r="M282" s="8"/>
      <c r="N282" s="164"/>
    </row>
    <row r="283" spans="1:14" s="3" customFormat="1" ht="12.2" customHeight="1" x14ac:dyDescent="0.15">
      <c r="A283" s="1" t="s">
        <v>443</v>
      </c>
      <c r="B283" s="2" t="s">
        <v>357</v>
      </c>
      <c r="C283" s="2" t="s">
        <v>295</v>
      </c>
      <c r="D283" s="2" t="s">
        <v>431</v>
      </c>
      <c r="E283" s="6">
        <v>2200</v>
      </c>
      <c r="F283" s="18">
        <f>5300</f>
        <v>5300</v>
      </c>
      <c r="G283" s="18">
        <f>1175.66</f>
        <v>1175.6600000000001</v>
      </c>
      <c r="H283" s="18">
        <f>30285.03</f>
        <v>30285.03</v>
      </c>
      <c r="I283" s="18">
        <f>78.39</f>
        <v>78.39</v>
      </c>
      <c r="J283" s="18"/>
      <c r="K283" s="18"/>
      <c r="L283" s="13">
        <f t="shared" si="12"/>
        <v>36839.08</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f>4831.35</f>
        <v>4831.3500000000004</v>
      </c>
      <c r="J287" s="18">
        <f>1278.9</f>
        <v>1278.9000000000001</v>
      </c>
      <c r="K287" s="18"/>
      <c r="L287" s="13">
        <f t="shared" si="12"/>
        <v>6110.25</v>
      </c>
      <c r="M287" s="8"/>
      <c r="N287" s="164"/>
    </row>
    <row r="288" spans="1:14" s="3" customFormat="1" ht="12.2" customHeight="1" x14ac:dyDescent="0.15">
      <c r="A288" s="1" t="s">
        <v>448</v>
      </c>
      <c r="B288" s="2" t="s">
        <v>357</v>
      </c>
      <c r="C288" s="2" t="s">
        <v>300</v>
      </c>
      <c r="D288" s="2" t="s">
        <v>431</v>
      </c>
      <c r="E288" s="6">
        <v>2700</v>
      </c>
      <c r="F288" s="18"/>
      <c r="G288" s="18"/>
      <c r="H288" s="18">
        <f>3306.81+53711.6</f>
        <v>57018.409999999996</v>
      </c>
      <c r="I288" s="18"/>
      <c r="J288" s="18"/>
      <c r="K288" s="18"/>
      <c r="L288" s="13">
        <f t="shared" si="12"/>
        <v>57018.409999999996</v>
      </c>
      <c r="M288" s="8"/>
      <c r="N288" s="164"/>
    </row>
    <row r="289" spans="1:14" s="3" customFormat="1" ht="12.2" customHeight="1" x14ac:dyDescent="0.15">
      <c r="A289" s="1" t="s">
        <v>449</v>
      </c>
      <c r="B289" s="2" t="s">
        <v>357</v>
      </c>
      <c r="C289" s="2" t="s">
        <v>343</v>
      </c>
      <c r="D289" s="2" t="s">
        <v>431</v>
      </c>
      <c r="E289" s="6">
        <v>2800</v>
      </c>
      <c r="F289" s="18"/>
      <c r="G289" s="18"/>
      <c r="H289" s="18"/>
      <c r="I289" s="18">
        <f>2776</f>
        <v>2776</v>
      </c>
      <c r="J289" s="18"/>
      <c r="K289" s="18"/>
      <c r="L289" s="13">
        <f>SUM(F289:K289)</f>
        <v>2776</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81435.3</v>
      </c>
      <c r="G291" s="39">
        <f t="shared" si="13"/>
        <v>18740.61</v>
      </c>
      <c r="H291" s="39">
        <f t="shared" si="13"/>
        <v>197449.84</v>
      </c>
      <c r="I291" s="39">
        <f t="shared" si="13"/>
        <v>44755.439999999995</v>
      </c>
      <c r="J291" s="39">
        <f t="shared" si="13"/>
        <v>6828.8899999999994</v>
      </c>
      <c r="K291" s="39">
        <f t="shared" si="13"/>
        <v>0</v>
      </c>
      <c r="L291" s="38">
        <f t="shared" si="13"/>
        <v>349210.07999999996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81435.3</v>
      </c>
      <c r="G339" s="38">
        <f t="shared" si="20"/>
        <v>18740.61</v>
      </c>
      <c r="H339" s="38">
        <f t="shared" si="20"/>
        <v>197449.84</v>
      </c>
      <c r="I339" s="38">
        <f t="shared" si="20"/>
        <v>44755.439999999995</v>
      </c>
      <c r="J339" s="38">
        <f t="shared" si="20"/>
        <v>6828.8899999999994</v>
      </c>
      <c r="K339" s="38">
        <f t="shared" si="20"/>
        <v>0</v>
      </c>
      <c r="L339" s="38">
        <f t="shared" si="20"/>
        <v>349210.07999999996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81435.3</v>
      </c>
      <c r="G353" s="38">
        <f>G339</f>
        <v>18740.61</v>
      </c>
      <c r="H353" s="38">
        <f>H339</f>
        <v>197449.84</v>
      </c>
      <c r="I353" s="38">
        <f>I339</f>
        <v>44755.439999999995</v>
      </c>
      <c r="J353" s="38">
        <f>J339</f>
        <v>6828.8899999999994</v>
      </c>
      <c r="K353" s="38">
        <f>K339+K352</f>
        <v>0</v>
      </c>
      <c r="L353" s="38">
        <f>L339+L352</f>
        <v>349210.07999999996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185374.05</v>
      </c>
      <c r="I359" s="18">
        <f>3376+1141.21</f>
        <v>4517.21</v>
      </c>
      <c r="J359" s="18">
        <f>4151.64+340</f>
        <v>4491.6400000000003</v>
      </c>
      <c r="K359" s="18"/>
      <c r="L359" s="13">
        <f>SUM(F359:K359)</f>
        <v>194382.9</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185374.05</v>
      </c>
      <c r="I363" s="38">
        <f t="shared" si="22"/>
        <v>4517.21</v>
      </c>
      <c r="J363" s="38">
        <f t="shared" si="22"/>
        <v>4491.6400000000003</v>
      </c>
      <c r="K363" s="38">
        <f t="shared" si="22"/>
        <v>0</v>
      </c>
      <c r="L363" s="38">
        <f t="shared" si="22"/>
        <v>194382.9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1141.21</v>
      </c>
      <c r="G368" s="18"/>
      <c r="H368" s="18"/>
      <c r="I368" s="13">
        <f>SUM(F368:H368)</f>
        <v>1141.21</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3376</v>
      </c>
      <c r="G369" s="53"/>
      <c r="H369" s="53"/>
      <c r="I369" s="13">
        <f>SUM(F369:H369)</f>
        <v>3376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4517.21</v>
      </c>
      <c r="G370" s="38">
        <f>SUM(G368:G369)</f>
        <v>0</v>
      </c>
      <c r="H370" s="38">
        <f>SUM(H368:H369)</f>
        <v>0</v>
      </c>
      <c r="I370" s="38">
        <f>SUM(I368:I369)</f>
        <v>4517.21</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50000</v>
      </c>
      <c r="H397" s="18">
        <v>7959.02</v>
      </c>
      <c r="I397" s="18"/>
      <c r="J397" s="23" t="s">
        <v>288</v>
      </c>
      <c r="K397" s="23" t="s">
        <v>288</v>
      </c>
      <c r="L397" s="13">
        <f t="shared" si="26"/>
        <v>57959.020000000004</v>
      </c>
      <c r="M397" s="8"/>
      <c r="N397" s="164"/>
    </row>
    <row r="398" spans="1:14" s="3" customFormat="1" ht="12.2" customHeight="1" x14ac:dyDescent="0.15">
      <c r="A398" s="62" t="s">
        <v>515</v>
      </c>
      <c r="B398" s="2" t="s">
        <v>381</v>
      </c>
      <c r="C398" s="6">
        <v>10</v>
      </c>
      <c r="D398" s="2" t="s">
        <v>432</v>
      </c>
      <c r="E398" s="6"/>
      <c r="F398" s="18"/>
      <c r="G398" s="18"/>
      <c r="H398" s="18">
        <v>10007.959999999999</v>
      </c>
      <c r="I398" s="18"/>
      <c r="J398" s="23" t="s">
        <v>288</v>
      </c>
      <c r="K398" s="23" t="s">
        <v>288</v>
      </c>
      <c r="L398" s="13">
        <f t="shared" si="26"/>
        <v>10007.959999999999</v>
      </c>
      <c r="M398" s="8"/>
      <c r="N398" s="164"/>
    </row>
    <row r="399" spans="1:14" s="3" customFormat="1" ht="12.2" customHeight="1" x14ac:dyDescent="0.15">
      <c r="A399" s="62" t="s">
        <v>558</v>
      </c>
      <c r="B399" s="2" t="s">
        <v>381</v>
      </c>
      <c r="C399" s="6">
        <v>11</v>
      </c>
      <c r="D399" s="2" t="s">
        <v>432</v>
      </c>
      <c r="E399" s="6"/>
      <c r="F399" s="18"/>
      <c r="G399" s="18"/>
      <c r="H399" s="18">
        <v>10285.450000000001</v>
      </c>
      <c r="I399" s="18"/>
      <c r="J399" s="23" t="s">
        <v>288</v>
      </c>
      <c r="K399" s="23" t="s">
        <v>288</v>
      </c>
      <c r="L399" s="13">
        <f t="shared" si="26"/>
        <v>10285.450000000001</v>
      </c>
      <c r="M399" s="8"/>
      <c r="N399" s="164"/>
    </row>
    <row r="400" spans="1:14" s="3" customFormat="1" ht="12.2" customHeight="1" x14ac:dyDescent="0.15">
      <c r="A400" s="62" t="s">
        <v>559</v>
      </c>
      <c r="B400" s="2" t="s">
        <v>381</v>
      </c>
      <c r="C400" s="6">
        <v>12</v>
      </c>
      <c r="D400" s="2" t="s">
        <v>432</v>
      </c>
      <c r="E400" s="6"/>
      <c r="F400" s="18"/>
      <c r="G400" s="18"/>
      <c r="H400" s="18">
        <v>2498.59</v>
      </c>
      <c r="I400" s="18"/>
      <c r="J400" s="23" t="s">
        <v>288</v>
      </c>
      <c r="K400" s="23" t="s">
        <v>288</v>
      </c>
      <c r="L400" s="13">
        <f t="shared" si="26"/>
        <v>2498.59</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50000</v>
      </c>
      <c r="H402" s="38">
        <f>SUM(H396:H401)</f>
        <v>30751.02</v>
      </c>
      <c r="I402" s="38">
        <f>SUM(I396:I401)</f>
        <v>0</v>
      </c>
      <c r="J402" s="42" t="s">
        <v>288</v>
      </c>
      <c r="K402" s="42" t="s">
        <v>288</v>
      </c>
      <c r="L402" s="38">
        <f>SUM(L396:L401)</f>
        <v>80751.02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t="s">
        <v>1840</v>
      </c>
      <c r="B405" s="2" t="s">
        <v>381</v>
      </c>
      <c r="C405" s="6">
        <v>16</v>
      </c>
      <c r="D405" s="2" t="s">
        <v>432</v>
      </c>
      <c r="E405" s="6"/>
      <c r="F405" s="18"/>
      <c r="G405" s="18"/>
      <c r="H405" s="18">
        <v>358.36</v>
      </c>
      <c r="I405" s="18"/>
      <c r="J405" s="23" t="s">
        <v>288</v>
      </c>
      <c r="K405" s="23" t="s">
        <v>288</v>
      </c>
      <c r="L405" s="13">
        <f>SUM(F405:K405)</f>
        <v>358.36</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358.36</v>
      </c>
      <c r="I408" s="38">
        <f>SUM(I404:I407)</f>
        <v>0</v>
      </c>
      <c r="J408" s="45" t="s">
        <v>288</v>
      </c>
      <c r="K408" s="45" t="s">
        <v>288</v>
      </c>
      <c r="L408" s="38">
        <f>SUM(L404:L407)</f>
        <v>358.36</v>
      </c>
      <c r="M408" s="8"/>
      <c r="N408" s="164"/>
    </row>
    <row r="409" spans="1:21" s="3" customFormat="1" ht="12.2" customHeight="1" thickTop="1" x14ac:dyDescent="0.15">
      <c r="A409" s="61" t="s">
        <v>421</v>
      </c>
      <c r="B409" s="2" t="s">
        <v>381</v>
      </c>
      <c r="C409" s="6">
        <v>20</v>
      </c>
      <c r="D409" s="6"/>
      <c r="E409" s="37"/>
      <c r="F409" s="38">
        <f>F394+F402+F408</f>
        <v>0</v>
      </c>
      <c r="G409" s="38">
        <f>G394+G402+G408</f>
        <v>50000</v>
      </c>
      <c r="H409" s="38">
        <f>H394+H402+H408</f>
        <v>31109.38</v>
      </c>
      <c r="I409" s="38">
        <f>I394+I402+I408</f>
        <v>0</v>
      </c>
      <c r="J409" s="23" t="s">
        <v>288</v>
      </c>
      <c r="K409" s="23" t="s">
        <v>288</v>
      </c>
      <c r="L409" s="38">
        <f>L394+L402+L408</f>
        <v>81109.38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993494.07</v>
      </c>
      <c r="H440" s="18">
        <v>11426.99</v>
      </c>
      <c r="I440" s="13">
        <f t="shared" ref="I440:I446" si="33">SUM(F440:H440)</f>
        <v>1004921.0599999999</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993494.07</v>
      </c>
      <c r="H447" s="13">
        <f>SUM(H440:H446)</f>
        <v>11426.99</v>
      </c>
      <c r="I447" s="13">
        <f>SUM(I440:I446)</f>
        <v>1004921.0599999999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993494.07</v>
      </c>
      <c r="H460" s="18">
        <v>11426.99</v>
      </c>
      <c r="I460" s="13">
        <f t="shared" si="34"/>
        <v>1004921.0599999999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993494.07</v>
      </c>
      <c r="H461" s="65">
        <f>SUM(H455:H460)</f>
        <v>11426.99</v>
      </c>
      <c r="I461" s="65">
        <f>SUM(I455:I460)</f>
        <v>1004921.0599999999</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993494.07</v>
      </c>
      <c r="H462" s="39">
        <f>H453+H461</f>
        <v>11426.99</v>
      </c>
      <c r="I462" s="39">
        <f>I453+I461</f>
        <v>1004921.0599999999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476658.29</v>
      </c>
      <c r="G466" s="18">
        <v>57454.28</v>
      </c>
      <c r="H466" s="18">
        <v>0</v>
      </c>
      <c r="I466" s="18"/>
      <c r="J466" s="18">
        <v>923811.68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11949152.68</v>
      </c>
      <c r="G469" s="18">
        <v>199039.93</v>
      </c>
      <c r="H469" s="18">
        <v>349210.08</v>
      </c>
      <c r="I469" s="18"/>
      <c r="J469" s="18">
        <f>50000+31109.38</f>
        <v>81109.38</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11949152.68</v>
      </c>
      <c r="G471" s="19">
        <f>SUM(G469:G470)</f>
        <v>199039.93</v>
      </c>
      <c r="H471" s="19">
        <f>SUM(H469:H470)</f>
        <v>349210.08</v>
      </c>
      <c r="I471" s="19">
        <f>SUM(I469:I470)</f>
        <v>0</v>
      </c>
      <c r="J471" s="19">
        <f>SUM(J469:J470)</f>
        <v>81109.38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12123478.609999999</v>
      </c>
      <c r="G473" s="18">
        <v>194382.9</v>
      </c>
      <c r="H473" s="18">
        <v>349210.08</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12123478.609999999</v>
      </c>
      <c r="G475" s="19">
        <f>SUM(G473:G474)</f>
        <v>194382.9</v>
      </c>
      <c r="H475" s="19">
        <f>SUM(H473:H474)</f>
        <v>349210.08</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302332.3599999994</v>
      </c>
      <c r="G477" s="19">
        <f>(G466+G471)- G475</f>
        <v>62111.31</v>
      </c>
      <c r="H477" s="19">
        <f>(H466+H471)- H475</f>
        <v>0</v>
      </c>
      <c r="I477" s="19">
        <f>(I466+I471)- I475</f>
        <v>0</v>
      </c>
      <c r="J477" s="19">
        <f>(J466+J471)- J475</f>
        <v>1004921.06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641584.76</f>
        <v>641584.76</v>
      </c>
      <c r="G522" s="18">
        <f>247654.52</f>
        <v>247654.52</v>
      </c>
      <c r="H522" s="18">
        <f>159678.93+293033.57</f>
        <v>452712.5</v>
      </c>
      <c r="I522" s="18">
        <f>11201.68+8942.51</f>
        <v>20144.190000000002</v>
      </c>
      <c r="J522" s="18">
        <f>489.99+1960.15</f>
        <v>2450.1400000000003</v>
      </c>
      <c r="K522" s="18"/>
      <c r="L522" s="69">
        <f>SUM(F522:K522)</f>
        <v>1364546.1099999999</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f>728699.91</f>
        <v>728699.91</v>
      </c>
      <c r="I524" s="18"/>
      <c r="J524" s="18"/>
      <c r="K524" s="18"/>
      <c r="L524" s="69">
        <f>SUM(F524:K524)</f>
        <v>728699.91</v>
      </c>
      <c r="N524" s="130"/>
    </row>
    <row r="525" spans="1:14" ht="12.2" customHeight="1" thickTop="1" x14ac:dyDescent="0.2">
      <c r="A525" s="97" t="s">
        <v>63</v>
      </c>
      <c r="B525" s="41">
        <v>21</v>
      </c>
      <c r="C525" s="41">
        <v>4</v>
      </c>
      <c r="D525" s="115" t="s">
        <v>432</v>
      </c>
      <c r="E525" s="41"/>
      <c r="F525" s="81">
        <f>SUM(F522:F524)</f>
        <v>641584.76</v>
      </c>
      <c r="G525" s="81">
        <f t="shared" ref="G525:L525" si="36">SUM(G522:G524)</f>
        <v>247654.52</v>
      </c>
      <c r="H525" s="81">
        <f t="shared" si="36"/>
        <v>1181412.4100000001</v>
      </c>
      <c r="I525" s="81">
        <f t="shared" si="36"/>
        <v>20144.190000000002</v>
      </c>
      <c r="J525" s="81">
        <f t="shared" si="36"/>
        <v>2450.1400000000003</v>
      </c>
      <c r="K525" s="81">
        <f t="shared" si="36"/>
        <v>0</v>
      </c>
      <c r="L525" s="70">
        <f t="shared" si="36"/>
        <v>2093246.02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153362.84+155000.58+60253.03+98523.62</f>
        <v>467140.06999999995</v>
      </c>
      <c r="G527" s="18">
        <f>64540.6+77645.7+5757.51+22850.14</f>
        <v>170793.95</v>
      </c>
      <c r="H527" s="18">
        <f>6394.2+11867.95+3290.54+184.47+2278.51</f>
        <v>24015.670000000006</v>
      </c>
      <c r="I527" s="18">
        <f>2711.5+633.13+157.99+1334.54</f>
        <v>4837.16</v>
      </c>
      <c r="J527" s="18">
        <f>75.98+123.09</f>
        <v>199.07</v>
      </c>
      <c r="K527" s="18"/>
      <c r="L527" s="69">
        <f>SUM(F527:K527)</f>
        <v>666985.92000000004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f>5687.83</f>
        <v>5687.83</v>
      </c>
      <c r="I529" s="18"/>
      <c r="J529" s="18"/>
      <c r="K529" s="18"/>
      <c r="L529" s="69">
        <f>SUM(F529:K529)</f>
        <v>5687.83</v>
      </c>
      <c r="M529" s="8"/>
      <c r="N529" s="164"/>
    </row>
    <row r="530" spans="1:14" s="3" customFormat="1" ht="12.2" customHeight="1" thickTop="1" x14ac:dyDescent="0.15">
      <c r="A530" s="97" t="s">
        <v>65</v>
      </c>
      <c r="B530" s="41">
        <v>21</v>
      </c>
      <c r="C530" s="41">
        <v>8</v>
      </c>
      <c r="D530" s="115" t="s">
        <v>432</v>
      </c>
      <c r="E530" s="41"/>
      <c r="F530" s="70">
        <f>SUM(F527:F529)</f>
        <v>467140.06999999995</v>
      </c>
      <c r="G530" s="70">
        <f t="shared" ref="G530:L530" si="37">SUM(G527:G529)</f>
        <v>170793.95</v>
      </c>
      <c r="H530" s="70">
        <f t="shared" si="37"/>
        <v>29703.500000000007</v>
      </c>
      <c r="I530" s="70">
        <f t="shared" si="37"/>
        <v>4837.16</v>
      </c>
      <c r="J530" s="70">
        <f t="shared" si="37"/>
        <v>199.07</v>
      </c>
      <c r="K530" s="70">
        <f t="shared" si="37"/>
        <v>0</v>
      </c>
      <c r="L530" s="70">
        <f t="shared" si="37"/>
        <v>672673.75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156226.8</f>
        <v>156226.79999999999</v>
      </c>
      <c r="G532" s="18">
        <f>59461.8</f>
        <v>59461.8</v>
      </c>
      <c r="H532" s="18">
        <f>1298.78</f>
        <v>1298.78</v>
      </c>
      <c r="I532" s="18">
        <f>189.37</f>
        <v>189.37</v>
      </c>
      <c r="J532" s="18"/>
      <c r="K532" s="18">
        <f>7447.96</f>
        <v>7447.96</v>
      </c>
      <c r="L532" s="69">
        <f>SUM(F532:K532)</f>
        <v>224624.70999999996</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156226.79999999999</v>
      </c>
      <c r="G535" s="70">
        <f t="shared" ref="G535:L535" si="38">SUM(G532:G534)</f>
        <v>59461.8</v>
      </c>
      <c r="H535" s="70">
        <f t="shared" si="38"/>
        <v>1298.78</v>
      </c>
      <c r="I535" s="70">
        <f t="shared" si="38"/>
        <v>189.37</v>
      </c>
      <c r="J535" s="70">
        <f t="shared" si="38"/>
        <v>0</v>
      </c>
      <c r="K535" s="70">
        <f t="shared" si="38"/>
        <v>7447.96</v>
      </c>
      <c r="L535" s="70">
        <f t="shared" si="38"/>
        <v>224624.70999999996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f>2546.96</f>
        <v>2546.96</v>
      </c>
      <c r="I537" s="18"/>
      <c r="J537" s="18"/>
      <c r="K537" s="18"/>
      <c r="L537" s="69">
        <f>SUM(F537:K537)</f>
        <v>2546.96</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2546.96</v>
      </c>
      <c r="I540" s="70">
        <f t="shared" si="39"/>
        <v>0</v>
      </c>
      <c r="J540" s="70">
        <f t="shared" si="39"/>
        <v>0</v>
      </c>
      <c r="K540" s="70">
        <f t="shared" si="39"/>
        <v>0</v>
      </c>
      <c r="L540" s="70">
        <f t="shared" si="39"/>
        <v>2546.96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59026.83</f>
        <v>59026.83</v>
      </c>
      <c r="I542" s="18"/>
      <c r="J542" s="18"/>
      <c r="K542" s="18"/>
      <c r="L542" s="69">
        <f>SUM(F542:K542)</f>
        <v>59026.83</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f>158438.16</f>
        <v>158438.16</v>
      </c>
      <c r="I544" s="18"/>
      <c r="J544" s="18"/>
      <c r="K544" s="18"/>
      <c r="L544" s="69">
        <f>SUM(F544:K544)</f>
        <v>158438.16</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217464.99</v>
      </c>
      <c r="I545" s="140">
        <f t="shared" si="40"/>
        <v>0</v>
      </c>
      <c r="J545" s="140">
        <f t="shared" si="40"/>
        <v>0</v>
      </c>
      <c r="K545" s="140">
        <f t="shared" si="40"/>
        <v>0</v>
      </c>
      <c r="L545" s="140">
        <f t="shared" si="40"/>
        <v>217464.99</v>
      </c>
      <c r="M545" s="8"/>
      <c r="N545" s="164"/>
    </row>
    <row r="546" spans="1:14" s="3" customFormat="1" ht="12.2" customHeight="1" thickTop="1" x14ac:dyDescent="0.15">
      <c r="A546" s="75" t="s">
        <v>72</v>
      </c>
      <c r="B546" s="41">
        <v>21</v>
      </c>
      <c r="C546" s="41">
        <v>21</v>
      </c>
      <c r="D546" s="115" t="s">
        <v>432</v>
      </c>
      <c r="E546" s="41"/>
      <c r="F546" s="70">
        <f>F525+F530+F535+F540+F545</f>
        <v>1264951.6300000001</v>
      </c>
      <c r="G546" s="70">
        <f t="shared" ref="G546:L546" si="41">G525+G530+G535+G540+G545</f>
        <v>477910.26999999996</v>
      </c>
      <c r="H546" s="70">
        <f t="shared" si="41"/>
        <v>1432426.6400000001</v>
      </c>
      <c r="I546" s="70">
        <f t="shared" si="41"/>
        <v>25170.720000000001</v>
      </c>
      <c r="J546" s="70">
        <f t="shared" si="41"/>
        <v>2649.2100000000005</v>
      </c>
      <c r="K546" s="70">
        <f t="shared" si="41"/>
        <v>7447.96</v>
      </c>
      <c r="L546" s="70">
        <f t="shared" si="41"/>
        <v>3210556.4299999997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1364546.1099999999</v>
      </c>
      <c r="G550" s="69">
        <f>L527</f>
        <v>666985.92000000004</v>
      </c>
      <c r="H550" s="69">
        <f>L532</f>
        <v>224624.70999999996</v>
      </c>
      <c r="I550" s="69">
        <f>L537</f>
        <v>2546.96</v>
      </c>
      <c r="J550" s="69">
        <f>L542</f>
        <v>59026.83</v>
      </c>
      <c r="K550" s="69">
        <f>SUM(F550:J550)</f>
        <v>2317730.5299999998</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728699.91</v>
      </c>
      <c r="G552" s="69">
        <f>L529</f>
        <v>5687.83</v>
      </c>
      <c r="H552" s="69">
        <f>L534</f>
        <v>0</v>
      </c>
      <c r="I552" s="69">
        <f>L539</f>
        <v>0</v>
      </c>
      <c r="J552" s="69">
        <f>L544</f>
        <v>158438.16</v>
      </c>
      <c r="K552" s="69">
        <f>SUM(F552:J552)</f>
        <v>892825.9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2093246.02</v>
      </c>
      <c r="G553" s="70">
        <f t="shared" si="42"/>
        <v>672673.75</v>
      </c>
      <c r="H553" s="70">
        <f t="shared" si="42"/>
        <v>224624.70999999996</v>
      </c>
      <c r="I553" s="70">
        <f t="shared" si="42"/>
        <v>2546.96</v>
      </c>
      <c r="J553" s="70">
        <f t="shared" si="42"/>
        <v>217464.99</v>
      </c>
      <c r="K553" s="70">
        <f t="shared" si="42"/>
        <v>3210556.4299999997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f>7463.21</f>
        <v>7463.21</v>
      </c>
      <c r="I563" s="18"/>
      <c r="J563" s="18"/>
      <c r="K563" s="18"/>
      <c r="L563" s="69">
        <f>SUM(F563:K563)</f>
        <v>7463.21</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7463.21</v>
      </c>
      <c r="I566" s="70">
        <f t="shared" si="44"/>
        <v>0</v>
      </c>
      <c r="J566" s="70">
        <f t="shared" si="44"/>
        <v>0</v>
      </c>
      <c r="K566" s="70">
        <f t="shared" si="44"/>
        <v>0</v>
      </c>
      <c r="L566" s="70">
        <f t="shared" si="44"/>
        <v>7463.21</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7463.21</v>
      </c>
      <c r="I572" s="70">
        <f t="shared" si="46"/>
        <v>0</v>
      </c>
      <c r="J572" s="70">
        <f t="shared" si="46"/>
        <v>0</v>
      </c>
      <c r="K572" s="70">
        <f t="shared" si="46"/>
        <v>0</v>
      </c>
      <c r="L572" s="70">
        <f t="shared" si="46"/>
        <v>7463.21</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3360405.4</v>
      </c>
      <c r="I576" s="69">
        <f>SUM(F576:H576)</f>
        <v>3360405.4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143465.60000000001</v>
      </c>
      <c r="I578" s="69">
        <f t="shared" si="47"/>
        <v>143465.60000000001</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f>309333.63</f>
        <v>309333.63</v>
      </c>
      <c r="I580" s="69">
        <f t="shared" si="47"/>
        <v>309333.63</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f>19246.16</f>
        <v>19246.16</v>
      </c>
      <c r="I582" s="69">
        <f t="shared" si="47"/>
        <v>19246.16</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57462.07+158304.09</f>
        <v>215766.16</v>
      </c>
      <c r="G583" s="18"/>
      <c r="H583" s="18">
        <f>399645.12</f>
        <v>399645.12</v>
      </c>
      <c r="I583" s="69">
        <f t="shared" si="47"/>
        <v>615411.28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215766.16</v>
      </c>
      <c r="G589" s="79">
        <f t="shared" ref="G589:I589" si="48">SUM(G576:G588)</f>
        <v>0</v>
      </c>
      <c r="H589" s="79">
        <f t="shared" si="48"/>
        <v>4232095.91</v>
      </c>
      <c r="I589" s="79">
        <f t="shared" si="48"/>
        <v>4447862.07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377791.05</f>
        <v>377791.05</v>
      </c>
      <c r="I592" s="18"/>
      <c r="J592" s="18">
        <f>123234.3</f>
        <v>123234.3</v>
      </c>
      <c r="K592" s="80">
        <f t="shared" ref="K592:K598" si="49">SUM(H592:J592)</f>
        <v>501025.35</v>
      </c>
      <c r="L592" s="23" t="s">
        <v>288</v>
      </c>
      <c r="M592" s="8"/>
      <c r="N592" s="164"/>
    </row>
    <row r="593" spans="1:14" s="3" customFormat="1" ht="12.2" customHeight="1" x14ac:dyDescent="0.15">
      <c r="A593" s="3" t="s">
        <v>638</v>
      </c>
      <c r="B593" s="22">
        <v>23</v>
      </c>
      <c r="C593" s="22">
        <v>2</v>
      </c>
      <c r="D593" s="2" t="s">
        <v>432</v>
      </c>
      <c r="E593" s="22"/>
      <c r="F593" s="78">
        <v>2722</v>
      </c>
      <c r="G593" s="79" t="s">
        <v>97</v>
      </c>
      <c r="H593" s="18">
        <f>59026.83</f>
        <v>59026.83</v>
      </c>
      <c r="I593" s="18"/>
      <c r="J593" s="18">
        <f>158438.16</f>
        <v>158438.16</v>
      </c>
      <c r="K593" s="80">
        <f t="shared" si="49"/>
        <v>217464.99</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f>5279.7</f>
        <v>5279.7</v>
      </c>
      <c r="I595" s="18"/>
      <c r="J595" s="18"/>
      <c r="K595" s="80">
        <f t="shared" si="49"/>
        <v>5279.7</v>
      </c>
      <c r="L595" s="23" t="s">
        <v>288</v>
      </c>
      <c r="M595" s="8"/>
      <c r="N595" s="164"/>
    </row>
    <row r="596" spans="1:14" s="3" customFormat="1" ht="12.2" customHeight="1" x14ac:dyDescent="0.15">
      <c r="A596" s="103" t="s">
        <v>652</v>
      </c>
      <c r="B596" s="22">
        <v>23</v>
      </c>
      <c r="C596" s="22">
        <v>5</v>
      </c>
      <c r="D596" s="2" t="s">
        <v>432</v>
      </c>
      <c r="E596" s="22"/>
      <c r="F596" s="78">
        <v>2725</v>
      </c>
      <c r="G596" s="79" t="s">
        <v>97</v>
      </c>
      <c r="H596" s="18">
        <f>7450.96</f>
        <v>7450.96</v>
      </c>
      <c r="I596" s="18"/>
      <c r="J596" s="18"/>
      <c r="K596" s="80">
        <f t="shared" si="49"/>
        <v>7450.96</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f>4024.79</f>
        <v>4024.79</v>
      </c>
      <c r="I598" s="18"/>
      <c r="J598" s="18"/>
      <c r="K598" s="80">
        <f t="shared" si="49"/>
        <v>4024.79</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453573.33</v>
      </c>
      <c r="I599" s="81">
        <f>SUM(I592:I598)</f>
        <v>0</v>
      </c>
      <c r="J599" s="81">
        <f>SUM(J592:J598)</f>
        <v>281672.46000000002</v>
      </c>
      <c r="K599" s="81">
        <f>SUM(K592:K598)</f>
        <v>735245.78999999992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6828.89+1872.04+1960.15+320.88+75.98+123.09+39120.83+800</f>
        <v>51101.86</v>
      </c>
      <c r="I605" s="18"/>
      <c r="J605" s="18"/>
      <c r="K605" s="80">
        <f>SUM(H605:J605)</f>
        <v>51101.86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51101.86</v>
      </c>
      <c r="I606" s="81">
        <f>SUM(I603:I605)</f>
        <v>0</v>
      </c>
      <c r="J606" s="81">
        <f>SUM(J603:J605)</f>
        <v>0</v>
      </c>
      <c r="K606" s="81">
        <f>SUM(K603:K605)</f>
        <v>51101.86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24524.8+13579.5</f>
        <v>38104.300000000003</v>
      </c>
      <c r="G612" s="18">
        <f>6161.13+1038.83+2667.01</f>
        <v>9866.9700000000012</v>
      </c>
      <c r="H612" s="18">
        <f>7138.57</f>
        <v>7138.57</v>
      </c>
      <c r="I612" s="18">
        <f>732.93</f>
        <v>732.93</v>
      </c>
      <c r="J612" s="18"/>
      <c r="K612" s="18"/>
      <c r="L612" s="69">
        <f>SUM(F612:K612)</f>
        <v>55842.770000000004</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38104.300000000003</v>
      </c>
      <c r="G615" s="81">
        <f t="shared" si="50"/>
        <v>9866.9700000000012</v>
      </c>
      <c r="H615" s="81">
        <f t="shared" si="50"/>
        <v>7138.57</v>
      </c>
      <c r="I615" s="81">
        <f t="shared" si="50"/>
        <v>732.93</v>
      </c>
      <c r="J615" s="81">
        <f t="shared" si="50"/>
        <v>0</v>
      </c>
      <c r="K615" s="81">
        <f t="shared" si="50"/>
        <v>0</v>
      </c>
      <c r="L615" s="70">
        <f t="shared" si="50"/>
        <v>55842.770000000004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507740.05</v>
      </c>
      <c r="H618" s="80">
        <f>SUM(F52)</f>
        <v>507740.05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18010.03</v>
      </c>
      <c r="H619" s="80">
        <f>SUM(G52)</f>
        <v>18010.03</v>
      </c>
      <c r="I619" s="87" t="s">
        <v>872</v>
      </c>
      <c r="J619" s="80">
        <f>G619-H619</f>
        <v>0</v>
      </c>
      <c r="K619" s="80"/>
      <c r="L619" s="80"/>
      <c r="M619" s="8"/>
    </row>
    <row r="620" spans="1:14" s="3" customFormat="1" ht="12.2" customHeight="1" x14ac:dyDescent="0.15">
      <c r="A620" s="74"/>
      <c r="B620" s="22"/>
      <c r="C620" s="22"/>
      <c r="D620" s="22"/>
      <c r="E620" s="22"/>
      <c r="F620" s="87" t="s">
        <v>685</v>
      </c>
      <c r="G620" s="80">
        <f>SUM(H19)</f>
        <v>23888.76</v>
      </c>
      <c r="H620" s="80">
        <f>SUM(H52)</f>
        <v>23888.760000000002</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1004921.0599999999</v>
      </c>
      <c r="H622" s="80">
        <f>SUM(J52)</f>
        <v>1004921.0599999999</v>
      </c>
      <c r="I622" s="87" t="s">
        <v>875</v>
      </c>
      <c r="J622" s="80">
        <f>G622-H622</f>
        <v>0</v>
      </c>
      <c r="K622" s="80"/>
      <c r="L622" s="80"/>
      <c r="M622" s="8"/>
    </row>
    <row r="623" spans="1:14" s="3" customFormat="1" ht="12.2" customHeight="1" x14ac:dyDescent="0.15">
      <c r="A623" s="74"/>
      <c r="B623" s="22"/>
      <c r="C623" s="22"/>
      <c r="D623" s="22"/>
      <c r="E623" s="22"/>
      <c r="F623" s="87" t="s">
        <v>861</v>
      </c>
      <c r="G623" s="80">
        <f>F51</f>
        <v>302332.36</v>
      </c>
      <c r="H623" s="80">
        <f>F477</f>
        <v>302332.3599999994</v>
      </c>
      <c r="I623" s="87" t="s">
        <v>101</v>
      </c>
      <c r="J623" s="80">
        <f t="shared" ref="J623:J656" si="51">G623-H623</f>
        <v>5.8207660913467407E-10</v>
      </c>
      <c r="K623" s="80"/>
      <c r="L623" s="80"/>
      <c r="M623" s="8"/>
    </row>
    <row r="624" spans="1:14" s="3" customFormat="1" ht="12.2" customHeight="1" x14ac:dyDescent="0.15">
      <c r="A624" s="74"/>
      <c r="B624" s="22"/>
      <c r="C624" s="85"/>
      <c r="D624" s="85"/>
      <c r="E624" s="85"/>
      <c r="F624" s="85" t="s">
        <v>862</v>
      </c>
      <c r="G624" s="80">
        <f>G51</f>
        <v>62111.31</v>
      </c>
      <c r="H624" s="80">
        <f>G477</f>
        <v>62111.31</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1004921.0599999999</v>
      </c>
      <c r="H627" s="80">
        <f>J477</f>
        <v>1004921.06</v>
      </c>
      <c r="I627" s="87" t="s">
        <v>105</v>
      </c>
      <c r="J627" s="80">
        <f t="shared" si="51"/>
        <v>0</v>
      </c>
      <c r="K627" s="67"/>
      <c r="L627" s="69"/>
      <c r="M627" s="8"/>
    </row>
    <row r="628" spans="1:13" s="3" customFormat="1" ht="12.2" customHeight="1" x14ac:dyDescent="0.15">
      <c r="A628" s="21"/>
      <c r="B628" s="22"/>
      <c r="C628" s="22"/>
      <c r="D628" s="22"/>
      <c r="E628" s="22"/>
      <c r="F628" s="86" t="s">
        <v>658</v>
      </c>
      <c r="G628" s="80">
        <f>F194</f>
        <v>11949152.68</v>
      </c>
      <c r="H628" s="80">
        <f>SUM(F469)</f>
        <v>11949152.68</v>
      </c>
      <c r="I628" s="87" t="s">
        <v>106</v>
      </c>
      <c r="J628" s="80">
        <f>G628-H628</f>
        <v>0</v>
      </c>
      <c r="K628" s="67"/>
      <c r="L628" s="69"/>
      <c r="M628" s="8"/>
    </row>
    <row r="629" spans="1:13" s="3" customFormat="1" ht="12.2" customHeight="1" x14ac:dyDescent="0.15">
      <c r="A629" s="21"/>
      <c r="B629" s="22"/>
      <c r="C629" s="22"/>
      <c r="D629" s="22"/>
      <c r="E629" s="22"/>
      <c r="F629" s="86" t="s">
        <v>659</v>
      </c>
      <c r="G629" s="80">
        <f>G194</f>
        <v>199039.93</v>
      </c>
      <c r="H629" s="80">
        <f>SUM(G469)</f>
        <v>199039.93</v>
      </c>
      <c r="I629" s="87" t="s">
        <v>107</v>
      </c>
      <c r="J629" s="80">
        <f>G629-H629</f>
        <v>0</v>
      </c>
      <c r="K629" s="67"/>
      <c r="L629" s="69"/>
      <c r="M629" s="8"/>
    </row>
    <row r="630" spans="1:13" s="3" customFormat="1" ht="12.2" customHeight="1" x14ac:dyDescent="0.15">
      <c r="A630" s="21"/>
      <c r="B630" s="22"/>
      <c r="C630" s="22"/>
      <c r="D630" s="22"/>
      <c r="E630" s="22"/>
      <c r="F630" s="86" t="s">
        <v>660</v>
      </c>
      <c r="G630" s="80">
        <f>H194</f>
        <v>349210.08</v>
      </c>
      <c r="H630" s="80">
        <f>SUM(H469)</f>
        <v>349210.08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81109.38</v>
      </c>
      <c r="H632" s="80">
        <f>SUM(J469)</f>
        <v>81109.38</v>
      </c>
      <c r="I632" s="87" t="s">
        <v>110</v>
      </c>
      <c r="J632" s="80">
        <f>G632-H632</f>
        <v>0</v>
      </c>
      <c r="K632" s="67"/>
      <c r="L632" s="69"/>
      <c r="M632" s="8"/>
    </row>
    <row r="633" spans="1:13" s="3" customFormat="1" ht="12.2" customHeight="1" x14ac:dyDescent="0.15">
      <c r="A633" s="21"/>
      <c r="B633" s="22"/>
      <c r="C633" s="22"/>
      <c r="D633" s="22"/>
      <c r="E633" s="22"/>
      <c r="F633" s="86" t="s">
        <v>394</v>
      </c>
      <c r="G633" s="80">
        <f>SUM(L272)</f>
        <v>12123478.610000003</v>
      </c>
      <c r="H633" s="80">
        <f>SUM(F473)</f>
        <v>12123478.609999999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349210.07999999996</v>
      </c>
      <c r="H634" s="80">
        <f>SUM(H473)</f>
        <v>349210.08</v>
      </c>
      <c r="I634" s="87" t="s">
        <v>112</v>
      </c>
      <c r="J634" s="80">
        <f>G634-H634</f>
        <v>0</v>
      </c>
      <c r="K634" s="67"/>
      <c r="L634" s="69"/>
      <c r="M634" s="8"/>
    </row>
    <row r="635" spans="1:13" s="124" customFormat="1" ht="12.2" customHeight="1" x14ac:dyDescent="0.15">
      <c r="A635" s="21"/>
      <c r="B635" s="22"/>
      <c r="C635" s="22"/>
      <c r="D635" s="22"/>
      <c r="E635" s="22"/>
      <c r="F635" s="99" t="s">
        <v>247</v>
      </c>
      <c r="G635" s="80">
        <f>I363</f>
        <v>4517.21</v>
      </c>
      <c r="H635" s="80">
        <f>I370</f>
        <v>4517.21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194382.9</v>
      </c>
      <c r="H636" s="80">
        <f>SUM(G473)</f>
        <v>194382.9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81109.38</v>
      </c>
      <c r="H638" s="108">
        <f>SUM(J469)</f>
        <v>81109.38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993494.07</v>
      </c>
      <c r="H641" s="80">
        <f>SUM(G462)</f>
        <v>993494.07</v>
      </c>
      <c r="I641" s="87" t="s">
        <v>838</v>
      </c>
      <c r="J641" s="80">
        <f t="shared" si="51"/>
        <v>0</v>
      </c>
      <c r="K641" s="67"/>
      <c r="L641" s="69"/>
      <c r="M641" s="8"/>
    </row>
    <row r="642" spans="1:13" s="3" customFormat="1" ht="12.2" customHeight="1" x14ac:dyDescent="0.15">
      <c r="A642" s="21"/>
      <c r="B642" s="22"/>
      <c r="C642" s="22"/>
      <c r="D642" s="22"/>
      <c r="E642" s="22"/>
      <c r="F642" s="86" t="s">
        <v>120</v>
      </c>
      <c r="G642" s="80">
        <f>SUM(H447)</f>
        <v>11426.99</v>
      </c>
      <c r="H642" s="80">
        <f>SUM(H462)</f>
        <v>11426.99</v>
      </c>
      <c r="I642" s="87" t="s">
        <v>839</v>
      </c>
      <c r="J642" s="80">
        <f t="shared" si="51"/>
        <v>0</v>
      </c>
      <c r="K642" s="67"/>
      <c r="L642" s="69"/>
      <c r="M642" s="8"/>
    </row>
    <row r="643" spans="1:13" s="3" customFormat="1" ht="12.2" customHeight="1" x14ac:dyDescent="0.15">
      <c r="A643" s="21"/>
      <c r="B643" s="22"/>
      <c r="C643" s="22"/>
      <c r="D643" s="22"/>
      <c r="E643" s="22"/>
      <c r="F643" s="86" t="s">
        <v>121</v>
      </c>
      <c r="G643" s="80">
        <f>SUM(I447)</f>
        <v>1004921.0599999999</v>
      </c>
      <c r="H643" s="80">
        <f>SUM(I462)</f>
        <v>1004921.0599999999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31109.38</v>
      </c>
      <c r="H645" s="80">
        <f>H409</f>
        <v>31109.38</v>
      </c>
      <c r="I645" s="87" t="s">
        <v>480</v>
      </c>
      <c r="J645" s="80">
        <f t="shared" si="51"/>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81109.38</v>
      </c>
      <c r="H647" s="80">
        <f>L409</f>
        <v>81109.38</v>
      </c>
      <c r="I647" s="87" t="s">
        <v>477</v>
      </c>
      <c r="J647" s="80">
        <f t="shared" si="51"/>
        <v>0</v>
      </c>
      <c r="K647" s="67"/>
      <c r="L647" s="69"/>
      <c r="M647" s="8"/>
    </row>
    <row r="648" spans="1:13" s="3" customFormat="1" ht="12.2" customHeight="1" x14ac:dyDescent="0.15">
      <c r="A648" s="21"/>
      <c r="B648" s="22"/>
      <c r="C648" s="22"/>
      <c r="D648" s="22"/>
      <c r="E648" s="22"/>
      <c r="F648" s="86" t="s">
        <v>51</v>
      </c>
      <c r="G648" s="80">
        <f>K599</f>
        <v>735245.78999999992</v>
      </c>
      <c r="H648" s="80">
        <f>L209+L227+L245</f>
        <v>735245.79</v>
      </c>
      <c r="I648" s="87" t="s">
        <v>396</v>
      </c>
      <c r="J648" s="80">
        <f t="shared" si="51"/>
        <v>0</v>
      </c>
      <c r="K648" s="67"/>
      <c r="L648" s="69"/>
      <c r="M648" s="8"/>
    </row>
    <row r="649" spans="1:13" s="3" customFormat="1" ht="12.2" customHeight="1" x14ac:dyDescent="0.15">
      <c r="A649" s="21"/>
      <c r="B649" s="22"/>
      <c r="C649" s="22"/>
      <c r="D649" s="22"/>
      <c r="E649" s="22"/>
      <c r="F649" s="86" t="s">
        <v>52</v>
      </c>
      <c r="G649" s="80">
        <f>K606</f>
        <v>51101.86</v>
      </c>
      <c r="H649" s="80">
        <f>(J258+J339)-(J256+J337)</f>
        <v>51101.86</v>
      </c>
      <c r="I649" s="87" t="s">
        <v>699</v>
      </c>
      <c r="J649" s="80">
        <f t="shared" si="51"/>
        <v>0</v>
      </c>
      <c r="K649" s="67"/>
      <c r="L649" s="69"/>
      <c r="M649" s="8"/>
    </row>
    <row r="650" spans="1:13" s="3" customFormat="1" ht="12.2" customHeight="1" x14ac:dyDescent="0.15">
      <c r="A650" s="21"/>
      <c r="B650" s="22"/>
      <c r="C650" s="22"/>
      <c r="D650" s="22"/>
      <c r="E650" s="22"/>
      <c r="F650" s="86" t="s">
        <v>387</v>
      </c>
      <c r="G650" s="80">
        <f>L209</f>
        <v>453573.33</v>
      </c>
      <c r="H650" s="80">
        <f>H599</f>
        <v>453573.33</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281672.46000000002</v>
      </c>
      <c r="H652" s="80">
        <f>J599</f>
        <v>281672.46000000002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8097140.3900000025</v>
      </c>
      <c r="G661" s="13">
        <f>(L230+L310+L360)</f>
        <v>0</v>
      </c>
      <c r="H661" s="13">
        <f>(L248+L329+L361)</f>
        <v>4519931.2</v>
      </c>
      <c r="I661" s="13">
        <f>SUM(F661:H661)</f>
        <v>12617071.590000004</v>
      </c>
      <c r="J661" s="13"/>
      <c r="K661" s="13"/>
      <c r="L661" s="13"/>
      <c r="M661" s="9"/>
    </row>
    <row r="662" spans="1:13" s="3" customFormat="1" ht="12.2" customHeight="1" x14ac:dyDescent="0.2">
      <c r="A662" s="1" t="s">
        <v>127</v>
      </c>
      <c r="F662" s="13">
        <f>(L359/IF(SUM(L359:L361)=0,1,SUM(L359:L361))*(SUM(G97:G110)))</f>
        <v>136537.18</v>
      </c>
      <c r="G662" s="13">
        <f>(L360/IF(SUM(L359:L361)=0,1,SUM(L359:L361))*(SUM(G97:G110)))</f>
        <v>0</v>
      </c>
      <c r="H662" s="13">
        <f>(L361/IF(SUM(L359:L361)=0,1,SUM(L359:L361))*(SUM(G97:G110)))</f>
        <v>0</v>
      </c>
      <c r="I662" s="13">
        <f>SUM(F662:H662)</f>
        <v>136537.18</v>
      </c>
      <c r="J662"/>
      <c r="K662" s="13"/>
      <c r="L662" s="13"/>
      <c r="M662" s="8"/>
    </row>
    <row r="663" spans="1:13" s="3" customFormat="1" ht="12.2" customHeight="1" x14ac:dyDescent="0.2">
      <c r="A663" s="1" t="s">
        <v>128</v>
      </c>
      <c r="F663" s="13">
        <f>(L209+L288)-(J209+J288)</f>
        <v>510591.74</v>
      </c>
      <c r="G663" s="13">
        <f>(L227+L307)-(J227+J307)</f>
        <v>0</v>
      </c>
      <c r="H663" s="13">
        <f>(L245+L326)-(J245+J326)</f>
        <v>281672.46000000002</v>
      </c>
      <c r="I663" s="13">
        <f>SUM(F663:H663)</f>
        <v>792264.2</v>
      </c>
      <c r="J663"/>
      <c r="K663" s="13"/>
      <c r="L663" s="13"/>
      <c r="M663" s="9"/>
    </row>
    <row r="664" spans="1:13" s="3" customFormat="1" ht="12.2" customHeight="1" x14ac:dyDescent="0.15">
      <c r="A664" s="141" t="s">
        <v>129</v>
      </c>
      <c r="B664" s="124"/>
      <c r="C664" s="124"/>
      <c r="D664" s="124"/>
      <c r="E664" s="124"/>
      <c r="F664" s="142">
        <f>SUM(F576:F588)+SUM(H603:H605)+SUM(L612)</f>
        <v>322710.79000000004</v>
      </c>
      <c r="G664" s="142">
        <f>SUM(G576:G588)+SUM(I603:I605)+L613</f>
        <v>0</v>
      </c>
      <c r="H664" s="142">
        <f>SUM(H576:H588)+SUM(J603:J605)+L614</f>
        <v>4232095.91</v>
      </c>
      <c r="I664" s="13">
        <f>SUM(F664:H664)</f>
        <v>4554806.7</v>
      </c>
      <c r="J664" s="13"/>
      <c r="K664" s="13"/>
      <c r="L664" s="13"/>
      <c r="M664" s="9"/>
    </row>
    <row r="665" spans="1:13" s="3" customFormat="1" ht="12.2" customHeight="1" x14ac:dyDescent="0.15">
      <c r="A665" s="1" t="s">
        <v>130</v>
      </c>
      <c r="F665" s="13">
        <f>F661-SUM(F662:F664)</f>
        <v>7127300.6800000025</v>
      </c>
      <c r="G665" s="13">
        <f>G661-SUM(G662:G664)</f>
        <v>0</v>
      </c>
      <c r="H665" s="13">
        <f>H661-SUM(H662:H664)</f>
        <v>6162.8300000000745</v>
      </c>
      <c r="I665" s="13">
        <f>I661-SUM(I662:I664)</f>
        <v>7133463.5100000035</v>
      </c>
      <c r="J665" s="13"/>
      <c r="K665" s="13"/>
      <c r="L665" s="13"/>
      <c r="M665" s="8"/>
    </row>
    <row r="666" spans="1:13" s="3" customFormat="1" ht="12.2" customHeight="1" x14ac:dyDescent="0.2">
      <c r="A666" s="1" t="s">
        <v>131</v>
      </c>
      <c r="F666" s="182">
        <v>349.79</v>
      </c>
      <c r="G666" s="183"/>
      <c r="H666" s="183"/>
      <c r="I666" s="13">
        <f>SUM(F666:H666)</f>
        <v>349.79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20375.939999999999</v>
      </c>
      <c r="G668" s="13" t="e">
        <f>ROUND(G665/G666,2)</f>
        <v>#DIV/0!</v>
      </c>
      <c r="H668" s="13" t="e">
        <f>ROUND(H665/H666,2)</f>
        <v>#DIV/0!</v>
      </c>
      <c r="I668" s="13">
        <f>ROUND(I665/I666,2)</f>
        <v>20393.560000000001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-6162.8300000000745</v>
      </c>
      <c r="I670" s="13">
        <f>SUM(F670:H670)</f>
        <v>-6162.8300000000745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20375.939999999999</v>
      </c>
      <c r="G673" s="13" t="e">
        <f>ROUND((G665+G670)/(G666+G671),2)</f>
        <v>#DIV/0!</v>
      </c>
      <c r="H673" s="13" t="e">
        <f>ROUND((H665+H670)/(H666+H671),2)</f>
        <v>#DIV/0!</v>
      </c>
      <c r="I673" s="13">
        <f>ROUND((I665+I670)/(I666+I671),2)</f>
        <v>20375.939999999999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7" sqref="H17"/>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38351.25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15142.89+6340.15+3598.74</f>
        <v>25081.78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11700.72+1568.75</f>
        <v>13269.47</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Fremont</v>
      </c>
      <c r="C5" s="321"/>
      <c r="D5" s="321"/>
      <c r="E5" s="321"/>
      <c r="F5" s="321"/>
    </row>
    <row r="8" spans="1:9" ht="18" x14ac:dyDescent="0.25">
      <c r="A8" s="239" t="s">
        <v>1548</v>
      </c>
      <c r="F8" s="246" t="s">
        <v>1566</v>
      </c>
    </row>
    <row r="9" spans="1:9" ht="15" x14ac:dyDescent="0.2">
      <c r="A9" s="237" t="s">
        <v>1549</v>
      </c>
      <c r="B9" s="240">
        <f>'DOE25'!G97</f>
        <v>136537.18</v>
      </c>
      <c r="F9" s="237" t="s">
        <v>1562</v>
      </c>
    </row>
    <row r="10" spans="1:9" ht="15" x14ac:dyDescent="0.2">
      <c r="A10" s="237" t="s">
        <v>1550</v>
      </c>
      <c r="B10" s="240">
        <f>'DOE25'!G112-'DOE25'!G97</f>
        <v>0</v>
      </c>
      <c r="F10" s="237" t="s">
        <v>1563</v>
      </c>
    </row>
    <row r="11" spans="1:9" ht="15" x14ac:dyDescent="0.2">
      <c r="A11" s="237" t="s">
        <v>1551</v>
      </c>
      <c r="B11" s="240">
        <f>'DOE25'!G140</f>
        <v>2690.53</v>
      </c>
      <c r="F11" s="237" t="s">
        <v>1564</v>
      </c>
    </row>
    <row r="12" spans="1:9" ht="15" x14ac:dyDescent="0.2">
      <c r="A12" s="237" t="s">
        <v>1552</v>
      </c>
      <c r="B12" s="240">
        <f>'DOE25'!G170</f>
        <v>59812.22</v>
      </c>
      <c r="F12" s="237" t="s">
        <v>1565</v>
      </c>
    </row>
    <row r="13" spans="1:9" ht="15" x14ac:dyDescent="0.2">
      <c r="A13" s="237" t="s">
        <v>1553</v>
      </c>
      <c r="B13" s="240">
        <f>'DOE25'!G193-'DOE25'!G180</f>
        <v>0</v>
      </c>
      <c r="F13" s="237" t="s">
        <v>1575</v>
      </c>
    </row>
    <row r="14" spans="1:9" ht="18" x14ac:dyDescent="0.25">
      <c r="A14" s="239" t="s">
        <v>732</v>
      </c>
      <c r="B14" s="241">
        <f>SUM(B9:B13)</f>
        <v>199039.93</v>
      </c>
    </row>
    <row r="16" spans="1:9" ht="18" x14ac:dyDescent="0.25">
      <c r="A16" s="239" t="s">
        <v>783</v>
      </c>
      <c r="F16" s="246" t="s">
        <v>1567</v>
      </c>
    </row>
    <row r="17" spans="1:6" ht="15" x14ac:dyDescent="0.2">
      <c r="A17" s="237" t="s">
        <v>1554</v>
      </c>
      <c r="B17" s="240">
        <f>'DOE25'!L363-'DOE25'!L362</f>
        <v>194382.9</v>
      </c>
      <c r="F17" s="237" t="s">
        <v>1568</v>
      </c>
    </row>
    <row r="18" spans="1:6" ht="15" x14ac:dyDescent="0.2">
      <c r="A18" s="237" t="s">
        <v>1555</v>
      </c>
      <c r="B18" s="250">
        <v>0</v>
      </c>
      <c r="F18" s="246" t="s">
        <v>1592</v>
      </c>
    </row>
    <row r="19" spans="1:6" ht="18" x14ac:dyDescent="0.25">
      <c r="A19" s="239" t="s">
        <v>725</v>
      </c>
      <c r="B19" s="241">
        <f>SUM(B17:B18)</f>
        <v>194382.9</v>
      </c>
    </row>
    <row r="21" spans="1:6" ht="18.75" thickBot="1" x14ac:dyDescent="0.3">
      <c r="A21" s="239" t="s">
        <v>1556</v>
      </c>
    </row>
    <row r="22" spans="1:6" ht="18.75" thickTop="1" x14ac:dyDescent="0.25">
      <c r="A22" s="239" t="s">
        <v>1557</v>
      </c>
      <c r="B22" s="245">
        <f>B14-B19</f>
        <v>4657.0299999999988</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57454.28</v>
      </c>
      <c r="F31" s="237" t="s">
        <v>1572</v>
      </c>
    </row>
    <row r="33" spans="1:6" ht="15" x14ac:dyDescent="0.2">
      <c r="A33" s="237" t="s">
        <v>1790</v>
      </c>
      <c r="B33" s="240">
        <f>'DOE25'!G477</f>
        <v>62111.31</v>
      </c>
      <c r="F33" s="237" t="s">
        <v>1573</v>
      </c>
    </row>
    <row r="36" spans="1:6" ht="15" x14ac:dyDescent="0.2">
      <c r="A36" s="237" t="s">
        <v>1559</v>
      </c>
      <c r="B36" s="251">
        <v>18418.98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Fremont</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1959133.54</v>
      </c>
      <c r="C9" s="166">
        <f>'DOE25'!G198+'DOE25'!G216+'DOE25'!G235+'DOE25'!G277+'DOE25'!G296+'DOE25'!G315</f>
        <v>1065090.3600000001</v>
      </c>
    </row>
    <row r="10" spans="1:3" x14ac:dyDescent="0.2">
      <c r="A10" t="s">
        <v>772</v>
      </c>
      <c r="B10" s="176">
        <f>50110.5+1808112.07+10000</f>
        <v>1868222.57</v>
      </c>
      <c r="C10" s="176">
        <f>10996.62+1054093.74-13.53-15.3-6939.39</f>
        <v>1058122.1400000001</v>
      </c>
    </row>
    <row r="11" spans="1:3" x14ac:dyDescent="0.2">
      <c r="A11" t="s">
        <v>773</v>
      </c>
      <c r="B11" s="176">
        <f>200</f>
        <v>200</v>
      </c>
      <c r="C11" s="176">
        <f>15.3</f>
        <v>15.3</v>
      </c>
    </row>
    <row r="12" spans="1:3" x14ac:dyDescent="0.2">
      <c r="A12" t="s">
        <v>774</v>
      </c>
      <c r="B12" s="176">
        <f>15470+75240.97</f>
        <v>90710.97</v>
      </c>
      <c r="C12" s="176">
        <f>13.53+6939.39</f>
        <v>6952.92</v>
      </c>
    </row>
    <row r="13" spans="1:3" x14ac:dyDescent="0.2">
      <c r="A13" t="str">
        <f>IF(B9=B13,IF(C9=C13,"Check Total OK","Check Total Error"),"Check Total Error")</f>
        <v>Check Total OK</v>
      </c>
      <c r="B13" s="168">
        <f>SUM(B10:B12)</f>
        <v>1959133.54</v>
      </c>
      <c r="C13" s="168">
        <f>SUM(C10:C12)</f>
        <v>1065090.3600000001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641584.76</v>
      </c>
      <c r="C18" s="166" t="e">
        <f>'DOE25'!G199+'DOE25'!G217+'DOE25'!#REF!+'DOE25'!G278+'DOE25'!G297+'DOE25'!G316</f>
        <v>#REF!</v>
      </c>
    </row>
    <row r="19" spans="1:3" x14ac:dyDescent="0.2">
      <c r="A19" t="s">
        <v>772</v>
      </c>
      <c r="B19" s="176">
        <f>298987+48385+2264.44+13579.5</f>
        <v>363215.94</v>
      </c>
      <c r="C19" s="176">
        <f>247654.52-21295.22</f>
        <v>226359.3</v>
      </c>
    </row>
    <row r="20" spans="1:3" x14ac:dyDescent="0.2">
      <c r="A20" t="s">
        <v>773</v>
      </c>
      <c r="B20" s="176">
        <f>278368.82</f>
        <v>278368.82</v>
      </c>
      <c r="C20" s="176">
        <f>21295.22</f>
        <v>21295.22</v>
      </c>
    </row>
    <row r="21" spans="1:3" x14ac:dyDescent="0.2">
      <c r="A21" t="s">
        <v>774</v>
      </c>
      <c r="B21" s="176"/>
      <c r="C21" s="176"/>
    </row>
    <row r="22" spans="1:3" x14ac:dyDescent="0.2">
      <c r="A22" t="e">
        <f>IF(B18=B22,IF(C18=C22,"Check Total OK","Check Total Error"),"Check Total Error")</f>
        <v>#REF!</v>
      </c>
      <c r="B22" s="168">
        <f>SUM(B19:B21)</f>
        <v>641584.76</v>
      </c>
      <c r="C22" s="168">
        <f>SUM(C19:C21)</f>
        <v>247654.52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63529.8</v>
      </c>
      <c r="C36" s="172">
        <f>'DOE25'!G201+'DOE25'!G219+'DOE25'!G237+'DOE25'!G280+'DOE25'!G299+'DOE25'!G318</f>
        <v>14065.85</v>
      </c>
    </row>
    <row r="37" spans="1:3" x14ac:dyDescent="0.2">
      <c r="A37" t="s">
        <v>772</v>
      </c>
      <c r="B37" s="176">
        <f>9575+4844.16+4155.64</f>
        <v>18574.8</v>
      </c>
      <c r="C37" s="176">
        <f>732.46+370.58+317.9+1644.85+951.39+982+521.57+4900.18</f>
        <v>10420.93</v>
      </c>
    </row>
    <row r="38" spans="1:3" x14ac:dyDescent="0.2">
      <c r="A38" t="s">
        <v>773</v>
      </c>
      <c r="B38" s="176">
        <f>5000</f>
        <v>5000</v>
      </c>
      <c r="C38" s="176">
        <f>382.5</f>
        <v>382.5</v>
      </c>
    </row>
    <row r="39" spans="1:3" x14ac:dyDescent="0.2">
      <c r="A39" t="s">
        <v>774</v>
      </c>
      <c r="B39" s="176">
        <f>950+39005</f>
        <v>39955</v>
      </c>
      <c r="C39" s="176">
        <f>186.58+71.3+40.6+2963.94</f>
        <v>3262.42</v>
      </c>
    </row>
    <row r="40" spans="1:3" x14ac:dyDescent="0.2">
      <c r="A40" t="str">
        <f>IF(B36=B40,IF(C36=C40,"Check Total OK","Check Total Error"),"Check Total Error")</f>
        <v>Check Total OK</v>
      </c>
      <c r="B40" s="168">
        <f>SUM(B37:B39)</f>
        <v>63529.8</v>
      </c>
      <c r="C40" s="168">
        <f>SUM(C37:C39)</f>
        <v>14065.85</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Fremont</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8524231.040000001</v>
      </c>
      <c r="D5" s="19">
        <f>SUM('DOE25'!L198:L201)+SUM('DOE25'!L216:L219)+SUM('DOE25'!L234:L237)-F5-G5-H5</f>
        <v>8519570.5099999998</v>
      </c>
      <c r="E5" s="179"/>
      <c r="F5" s="180"/>
      <c r="G5" s="19">
        <f>SUM('DOE25'!J198:J201)+SUM('DOE25'!J216:J219)+SUM('DOE25'!J234:J237)</f>
        <v>4153.07</v>
      </c>
      <c r="H5" s="19">
        <f>SUM('DOE25'!K198:K201)+SUM('DOE25'!K216:K219)+SUM('DOE25'!K234:K237)</f>
        <v>507.46</v>
      </c>
      <c r="I5" s="191"/>
    </row>
    <row r="6" spans="1:9" x14ac:dyDescent="0.2">
      <c r="A6" s="31">
        <v>2100</v>
      </c>
      <c r="B6" t="s">
        <v>793</v>
      </c>
      <c r="C6" s="205">
        <f t="shared" si="0"/>
        <v>895760.60999999987</v>
      </c>
      <c r="D6" s="19">
        <f>'DOE25'!L203+'DOE25'!L221+'DOE25'!L239-F6-G6-H6</f>
        <v>895461.53999999992</v>
      </c>
      <c r="E6" s="179"/>
      <c r="F6" s="180"/>
      <c r="G6" s="19">
        <f>'DOE25'!J203+'DOE25'!J221+'DOE25'!J239</f>
        <v>199.07</v>
      </c>
      <c r="H6" s="19">
        <f>'DOE25'!K203+'DOE25'!K221+'DOE25'!K239</f>
        <v>100</v>
      </c>
      <c r="I6" s="191"/>
    </row>
    <row r="7" spans="1:9" x14ac:dyDescent="0.2">
      <c r="A7" s="31">
        <v>2200</v>
      </c>
      <c r="B7" t="s">
        <v>817</v>
      </c>
      <c r="C7" s="205">
        <f t="shared" si="0"/>
        <v>224196.57</v>
      </c>
      <c r="D7" s="19">
        <f>'DOE25'!L204+'DOE25'!L222+'DOE25'!L240-F7-G7-H7</f>
        <v>167438.59999999998</v>
      </c>
      <c r="E7" s="179"/>
      <c r="F7" s="180"/>
      <c r="G7" s="19">
        <f>'DOE25'!J204+'DOE25'!J222+'DOE25'!J240</f>
        <v>39120.83</v>
      </c>
      <c r="H7" s="19">
        <f>'DOE25'!K204+'DOE25'!K222+'DOE25'!K240</f>
        <v>17637.14</v>
      </c>
      <c r="I7" s="191"/>
    </row>
    <row r="8" spans="1:9" x14ac:dyDescent="0.2">
      <c r="A8" s="31">
        <v>2300</v>
      </c>
      <c r="B8" t="s">
        <v>794</v>
      </c>
      <c r="C8" s="205">
        <f t="shared" si="0"/>
        <v>224624.71000000008</v>
      </c>
      <c r="D8" s="179"/>
      <c r="E8" s="19">
        <f>'DOE25'!L205+'DOE25'!L223+'DOE25'!L241-F8-G8-H8-D9-D11</f>
        <v>204561.28000000009</v>
      </c>
      <c r="F8" s="180"/>
      <c r="G8" s="19">
        <f>'DOE25'!J205+'DOE25'!J223+'DOE25'!J241</f>
        <v>0</v>
      </c>
      <c r="H8" s="19">
        <f>'DOE25'!K205+'DOE25'!K223+'DOE25'!K241</f>
        <v>20063.43</v>
      </c>
      <c r="I8" s="191"/>
    </row>
    <row r="9" spans="1:9" ht="14.25" x14ac:dyDescent="0.2">
      <c r="A9" s="31">
        <v>2310</v>
      </c>
      <c r="B9" s="71" t="s">
        <v>884</v>
      </c>
      <c r="C9" s="205">
        <f t="shared" si="0"/>
        <v>99100.309999999983</v>
      </c>
      <c r="D9" s="180">
        <f>9993.15+81326.79+7015.89+764.48</f>
        <v>99100.309999999983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432705.93</v>
      </c>
      <c r="D11" s="180">
        <v>432705.93</v>
      </c>
      <c r="E11" s="179"/>
      <c r="F11" s="179"/>
      <c r="G11" s="179"/>
      <c r="H11" s="179"/>
      <c r="I11" s="191"/>
    </row>
    <row r="12" spans="1:9" x14ac:dyDescent="0.2">
      <c r="A12" s="31">
        <v>2400</v>
      </c>
      <c r="B12" t="s">
        <v>711</v>
      </c>
      <c r="C12" s="205">
        <f t="shared" si="0"/>
        <v>455417.99000000005</v>
      </c>
      <c r="D12" s="19">
        <f>'DOE25'!L206+'DOE25'!L224+'DOE25'!L242-F12-G12-H12</f>
        <v>451492.35000000003</v>
      </c>
      <c r="E12" s="179"/>
      <c r="F12" s="180"/>
      <c r="G12" s="19">
        <f>'DOE25'!J206+'DOE25'!J224+'DOE25'!J242</f>
        <v>800</v>
      </c>
      <c r="H12" s="19">
        <f>'DOE25'!K206+'DOE25'!K224+'DOE25'!K242</f>
        <v>3125.64</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482195.66000000003</v>
      </c>
      <c r="D14" s="19">
        <f>'DOE25'!L208+'DOE25'!L226+'DOE25'!L244-F14-G14-H14</f>
        <v>412106.66000000003</v>
      </c>
      <c r="E14" s="179"/>
      <c r="F14" s="180"/>
      <c r="G14" s="19">
        <f>'DOE25'!J208+'DOE25'!J226+'DOE25'!J244</f>
        <v>0</v>
      </c>
      <c r="H14" s="19">
        <f>'DOE25'!K208+'DOE25'!K226+'DOE25'!K244</f>
        <v>70089</v>
      </c>
      <c r="I14" s="191"/>
    </row>
    <row r="15" spans="1:9" x14ac:dyDescent="0.2">
      <c r="A15" s="31">
        <v>2700</v>
      </c>
      <c r="B15" t="s">
        <v>796</v>
      </c>
      <c r="C15" s="205">
        <f t="shared" si="0"/>
        <v>735245.79</v>
      </c>
      <c r="D15" s="19">
        <f>'DOE25'!L209+'DOE25'!L227+'DOE25'!L245-F15-G15-H15</f>
        <v>-36956.150000000023</v>
      </c>
      <c r="E15" s="179"/>
      <c r="F15" s="180">
        <f>53711.6+377791.05+59026.83+123234.3+158438.16</f>
        <v>772201.94000000006</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128771.49999999999</v>
      </c>
      <c r="D29" s="211">
        <f>'DOE25'!L359+'DOE25'!L360+'DOE25'!L361-'DOE25'!I368-F29-G29-H29-F39</f>
        <v>124279.85999999999</v>
      </c>
      <c r="E29" s="179"/>
      <c r="F29" s="179"/>
      <c r="G29" s="19">
        <f>'DOE25'!J359+'DOE25'!J360+'DOE25'!J361</f>
        <v>4491.6400000000003</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349210.07999999996</v>
      </c>
      <c r="D31" s="19">
        <f>'DOE25'!L291+'DOE25'!L310+'DOE25'!L329+'DOE25'!L334+'DOE25'!L335+'DOE25'!L336-F31-G31-H31</f>
        <v>342381.18999999994</v>
      </c>
      <c r="E31" s="179"/>
      <c r="F31" s="180"/>
      <c r="G31" s="19">
        <f>'DOE25'!J291+'DOE25'!J310+'DOE25'!J329+'DOE25'!J334+'DOE25'!J335+'DOE25'!J336</f>
        <v>6828.8899999999994</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11407580.799999997</v>
      </c>
      <c r="E33" s="181">
        <f t="shared" si="1"/>
        <v>204561.28000000009</v>
      </c>
      <c r="F33" s="181">
        <f t="shared" si="1"/>
        <v>772201.94000000006</v>
      </c>
      <c r="G33" s="181">
        <f t="shared" si="1"/>
        <v>55593.5</v>
      </c>
      <c r="H33" s="181">
        <f t="shared" si="1"/>
        <v>111522.67</v>
      </c>
      <c r="I33" s="181">
        <f t="shared" si="1"/>
        <v>0</v>
      </c>
    </row>
    <row r="34" spans="1:9" ht="12" thickBot="1" x14ac:dyDescent="0.25"/>
    <row r="35" spans="1:9" ht="12" thickBot="1" x14ac:dyDescent="0.25">
      <c r="B35" s="187" t="s">
        <v>827</v>
      </c>
      <c r="D35" s="188">
        <f>E33</f>
        <v>204561.28000000009</v>
      </c>
      <c r="E35" s="184"/>
      <c r="F35" s="294" t="s">
        <v>1596</v>
      </c>
      <c r="G35" s="295"/>
      <c r="H35" s="295"/>
      <c r="I35" s="296"/>
    </row>
    <row r="36" spans="1:9" ht="12" thickTop="1" x14ac:dyDescent="0.2">
      <c r="B36" t="s">
        <v>807</v>
      </c>
      <c r="D36" s="19">
        <f>D33</f>
        <v>11407580.799999997</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f>65554.63-1084.44</f>
        <v>64470.19</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 zoomScale="75" zoomScaleNormal="75" workbookViewId="0">
      <selection activeCell="A14" sqref="A1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Fremont</v>
      </c>
      <c r="B2">
        <f>'DOE25'!B2</f>
        <v>189</v>
      </c>
      <c r="J2" s="223" t="s">
        <v>1799</v>
      </c>
      <c r="K2" s="308">
        <f>SUM('DOE25'!L198:L201)+SUM('DOE25'!L277:L280)</f>
        <v>4533359.120000001</v>
      </c>
      <c r="L2" s="308">
        <f>'DOE25'!L203+'DOE25'!L282</f>
        <v>894840.12999999989</v>
      </c>
      <c r="M2" s="308">
        <f>'DOE25'!L204+'DOE25'!L283</f>
        <v>261035.65000000002</v>
      </c>
      <c r="N2" s="308">
        <f>'DOE25'!L206+'DOE25'!L285</f>
        <v>455417.99000000005</v>
      </c>
      <c r="O2" s="316">
        <f>'Salaries-Benefits'!B10+'Salaries-Benefits'!B12+'Salaries-Benefits'!B19+'Salaries-Benefits'!B21+'Salaries-Benefits'!B28+'Salaries-Benefits'!B30+'Salaries-Benefits'!B37+'Salaries-Benefits'!B39</f>
        <v>2380679.2799999998</v>
      </c>
      <c r="P2" s="316">
        <f>'Salaries-Benefits'!B11+'Salaries-Benefits'!B20+'Salaries-Benefits'!B29+'Salaries-Benefits'!B38</f>
        <v>283568.82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7902757.4899999993</v>
      </c>
      <c r="G4" s="228">
        <f>'DOE25'!L212+'DOE25'!L291</f>
        <v>7902757.4900000021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158304.09+59026.83</f>
        <v>217330.91999999998</v>
      </c>
      <c r="E5" s="219">
        <f>8887+57462.07+53711.6</f>
        <v>120060.67000000001</v>
      </c>
      <c r="F5" s="231">
        <f>D5+E5</f>
        <v>337391.58999999997</v>
      </c>
      <c r="G5" s="222"/>
      <c r="H5" s="222"/>
      <c r="J5" s="71" t="s">
        <v>1798</v>
      </c>
      <c r="K5" s="20">
        <f>8887+57462.07</f>
        <v>66349.070000000007</v>
      </c>
      <c r="L5" s="20"/>
      <c r="M5" s="20"/>
      <c r="N5" s="20"/>
      <c r="O5" s="20"/>
      <c r="P5" s="20"/>
      <c r="Q5" s="20"/>
    </row>
    <row r="6" spans="1:22" x14ac:dyDescent="0.2">
      <c r="A6" t="str" cm="1">
        <f t="array" ref="A6">IFERROR(INDEX('School Tables'!$A$4:$G$365,'School Tables'!$J4,3),"")</f>
        <v>Ellis School</v>
      </c>
      <c r="B6" s="229">
        <f>IFERROR(VLOOKUP(A6,'School Tables'!$C$3:$D$365,2,FALSE),"")</f>
        <v>20525</v>
      </c>
      <c r="C6" s="222" t="str">
        <f>IFERROR(INDEX('School Tables'!$B$3:$B$365,MATCH('School Level Expenditures'!B6,'School Tables'!$D$3:$D$365,0)),"")</f>
        <v>Fremont</v>
      </c>
      <c r="D6" s="219">
        <f>14563.8+4201110.8+1953147.52+2486.67+134182.85+546.63+7463.21+4215.39+600+144.22+6394.2+11867.95+3290.54+184.47+2278.51+424.49+20144.91+81326.79+32855.9+1298.78+26015.95+98342.24+5279.7+377791.05+7450.96+4024.79+197552.33+44272.97+161522.67-50000</f>
        <v>7350780.2899999991</v>
      </c>
      <c r="E6" s="219">
        <f>334646.28-8887-57462.07-53711.6</f>
        <v>214585.61000000002</v>
      </c>
      <c r="F6" s="231">
        <f t="shared" ref="F6:F20" si="2">D6+E6</f>
        <v>7565365.8999999994</v>
      </c>
      <c r="G6" s="222"/>
      <c r="H6" s="222"/>
      <c r="J6" t="str">
        <f t="shared" ref="J6:J20" si="3">A6</f>
        <v>Ellis School</v>
      </c>
      <c r="K6" s="20">
        <f>1686.22+159678.93-57462.07-53711.6-8887+10203.99+11201.68+14563.8+732.93+5060+489.99+10996.62+6161.13+50110.5+24524.8+1909023.04+1054093.74+2486.67+67565.39+507.46+1872.04+641584.76+247654.52+293033.57+7463.21+8942.51+1960.15+320.88+4027.08+4215.39+7904.72+39005</f>
        <v>4467010.05</v>
      </c>
      <c r="L6" s="20">
        <f>2492.85+367.3+407.2+1500+94273.5+61800+153362.84+155000.58+60253.03+98523.62+318.62+44045.98+18457.04+64540.6+77645.7+5757.51+22850.14+600+144.22+6394.2+11867.95+3290.54+184.47+2278.51+230.16+3117.34+2711.5+633.13+157.99+1334.54+100+75.98+123.09</f>
        <v>894840.12999999989</v>
      </c>
      <c r="M6" s="307">
        <f>30285.03+78.39+1175.66+5300+997+80367.5+19750.26+29929.36+424.49+20144.91+3509.52+12315.56+17637.14+39120.83</f>
        <v>261035.65000000002</v>
      </c>
      <c r="N6" s="20">
        <f>257424.47+159154.79+26015.95+8897.14+3125.64+800</f>
        <v>455417.99000000005</v>
      </c>
      <c r="O6" s="20">
        <f>50110.5+24524.8-5000+1909023.04-200+641584.76-278368.82+39005</f>
        <v>2380679.2800000003</v>
      </c>
      <c r="P6" s="20">
        <f>5000+200+278368.82</f>
        <v>283568.82</v>
      </c>
      <c r="Q6" s="20">
        <f>497.19+1388.63</f>
        <v>1885.8200000000002</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7568111.209999999</v>
      </c>
      <c r="E21" s="261">
        <f>SUM(E5:E20)</f>
        <v>334646.28000000003</v>
      </c>
      <c r="F21" s="216"/>
      <c r="G21" s="216"/>
      <c r="H21" s="216"/>
      <c r="K21" s="262">
        <f t="shared" ref="K21:Q21" si="4">SUM(K5:K20)</f>
        <v>4533359.12</v>
      </c>
      <c r="L21" s="262">
        <f t="shared" si="4"/>
        <v>894840.12999999989</v>
      </c>
      <c r="M21" s="262">
        <f t="shared" si="4"/>
        <v>261035.65000000002</v>
      </c>
      <c r="N21" s="262">
        <f t="shared" si="4"/>
        <v>455417.99000000005</v>
      </c>
      <c r="O21" s="262">
        <f t="shared" si="4"/>
        <v>2380679.2800000003</v>
      </c>
      <c r="P21" s="262">
        <f t="shared" si="4"/>
        <v>283568.82</v>
      </c>
      <c r="Q21" s="262">
        <f t="shared" si="4"/>
        <v>1885.8200000000002</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1798</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4232570.91</v>
      </c>
      <c r="L36" s="19">
        <f>'DOE25'!L239+'DOE25'!L320</f>
        <v>5687.83</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4519931.2</v>
      </c>
      <c r="G38" s="228">
        <f>'DOE25'!L248+'DOE25'!L329</f>
        <v>4519931.2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4519931.2</f>
        <v>4519931.2</v>
      </c>
      <c r="E39" s="219"/>
      <c r="F39" s="231">
        <f t="shared" ref="F39:F44" si="10">D39+E39</f>
        <v>4519931.2</v>
      </c>
      <c r="G39" s="222"/>
      <c r="H39" s="222"/>
      <c r="J39" s="71" t="s">
        <v>1798</v>
      </c>
      <c r="K39" s="315">
        <f>3503871+728699.91</f>
        <v>4232570.91</v>
      </c>
      <c r="L39" s="315">
        <f>5687.83</f>
        <v>5687.83</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4519931.2</v>
      </c>
      <c r="E45" s="262">
        <f>SUM(E39:E44)</f>
        <v>0</v>
      </c>
      <c r="K45" s="262">
        <f t="shared" ref="K45:Q45" si="11">SUM(K39:K44)</f>
        <v>4232570.91</v>
      </c>
      <c r="L45" s="262">
        <f t="shared" si="11"/>
        <v>5687.83</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6"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Fremont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58683.53</v>
      </c>
      <c r="D8" s="73">
        <f>'DOE25'!G9</f>
        <v>0</v>
      </c>
      <c r="E8" s="73">
        <f>'DOE25'!H9</f>
        <v>0</v>
      </c>
      <c r="F8" s="73">
        <f>'DOE25'!I9</f>
        <v>0</v>
      </c>
      <c r="G8" s="73">
        <f>'DOE25'!J9</f>
        <v>1004921.0599999999</v>
      </c>
      <c r="H8" s="13">
        <f>SUM(C8:G8)</f>
        <v>1063604.5899999999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314996.21000000002</v>
      </c>
      <c r="D11" s="73">
        <f>'DOE25'!G12</f>
        <v>0</v>
      </c>
      <c r="E11" s="73">
        <f>'DOE25'!H12</f>
        <v>0</v>
      </c>
      <c r="F11" s="73">
        <f>'DOE25'!I12</f>
        <v>0</v>
      </c>
      <c r="G11" s="73">
        <f>'DOE25'!J12</f>
        <v>0</v>
      </c>
      <c r="H11" s="13">
        <f t="shared" si="0"/>
        <v>314996.21000000002</v>
      </c>
      <c r="I11" s="90"/>
    </row>
    <row r="12" spans="1:9" x14ac:dyDescent="0.2">
      <c r="A12" s="1" t="s">
        <v>143</v>
      </c>
      <c r="B12" s="6">
        <v>140</v>
      </c>
      <c r="C12" s="73">
        <f>'DOE25'!F13</f>
        <v>28085.539999999997</v>
      </c>
      <c r="D12" s="73">
        <f>'DOE25'!G13</f>
        <v>10142.469999999999</v>
      </c>
      <c r="E12" s="73">
        <f>'DOE25'!H13</f>
        <v>23888.76</v>
      </c>
      <c r="F12" s="73">
        <f>'DOE25'!I13</f>
        <v>0</v>
      </c>
      <c r="G12" s="73">
        <f>'DOE25'!J13</f>
        <v>0</v>
      </c>
      <c r="H12" s="13">
        <f t="shared" si="0"/>
        <v>62116.76999999999</v>
      </c>
      <c r="I12" s="90"/>
    </row>
    <row r="13" spans="1:9" x14ac:dyDescent="0.2">
      <c r="A13" s="1" t="s">
        <v>144</v>
      </c>
      <c r="B13" s="6">
        <v>150</v>
      </c>
      <c r="C13" s="73">
        <f>'DOE25'!F14</f>
        <v>0</v>
      </c>
      <c r="D13" s="73">
        <f>'DOE25'!G14</f>
        <v>1426.32</v>
      </c>
      <c r="E13" s="73">
        <f>'DOE25'!H14</f>
        <v>0</v>
      </c>
      <c r="F13" s="73">
        <f>'DOE25'!I14</f>
        <v>0</v>
      </c>
      <c r="G13" s="73">
        <f>'DOE25'!J14</f>
        <v>0</v>
      </c>
      <c r="H13" s="13">
        <f t="shared" si="0"/>
        <v>1426.32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6441.24</v>
      </c>
      <c r="E15" s="73">
        <f>'DOE25'!H16</f>
        <v>0</v>
      </c>
      <c r="F15" s="73">
        <f>'DOE25'!I16</f>
        <v>0</v>
      </c>
      <c r="G15" s="23" t="s">
        <v>288</v>
      </c>
      <c r="H15" s="13">
        <f t="shared" si="0"/>
        <v>6441.24</v>
      </c>
      <c r="I15" s="90"/>
    </row>
    <row r="16" spans="1:9" x14ac:dyDescent="0.2">
      <c r="A16" s="1" t="s">
        <v>147</v>
      </c>
      <c r="B16" s="6">
        <v>180</v>
      </c>
      <c r="C16" s="73">
        <f>'DOE25'!F17</f>
        <v>105974.77</v>
      </c>
      <c r="D16" s="73">
        <f>'DOE25'!G17</f>
        <v>0</v>
      </c>
      <c r="E16" s="73">
        <f>'DOE25'!H17</f>
        <v>0</v>
      </c>
      <c r="F16" s="73">
        <f>'DOE25'!I17</f>
        <v>0</v>
      </c>
      <c r="G16" s="73">
        <f>'DOE25'!J17</f>
        <v>0</v>
      </c>
      <c r="H16" s="13">
        <f t="shared" si="0"/>
        <v>105974.77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507740.05</v>
      </c>
      <c r="D18" s="38">
        <f>SUM(D8:D17)</f>
        <v>18010.03</v>
      </c>
      <c r="E18" s="38">
        <f>SUM(E8:E17)</f>
        <v>23888.76</v>
      </c>
      <c r="F18" s="38">
        <f>SUM(F8:F17)</f>
        <v>0</v>
      </c>
      <c r="G18" s="38">
        <f>SUM(G8:G17)</f>
        <v>1004921.0599999999</v>
      </c>
      <c r="H18" s="38">
        <f t="shared" si="0"/>
        <v>1554559.9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35543.74</v>
      </c>
      <c r="D21" s="73">
        <f>'DOE25'!G22</f>
        <v>-54396.22</v>
      </c>
      <c r="E21" s="73">
        <f>'DOE25'!H22</f>
        <v>17383.84</v>
      </c>
      <c r="F21" s="73">
        <f>'DOE25'!I22</f>
        <v>0</v>
      </c>
      <c r="G21" s="73">
        <f>'DOE25'!J22</f>
        <v>0</v>
      </c>
      <c r="H21" s="13">
        <f t="shared" ref="H21:H31" si="1">SUM(C21:G21)</f>
        <v>-1468.6400000000031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169863.95</v>
      </c>
      <c r="D23" s="73">
        <f>'DOE25'!G24</f>
        <v>0</v>
      </c>
      <c r="E23" s="73">
        <f>'DOE25'!H24</f>
        <v>6504.92</v>
      </c>
      <c r="F23" s="73">
        <f>'DOE25'!I24</f>
        <v>0</v>
      </c>
      <c r="G23" s="73">
        <f>'DOE25'!J24</f>
        <v>0</v>
      </c>
      <c r="H23" s="13">
        <f t="shared" si="1"/>
        <v>176368.87000000002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10294.94</v>
      </c>
      <c r="E29" s="73">
        <f>'DOE25'!H30</f>
        <v>0</v>
      </c>
      <c r="F29" s="73">
        <f>'DOE25'!I30</f>
        <v>0</v>
      </c>
      <c r="G29" s="23" t="s">
        <v>288</v>
      </c>
      <c r="H29" s="13">
        <f t="shared" si="1"/>
        <v>10294.94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205407.69</v>
      </c>
      <c r="D31" s="38">
        <f>SUM(D21:D30)</f>
        <v>-44101.279999999999</v>
      </c>
      <c r="E31" s="38">
        <f>SUM(E21:E30)</f>
        <v>23888.760000000002</v>
      </c>
      <c r="F31" s="38">
        <f>SUM(F21:F30)</f>
        <v>0</v>
      </c>
      <c r="G31" s="38">
        <f>SUM(G21:G30)</f>
        <v>0</v>
      </c>
      <c r="H31" s="38">
        <f t="shared" si="1"/>
        <v>185195.17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6441.24</v>
      </c>
      <c r="E34" s="73">
        <f>'DOE25'!H35</f>
        <v>0</v>
      </c>
      <c r="F34" s="73">
        <f>'DOE25'!I35</f>
        <v>0</v>
      </c>
      <c r="G34" s="23" t="s">
        <v>288</v>
      </c>
      <c r="H34" s="13">
        <f t="shared" ref="H34:H51" si="2">SUM(C34:G34)</f>
        <v>6441.24</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400</v>
      </c>
      <c r="E39" s="23" t="s">
        <v>288</v>
      </c>
      <c r="F39" s="23" t="s">
        <v>288</v>
      </c>
      <c r="G39" s="23" t="s">
        <v>288</v>
      </c>
      <c r="H39" s="13">
        <f t="shared" si="2"/>
        <v>400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55270.07</v>
      </c>
      <c r="E42" s="73">
        <f>'DOE25'!H43</f>
        <v>0</v>
      </c>
      <c r="F42" s="73">
        <f>'DOE25'!I43</f>
        <v>0</v>
      </c>
      <c r="G42" s="73">
        <f>'DOE25'!J43</f>
        <v>0</v>
      </c>
      <c r="H42" s="13">
        <f t="shared" si="2"/>
        <v>55270.07</v>
      </c>
      <c r="I42" s="90"/>
    </row>
    <row r="43" spans="1:9" x14ac:dyDescent="0.2">
      <c r="A43" s="1" t="s">
        <v>859</v>
      </c>
      <c r="B43" s="6">
        <v>755</v>
      </c>
      <c r="C43" s="73">
        <f>'DOE25'!F44</f>
        <v>200000</v>
      </c>
      <c r="D43" s="73">
        <f>'DOE25'!G44</f>
        <v>0</v>
      </c>
      <c r="E43" s="73">
        <f>'DOE25'!H44</f>
        <v>0</v>
      </c>
      <c r="F43" s="73">
        <f>'DOE25'!I44</f>
        <v>0</v>
      </c>
      <c r="G43" s="23" t="s">
        <v>288</v>
      </c>
      <c r="H43" s="13">
        <f t="shared" si="2"/>
        <v>200000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1004921.0599999999</v>
      </c>
      <c r="H47" s="13">
        <f t="shared" si="2"/>
        <v>1004921.0599999999</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102332.36</v>
      </c>
      <c r="D49" s="23" t="s">
        <v>288</v>
      </c>
      <c r="E49" s="23" t="s">
        <v>288</v>
      </c>
      <c r="F49" s="23" t="s">
        <v>288</v>
      </c>
      <c r="G49" s="23" t="s">
        <v>288</v>
      </c>
      <c r="H49" s="13">
        <f t="shared" si="2"/>
        <v>102332.36</v>
      </c>
      <c r="I49" s="90"/>
    </row>
    <row r="50" spans="1:9" ht="12.75" thickTop="1" thickBot="1" x14ac:dyDescent="0.25">
      <c r="A50" s="35" t="s">
        <v>880</v>
      </c>
      <c r="B50" s="44"/>
      <c r="C50" s="38">
        <f>SUM(C34:C49)</f>
        <v>302332.36</v>
      </c>
      <c r="D50" s="38">
        <f>SUM(D34:D49)</f>
        <v>62111.31</v>
      </c>
      <c r="E50" s="38">
        <f>SUM(E34:E49)</f>
        <v>0</v>
      </c>
      <c r="F50" s="38">
        <f>SUM(F34:F49)</f>
        <v>0</v>
      </c>
      <c r="G50" s="38">
        <f>SUM(G34:G49)</f>
        <v>1004921.0599999999</v>
      </c>
      <c r="H50" s="38">
        <f t="shared" si="2"/>
        <v>1369364.73</v>
      </c>
      <c r="I50" s="90"/>
    </row>
    <row r="51" spans="1:9" ht="12" thickTop="1" x14ac:dyDescent="0.2">
      <c r="A51" s="35" t="s">
        <v>881</v>
      </c>
      <c r="B51" s="2"/>
      <c r="C51" s="38">
        <f>C50+C31</f>
        <v>507740.05</v>
      </c>
      <c r="D51" s="38">
        <f>D50+D31</f>
        <v>18010.03</v>
      </c>
      <c r="E51" s="38">
        <f>E50+E31</f>
        <v>23888.760000000002</v>
      </c>
      <c r="F51" s="38">
        <f>F50+F31</f>
        <v>0</v>
      </c>
      <c r="G51" s="38">
        <f>G50+G31</f>
        <v>1004921.0599999999</v>
      </c>
      <c r="H51" s="38">
        <f t="shared" si="2"/>
        <v>1554559.9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9199964</v>
      </c>
      <c r="D56" s="73">
        <f>'DOE25'!G60</f>
        <v>0</v>
      </c>
      <c r="E56" s="73">
        <f>'DOE25'!H60</f>
        <v>0</v>
      </c>
      <c r="F56" s="73">
        <f>'DOE25'!I60</f>
        <v>0</v>
      </c>
      <c r="G56" s="73">
        <f>'DOE25'!J60</f>
        <v>0</v>
      </c>
      <c r="H56" s="13">
        <f t="shared" ref="H56:H63" si="3">SUM(C56:G56)</f>
        <v>9199964</v>
      </c>
      <c r="I56"/>
    </row>
    <row r="57" spans="1:9" x14ac:dyDescent="0.2">
      <c r="A57" s="1" t="s">
        <v>164</v>
      </c>
      <c r="B57" s="6" t="s">
        <v>165</v>
      </c>
      <c r="C57" s="73">
        <f>'DOE25'!F79</f>
        <v>10322.780000000001</v>
      </c>
      <c r="D57" s="23" t="s">
        <v>288</v>
      </c>
      <c r="E57" s="73">
        <f>'DOE25'!H79</f>
        <v>0</v>
      </c>
      <c r="F57" s="23" t="s">
        <v>288</v>
      </c>
      <c r="G57" s="23" t="s">
        <v>288</v>
      </c>
      <c r="H57" s="13">
        <f t="shared" si="3"/>
        <v>10322.780000000001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46011.79</v>
      </c>
      <c r="D59" s="73">
        <f>'DOE25'!G96</f>
        <v>0</v>
      </c>
      <c r="E59" s="73">
        <f>'DOE25'!H96</f>
        <v>0</v>
      </c>
      <c r="F59" s="73">
        <f>'DOE25'!I96</f>
        <v>0</v>
      </c>
      <c r="G59" s="73">
        <f>'DOE25'!J96</f>
        <v>31109.38</v>
      </c>
      <c r="H59" s="13">
        <f t="shared" si="3"/>
        <v>77121.17</v>
      </c>
      <c r="I59"/>
    </row>
    <row r="60" spans="1:9" x14ac:dyDescent="0.2">
      <c r="A60" s="1" t="s">
        <v>170</v>
      </c>
      <c r="B60" s="22" t="s">
        <v>171</v>
      </c>
      <c r="C60" s="23" t="s">
        <v>288</v>
      </c>
      <c r="D60" s="73">
        <f>'DOE25'!G97</f>
        <v>136537.18</v>
      </c>
      <c r="E60" s="23" t="s">
        <v>288</v>
      </c>
      <c r="F60" s="23" t="s">
        <v>288</v>
      </c>
      <c r="G60" s="23" t="s">
        <v>288</v>
      </c>
      <c r="H60" s="13">
        <f t="shared" si="3"/>
        <v>136537.18</v>
      </c>
      <c r="I60"/>
    </row>
    <row r="61" spans="1:9" ht="12" thickBot="1" x14ac:dyDescent="0.25">
      <c r="A61" s="1" t="s">
        <v>172</v>
      </c>
      <c r="B61" s="22" t="s">
        <v>173</v>
      </c>
      <c r="C61" s="73">
        <f>SUM('DOE25'!F98:F110)</f>
        <v>2267.96</v>
      </c>
      <c r="D61" s="73">
        <f>SUM('DOE25'!G98:G110)</f>
        <v>0</v>
      </c>
      <c r="E61" s="73">
        <f>SUM('DOE25'!H98:H110)</f>
        <v>0</v>
      </c>
      <c r="F61" s="73">
        <f>SUM('DOE25'!I98:I110)</f>
        <v>0</v>
      </c>
      <c r="G61" s="73">
        <f>SUM('DOE25'!J98:J110)</f>
        <v>0</v>
      </c>
      <c r="H61" s="13">
        <f t="shared" si="3"/>
        <v>2267.96</v>
      </c>
      <c r="I61"/>
    </row>
    <row r="62" spans="1:9" ht="12.75" thickTop="1" thickBot="1" x14ac:dyDescent="0.25">
      <c r="A62" s="28" t="s">
        <v>174</v>
      </c>
      <c r="B62" s="6"/>
      <c r="C62" s="93">
        <f>SUM(C57:C61)</f>
        <v>58602.53</v>
      </c>
      <c r="D62" s="93">
        <f>SUM(D57:D61)</f>
        <v>136537.18</v>
      </c>
      <c r="E62" s="93">
        <f>SUM(E57:E61)</f>
        <v>0</v>
      </c>
      <c r="F62" s="93">
        <f>SUM(F57:F61)</f>
        <v>0</v>
      </c>
      <c r="G62" s="93">
        <f>SUM(G57:G61)</f>
        <v>31109.38</v>
      </c>
      <c r="H62" s="13">
        <f t="shared" si="3"/>
        <v>226249.09</v>
      </c>
      <c r="I62"/>
    </row>
    <row r="63" spans="1:9" ht="12" thickTop="1" x14ac:dyDescent="0.2">
      <c r="A63" s="28" t="s">
        <v>175</v>
      </c>
      <c r="B63" s="6"/>
      <c r="C63" s="21">
        <f>C56+C62</f>
        <v>9258566.5299999993</v>
      </c>
      <c r="D63" s="21">
        <f>D56+D62</f>
        <v>136537.18</v>
      </c>
      <c r="E63" s="21">
        <f>E56+E62</f>
        <v>0</v>
      </c>
      <c r="F63" s="21">
        <f>F56+F62</f>
        <v>0</v>
      </c>
      <c r="G63" s="21">
        <f>G56+G62</f>
        <v>31109.38</v>
      </c>
      <c r="H63" s="13">
        <f t="shared" si="3"/>
        <v>9426213.0899999999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1530677.6</v>
      </c>
      <c r="D66" s="23" t="s">
        <v>288</v>
      </c>
      <c r="E66" s="23" t="s">
        <v>288</v>
      </c>
      <c r="F66" s="23" t="s">
        <v>288</v>
      </c>
      <c r="G66" s="23" t="s">
        <v>288</v>
      </c>
      <c r="H66" s="13">
        <f t="shared" ref="H66:H81" si="4">SUM(C66:G66)</f>
        <v>1530677.6</v>
      </c>
      <c r="I66"/>
    </row>
    <row r="67" spans="1:9" x14ac:dyDescent="0.2">
      <c r="A67" s="1" t="s">
        <v>767</v>
      </c>
      <c r="B67" s="6">
        <v>3112</v>
      </c>
      <c r="C67" s="73">
        <f>'DOE25'!F118</f>
        <v>1004599</v>
      </c>
      <c r="D67" s="23"/>
      <c r="E67" s="23"/>
      <c r="F67" s="23"/>
      <c r="G67" s="23"/>
      <c r="H67" s="13">
        <f t="shared" si="4"/>
        <v>1004599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6111.33</v>
      </c>
      <c r="D69" s="73">
        <f>'DOE25'!G120</f>
        <v>0</v>
      </c>
      <c r="E69" s="73">
        <f>'DOE25'!H120</f>
        <v>0</v>
      </c>
      <c r="F69" s="73">
        <f>'DOE25'!I120</f>
        <v>0</v>
      </c>
      <c r="G69" s="73">
        <f>'DOE25'!J120</f>
        <v>0</v>
      </c>
      <c r="H69" s="13">
        <f t="shared" si="4"/>
        <v>6111.33</v>
      </c>
      <c r="I69"/>
    </row>
    <row r="70" spans="1:9" ht="12" thickTop="1" x14ac:dyDescent="0.2">
      <c r="A70" s="28" t="s">
        <v>252</v>
      </c>
      <c r="B70" s="2"/>
      <c r="C70" s="97">
        <f>SUM(C66:C69)</f>
        <v>2541387.9300000002</v>
      </c>
      <c r="D70" s="97">
        <f>D69</f>
        <v>0</v>
      </c>
      <c r="E70" s="97">
        <f>E69</f>
        <v>0</v>
      </c>
      <c r="F70" s="97">
        <f>F69</f>
        <v>0</v>
      </c>
      <c r="G70" s="97">
        <f>G69</f>
        <v>0</v>
      </c>
      <c r="H70" s="13">
        <f t="shared" si="4"/>
        <v>2541387.9300000002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70861.490000000005</v>
      </c>
      <c r="D75" s="23" t="s">
        <v>288</v>
      </c>
      <c r="E75" s="23" t="s">
        <v>288</v>
      </c>
      <c r="F75" s="23" t="s">
        <v>288</v>
      </c>
      <c r="G75" s="23" t="s">
        <v>288</v>
      </c>
      <c r="H75" s="13">
        <f t="shared" si="4"/>
        <v>70861.490000000005</v>
      </c>
      <c r="I75"/>
    </row>
    <row r="76" spans="1:9" x14ac:dyDescent="0.2">
      <c r="A76" s="1" t="s">
        <v>257</v>
      </c>
      <c r="B76" s="6" t="s">
        <v>179</v>
      </c>
      <c r="C76" s="73">
        <f>SUM('DOE25'!F127:F130)</f>
        <v>0</v>
      </c>
      <c r="D76" s="23" t="s">
        <v>288</v>
      </c>
      <c r="E76" s="73">
        <f>SUM('DOE25'!H127:H130)</f>
        <v>14563.8</v>
      </c>
      <c r="F76" s="73">
        <f>SUM('DOE25'!I127:I130)</f>
        <v>0</v>
      </c>
      <c r="G76" s="23" t="s">
        <v>288</v>
      </c>
      <c r="H76" s="13">
        <f t="shared" si="4"/>
        <v>14563.8</v>
      </c>
      <c r="I76"/>
    </row>
    <row r="77" spans="1:9" ht="12" thickBot="1" x14ac:dyDescent="0.25">
      <c r="A77" s="1" t="s">
        <v>258</v>
      </c>
      <c r="B77" s="6" t="s">
        <v>180</v>
      </c>
      <c r="C77" s="73">
        <f>SUM('DOE25'!F131:F135)</f>
        <v>0</v>
      </c>
      <c r="D77" s="73">
        <f>SUM('DOE25'!G131:G135)</f>
        <v>2690.53</v>
      </c>
      <c r="E77" s="73">
        <f>SUM('DOE25'!H131:H135)</f>
        <v>0</v>
      </c>
      <c r="F77" s="73">
        <f>SUM('DOE25'!I131:I135)</f>
        <v>0</v>
      </c>
      <c r="G77" s="73">
        <f>SUM('DOE25'!J131:J135)</f>
        <v>0</v>
      </c>
      <c r="H77" s="13">
        <f t="shared" si="4"/>
        <v>2690.53</v>
      </c>
      <c r="I77"/>
    </row>
    <row r="78" spans="1:9" ht="12.75" thickTop="1" thickBot="1" x14ac:dyDescent="0.25">
      <c r="A78" s="28" t="s">
        <v>259</v>
      </c>
      <c r="B78" s="6"/>
      <c r="C78" s="93">
        <f>SUM(C72:C77)</f>
        <v>70861.490000000005</v>
      </c>
      <c r="D78" s="93">
        <f>SUM(D72:D77)</f>
        <v>2690.53</v>
      </c>
      <c r="E78" s="93">
        <f>SUM(E72:E77)</f>
        <v>14563.8</v>
      </c>
      <c r="F78" s="93">
        <f>SUM(F72:F77)</f>
        <v>0</v>
      </c>
      <c r="G78" s="93">
        <f>SUM(G72:G77)</f>
        <v>0</v>
      </c>
      <c r="H78" s="13">
        <f t="shared" si="4"/>
        <v>88115.82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2612249.4200000004</v>
      </c>
      <c r="D81" s="93">
        <f>SUM(D79:D80)+D78+D70</f>
        <v>2690.53</v>
      </c>
      <c r="E81" s="93">
        <f>SUM(E79:E80)+E78+E70</f>
        <v>14563.8</v>
      </c>
      <c r="F81" s="93">
        <f>SUM(F79:F80)+F78+F70</f>
        <v>0</v>
      </c>
      <c r="G81" s="93">
        <f>SUM(G79:G80)+G78+G70</f>
        <v>0</v>
      </c>
      <c r="H81" s="93">
        <f t="shared" si="4"/>
        <v>2629503.75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33639.800000000003</v>
      </c>
      <c r="F87" s="73">
        <f>SUM('DOE25'!I149:I152)</f>
        <v>0</v>
      </c>
      <c r="G87" s="23" t="s">
        <v>288</v>
      </c>
      <c r="H87" s="13">
        <f t="shared" si="5"/>
        <v>33639.800000000003</v>
      </c>
    </row>
    <row r="88" spans="1:9" x14ac:dyDescent="0.2">
      <c r="A88" s="216" t="s">
        <v>744</v>
      </c>
      <c r="B88" s="230" t="s">
        <v>184</v>
      </c>
      <c r="C88" s="252">
        <f>SUM('DOE25'!F153:F162)</f>
        <v>78336.73</v>
      </c>
      <c r="D88" s="252">
        <f>SUM('DOE25'!G153:G162)</f>
        <v>59812.22</v>
      </c>
      <c r="E88" s="252">
        <f>SUM('DOE25'!H153:H162)</f>
        <v>301006.48</v>
      </c>
      <c r="F88" s="252">
        <f>SUM('DOE25'!I153:I162)</f>
        <v>0</v>
      </c>
      <c r="G88" s="23" t="s">
        <v>288</v>
      </c>
      <c r="H88" s="13">
        <f t="shared" si="5"/>
        <v>439155.43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78336.73</v>
      </c>
      <c r="D91" s="94">
        <f>SUM(D85:D90)</f>
        <v>59812.22</v>
      </c>
      <c r="E91" s="94">
        <f>SUM(E85:E90)</f>
        <v>334646.27999999997</v>
      </c>
      <c r="F91" s="94">
        <f>SUM(F85:F90)</f>
        <v>0</v>
      </c>
      <c r="G91" s="23" t="s">
        <v>288</v>
      </c>
      <c r="H91" s="13">
        <f t="shared" si="5"/>
        <v>472795.23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50000</v>
      </c>
      <c r="H96" s="13">
        <f t="shared" si="5"/>
        <v>50000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50000</v>
      </c>
      <c r="H103" s="68">
        <f t="shared" si="5"/>
        <v>50000</v>
      </c>
    </row>
    <row r="104" spans="1:8" ht="12.75" thickTop="1" thickBot="1" x14ac:dyDescent="0.25">
      <c r="A104" s="32" t="s">
        <v>758</v>
      </c>
      <c r="C104" s="68">
        <f>C63+C81+C91+C103</f>
        <v>11949152.68</v>
      </c>
      <c r="D104" s="68">
        <f>D63+D81+D91+D103</f>
        <v>199039.93</v>
      </c>
      <c r="E104" s="68">
        <f>E63+E81+E91+E103</f>
        <v>349210.07999999996</v>
      </c>
      <c r="F104" s="68">
        <f>F63+F81+F91+F103</f>
        <v>0</v>
      </c>
      <c r="G104" s="68">
        <f>G63+G81+G103</f>
        <v>81109.38</v>
      </c>
      <c r="H104" s="68">
        <f t="shared" si="5"/>
        <v>12578512.07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6539419.3399999999</v>
      </c>
      <c r="D109" s="23" t="s">
        <v>288</v>
      </c>
      <c r="E109" s="73">
        <f>('DOE25'!L277)+('DOE25'!L296)+('DOE25'!L315)</f>
        <v>78057.33</v>
      </c>
      <c r="F109" s="23" t="s">
        <v>288</v>
      </c>
      <c r="G109" s="23" t="s">
        <v>288</v>
      </c>
      <c r="H109" s="13">
        <f t="shared" ref="H109:H115" si="6">SUM(C109:G109)</f>
        <v>6617476.6699999999</v>
      </c>
    </row>
    <row r="110" spans="1:8" x14ac:dyDescent="0.2">
      <c r="A110" t="s">
        <v>198</v>
      </c>
      <c r="B110" s="31" t="s">
        <v>199</v>
      </c>
      <c r="C110" s="73">
        <f>('DOE25'!L199)+('DOE25'!L217)+('DOE25'!L235)</f>
        <v>1929338.63</v>
      </c>
      <c r="D110" s="23" t="s">
        <v>288</v>
      </c>
      <c r="E110" s="73">
        <f>('DOE25'!L278)+('DOE25'!L297)+('DOE25'!L316)</f>
        <v>117658.99999999999</v>
      </c>
      <c r="F110" s="23" t="s">
        <v>288</v>
      </c>
      <c r="G110" s="23" t="s">
        <v>288</v>
      </c>
      <c r="H110" s="13">
        <f t="shared" si="6"/>
        <v>2046997.63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55473.07</v>
      </c>
      <c r="D112" s="23" t="s">
        <v>288</v>
      </c>
      <c r="E112" s="73">
        <f>+('DOE25'!L280)+('DOE25'!L299)+('DOE25'!L318)</f>
        <v>45982.66</v>
      </c>
      <c r="F112" s="23" t="s">
        <v>288</v>
      </c>
      <c r="G112" s="23" t="s">
        <v>288</v>
      </c>
      <c r="H112" s="13">
        <f t="shared" si="6"/>
        <v>101455.73000000001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8524231.0399999991</v>
      </c>
      <c r="D115" s="68">
        <f>SUM(D109:D114)</f>
        <v>0</v>
      </c>
      <c r="E115" s="68">
        <f>SUM(E109:E114)</f>
        <v>241698.99</v>
      </c>
      <c r="F115" s="68">
        <f>SUM(F109:F114)</f>
        <v>0</v>
      </c>
      <c r="G115" s="68">
        <f>SUM(G109:G114)</f>
        <v>0</v>
      </c>
      <c r="H115" s="68">
        <f t="shared" si="6"/>
        <v>8765930.0299999993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895760.60999999987</v>
      </c>
      <c r="D118" s="23" t="s">
        <v>288</v>
      </c>
      <c r="E118" s="73">
        <f>+('DOE25'!L282)+('DOE25'!L301)+('DOE25'!L320)</f>
        <v>4767.3500000000004</v>
      </c>
      <c r="F118" s="23" t="s">
        <v>288</v>
      </c>
      <c r="G118" s="23" t="s">
        <v>288</v>
      </c>
      <c r="H118" s="13">
        <f t="shared" ref="H118:H145" si="7">SUM(C118:G118)</f>
        <v>900527.95999999985</v>
      </c>
    </row>
    <row r="119" spans="1:8" x14ac:dyDescent="0.2">
      <c r="A119" t="s">
        <v>208</v>
      </c>
      <c r="B119" s="31" t="s">
        <v>209</v>
      </c>
      <c r="C119" s="73">
        <f>('DOE25'!L204)+('DOE25'!L222)+('DOE25'!L240)</f>
        <v>224196.57</v>
      </c>
      <c r="D119" s="23" t="s">
        <v>288</v>
      </c>
      <c r="E119" s="73">
        <f>+('DOE25'!L283)+('DOE25'!L302)+('DOE25'!L321)</f>
        <v>36839.08</v>
      </c>
      <c r="F119" s="23" t="s">
        <v>288</v>
      </c>
      <c r="G119" s="23" t="s">
        <v>288</v>
      </c>
      <c r="H119" s="13">
        <f t="shared" si="7"/>
        <v>261035.65000000002</v>
      </c>
    </row>
    <row r="120" spans="1:8" x14ac:dyDescent="0.2">
      <c r="A120" t="s">
        <v>210</v>
      </c>
      <c r="B120" s="31" t="s">
        <v>211</v>
      </c>
      <c r="C120" s="73">
        <f>('DOE25'!L205)+('DOE25'!L223)+('DOE25'!L241)</f>
        <v>756430.95000000007</v>
      </c>
      <c r="D120" s="23" t="s">
        <v>288</v>
      </c>
      <c r="E120" s="73">
        <f>+('DOE25'!L284)+('DOE25'!L303)+('DOE25'!L322)</f>
        <v>0</v>
      </c>
      <c r="F120" s="23" t="s">
        <v>288</v>
      </c>
      <c r="G120" s="23" t="s">
        <v>288</v>
      </c>
      <c r="H120" s="13">
        <f t="shared" si="7"/>
        <v>756430.95000000007</v>
      </c>
    </row>
    <row r="121" spans="1:8" x14ac:dyDescent="0.2">
      <c r="A121" t="s">
        <v>212</v>
      </c>
      <c r="B121" s="31" t="s">
        <v>213</v>
      </c>
      <c r="C121" s="73">
        <f>('DOE25'!L206)+('DOE25'!L224)+('DOE25'!L242)</f>
        <v>455417.99000000005</v>
      </c>
      <c r="D121" s="23" t="s">
        <v>288</v>
      </c>
      <c r="E121" s="73">
        <f>+('DOE25'!L285)+('DOE25'!L304)+('DOE25'!L323)</f>
        <v>0</v>
      </c>
      <c r="F121" s="23" t="s">
        <v>288</v>
      </c>
      <c r="G121" s="23" t="s">
        <v>288</v>
      </c>
      <c r="H121" s="13">
        <f t="shared" si="7"/>
        <v>455417.99000000005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482195.66000000003</v>
      </c>
      <c r="D123" s="23" t="s">
        <v>288</v>
      </c>
      <c r="E123" s="73">
        <f>+('DOE25'!L287)+('DOE25'!L306)+('DOE25'!L325)</f>
        <v>6110.25</v>
      </c>
      <c r="F123" s="23" t="s">
        <v>288</v>
      </c>
      <c r="G123" s="23" t="s">
        <v>288</v>
      </c>
      <c r="H123" s="13">
        <f t="shared" si="7"/>
        <v>488305.91000000003</v>
      </c>
    </row>
    <row r="124" spans="1:8" x14ac:dyDescent="0.2">
      <c r="A124" t="s">
        <v>218</v>
      </c>
      <c r="B124" s="31" t="s">
        <v>219</v>
      </c>
      <c r="C124" s="73">
        <f>('DOE25'!L209)+('DOE25'!L227)+('DOE25'!L245+'DOE25'!L255)</f>
        <v>735245.79</v>
      </c>
      <c r="D124" s="23" t="s">
        <v>288</v>
      </c>
      <c r="E124" s="73">
        <f>+('DOE25'!L288)+('DOE25'!L307)+('DOE25'!L326)</f>
        <v>57018.409999999996</v>
      </c>
      <c r="F124" s="23" t="s">
        <v>288</v>
      </c>
      <c r="G124" s="23" t="s">
        <v>288</v>
      </c>
      <c r="H124" s="13">
        <f t="shared" si="7"/>
        <v>792264.20000000007</v>
      </c>
    </row>
    <row r="125" spans="1:8" x14ac:dyDescent="0.2">
      <c r="A125" t="s">
        <v>220</v>
      </c>
      <c r="B125" s="31" t="s">
        <v>221</v>
      </c>
      <c r="C125" s="73">
        <f>('DOE25'!L210)+('DOE25'!L228)+('DOE25'!L246)</f>
        <v>0</v>
      </c>
      <c r="D125" s="23" t="s">
        <v>288</v>
      </c>
      <c r="E125" s="73">
        <f>+('DOE25'!L289)+('DOE25'!L308)+('DOE25'!L327)</f>
        <v>2776</v>
      </c>
      <c r="F125" s="23" t="s">
        <v>288</v>
      </c>
      <c r="G125" s="23" t="s">
        <v>288</v>
      </c>
      <c r="H125" s="13">
        <f t="shared" si="7"/>
        <v>2776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194382.9</v>
      </c>
      <c r="E127" s="23" t="s">
        <v>288</v>
      </c>
      <c r="F127" s="23" t="s">
        <v>288</v>
      </c>
      <c r="G127" s="23" t="s">
        <v>288</v>
      </c>
      <c r="H127" s="13">
        <f t="shared" si="7"/>
        <v>194382.9</v>
      </c>
    </row>
    <row r="128" spans="1:8" ht="12.75" thickTop="1" thickBot="1" x14ac:dyDescent="0.25">
      <c r="A128" s="32" t="s">
        <v>226</v>
      </c>
      <c r="C128" s="68">
        <f>SUM(C118:C127)</f>
        <v>3549247.5700000003</v>
      </c>
      <c r="D128" s="68">
        <f>SUM(D118:D127)</f>
        <v>194382.9</v>
      </c>
      <c r="E128" s="68">
        <f>SUM(E118:E127)</f>
        <v>107511.09</v>
      </c>
      <c r="F128" s="68">
        <f>SUM(F118:F127)</f>
        <v>0</v>
      </c>
      <c r="G128" s="68">
        <f>SUM(G118:G127)</f>
        <v>0</v>
      </c>
      <c r="H128" s="68">
        <f t="shared" si="7"/>
        <v>3851141.56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80751.02</v>
      </c>
      <c r="D139" s="23" t="s">
        <v>288</v>
      </c>
      <c r="E139" s="23" t="s">
        <v>288</v>
      </c>
      <c r="F139" s="23" t="s">
        <v>288</v>
      </c>
      <c r="G139" s="23" t="s">
        <v>288</v>
      </c>
      <c r="H139" s="13">
        <f t="shared" si="7"/>
        <v>80751.02</v>
      </c>
    </row>
    <row r="140" spans="1:8" x14ac:dyDescent="0.2">
      <c r="A140" t="s">
        <v>240</v>
      </c>
      <c r="B140" s="31">
        <v>5253</v>
      </c>
      <c r="C140" s="73">
        <f>'DOE25'!L408</f>
        <v>358.36</v>
      </c>
      <c r="D140" s="23" t="s">
        <v>288</v>
      </c>
      <c r="E140" s="23" t="s">
        <v>288</v>
      </c>
      <c r="F140" s="23" t="s">
        <v>288</v>
      </c>
      <c r="G140" s="23" t="s">
        <v>288</v>
      </c>
      <c r="H140" s="13">
        <f t="shared" si="7"/>
        <v>358.36</v>
      </c>
    </row>
    <row r="141" spans="1:8" x14ac:dyDescent="0.2">
      <c r="A141" t="s">
        <v>759</v>
      </c>
      <c r="B141" s="31">
        <v>5254</v>
      </c>
      <c r="C141" s="73">
        <f>('DOE25'!L267+'DOE25'!K348) - (C138+C139+C140)</f>
        <v>-31109.380000000005</v>
      </c>
      <c r="D141" s="23" t="s">
        <v>288</v>
      </c>
      <c r="E141" s="23" t="s">
        <v>288</v>
      </c>
      <c r="F141" s="23" t="s">
        <v>288</v>
      </c>
      <c r="G141" s="23" t="s">
        <v>288</v>
      </c>
      <c r="H141" s="13">
        <f t="shared" si="7"/>
        <v>-31109.380000000005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50000</v>
      </c>
      <c r="D144" s="98">
        <f>SUM(D130:D143)</f>
        <v>0</v>
      </c>
      <c r="E144" s="98">
        <f>SUM(E130:E143)</f>
        <v>0</v>
      </c>
      <c r="F144" s="98">
        <f>SUM(F130:F143)</f>
        <v>0</v>
      </c>
      <c r="G144" s="98">
        <f>SUM(G130:G143)</f>
        <v>0</v>
      </c>
      <c r="H144" s="98">
        <f t="shared" si="7"/>
        <v>50000</v>
      </c>
    </row>
    <row r="145" spans="1:9" ht="12.75" thickTop="1" thickBot="1" x14ac:dyDescent="0.25">
      <c r="A145" s="32" t="s">
        <v>244</v>
      </c>
      <c r="C145" s="68">
        <f>(C115+C128+C144)</f>
        <v>12123478.609999999</v>
      </c>
      <c r="D145" s="68">
        <f>(D115+D128+D144)</f>
        <v>194382.9</v>
      </c>
      <c r="E145" s="68">
        <f>(E115+E128+E144)</f>
        <v>349210.07999999996</v>
      </c>
      <c r="F145" s="68">
        <f>(F115+F128+F144)</f>
        <v>0</v>
      </c>
      <c r="G145" s="68">
        <f>(G115+G128+G144)</f>
        <v>0</v>
      </c>
      <c r="H145" s="68">
        <f t="shared" si="7"/>
        <v>12667071.59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Fremont</v>
      </c>
    </row>
    <row r="3" spans="1:4" x14ac:dyDescent="0.2">
      <c r="B3" s="136" t="s">
        <v>1792</v>
      </c>
    </row>
    <row r="4" spans="1:4" x14ac:dyDescent="0.2">
      <c r="B4" t="s">
        <v>61</v>
      </c>
      <c r="C4" s="128">
        <f>IF('DOE25'!F666+'DOE25'!F671=0,0,ROUND('DOE25'!F673,0))</f>
        <v>20376</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20376</v>
      </c>
    </row>
    <row r="9" spans="1:4" x14ac:dyDescent="0.2">
      <c r="A9" s="135" t="s">
        <v>94</v>
      </c>
      <c r="B9" s="136" t="s">
        <v>1793</v>
      </c>
      <c r="C9" s="130" t="s">
        <v>720</v>
      </c>
      <c r="D9" s="130" t="s">
        <v>721</v>
      </c>
    </row>
    <row r="10" spans="1:4" x14ac:dyDescent="0.2">
      <c r="A10">
        <v>1100</v>
      </c>
      <c r="B10" t="s">
        <v>702</v>
      </c>
      <c r="C10" s="128">
        <f>ROUND('DOE25'!L198+'DOE25'!L216+'DOE25'!L234+'DOE25'!L277+'DOE25'!L296+'DOE25'!L315,0)</f>
        <v>6617477</v>
      </c>
      <c r="D10" s="131">
        <f>ROUND((C10/$C$28)*100,1)</f>
        <v>53</v>
      </c>
    </row>
    <row r="11" spans="1:4" x14ac:dyDescent="0.2">
      <c r="A11">
        <v>1200</v>
      </c>
      <c r="B11" t="s">
        <v>703</v>
      </c>
      <c r="C11" s="128">
        <f>ROUND('DOE25'!L199+'DOE25'!L217+'DOE25'!L235+'DOE25'!L278+'DOE25'!L297+'DOE25'!L316,0)</f>
        <v>2046998</v>
      </c>
      <c r="D11" s="131">
        <f>ROUND((C11/$C$28)*100,1)</f>
        <v>16.399999999999999</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101456</v>
      </c>
      <c r="D13" s="131">
        <f>ROUND((C13/$C$28)*100,1)</f>
        <v>0.8</v>
      </c>
    </row>
    <row r="14" spans="1:4" x14ac:dyDescent="0.2">
      <c r="D14" s="131"/>
    </row>
    <row r="15" spans="1:4" x14ac:dyDescent="0.2">
      <c r="A15">
        <v>2100</v>
      </c>
      <c r="B15" t="s">
        <v>706</v>
      </c>
      <c r="C15" s="128">
        <f>ROUND('DOE25'!L203+'DOE25'!L221+'DOE25'!L239+'DOE25'!L282+'DOE25'!L301+'DOE25'!L320,0)</f>
        <v>900528</v>
      </c>
      <c r="D15" s="131">
        <f t="shared" ref="D15:D27" si="0">ROUND((C15/$C$28)*100,1)</f>
        <v>7.2</v>
      </c>
    </row>
    <row r="16" spans="1:4" x14ac:dyDescent="0.2">
      <c r="A16">
        <v>2200</v>
      </c>
      <c r="B16" t="s">
        <v>707</v>
      </c>
      <c r="C16" s="128">
        <f>ROUND('DOE25'!L204+'DOE25'!L222+'DOE25'!L240+'DOE25'!L283+'DOE25'!L302+'DOE25'!L321,0)</f>
        <v>261036</v>
      </c>
      <c r="D16" s="131">
        <f t="shared" si="0"/>
        <v>2.1</v>
      </c>
    </row>
    <row r="17" spans="1:4" x14ac:dyDescent="0.2">
      <c r="A17" s="132" t="s">
        <v>723</v>
      </c>
      <c r="B17" t="s">
        <v>738</v>
      </c>
      <c r="C17" s="128">
        <f>ROUND('DOE25'!L205+'DOE25'!L210+'DOE25'!L223+'DOE25'!L228+'DOE25'!L241+'DOE25'!L246+'DOE25'!L284+'DOE25'!L289+'DOE25'!L303+'DOE25'!L308+'DOE25'!L322+'DOE25'!L327,0)</f>
        <v>759207</v>
      </c>
      <c r="D17" s="131">
        <f t="shared" si="0"/>
        <v>6.1</v>
      </c>
    </row>
    <row r="18" spans="1:4" x14ac:dyDescent="0.2">
      <c r="A18">
        <v>2400</v>
      </c>
      <c r="B18" t="s">
        <v>711</v>
      </c>
      <c r="C18" s="128">
        <f>ROUND('DOE25'!L206+'DOE25'!L224+'DOE25'!L242+'DOE25'!L285+'DOE25'!L304+'DOE25'!L323,0)</f>
        <v>455418</v>
      </c>
      <c r="D18" s="131">
        <f t="shared" si="0"/>
        <v>3.6</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488306</v>
      </c>
      <c r="D20" s="131">
        <f t="shared" si="0"/>
        <v>3.9</v>
      </c>
    </row>
    <row r="21" spans="1:4" x14ac:dyDescent="0.2">
      <c r="A21">
        <v>2700</v>
      </c>
      <c r="B21" t="s">
        <v>710</v>
      </c>
      <c r="C21" s="128">
        <f>ROUND('DOE25'!L209+'DOE25'!L227+'DOE25'!L245+'DOE25'!L288+'DOE25'!L307+'DOE25'!L326,0)</f>
        <v>792264</v>
      </c>
      <c r="D21" s="131">
        <f t="shared" si="0"/>
        <v>6.3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57845.820000000007</v>
      </c>
      <c r="D27" s="131">
        <f t="shared" si="0"/>
        <v>0.5</v>
      </c>
    </row>
    <row r="28" spans="1:4" x14ac:dyDescent="0.2">
      <c r="B28" s="135" t="s">
        <v>719</v>
      </c>
      <c r="C28" s="129">
        <f>SUM(C10:C27)</f>
        <v>12480535.82</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12480535.82</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9199964</v>
      </c>
      <c r="D35" s="131">
        <f t="shared" ref="D35:D40" si="1">ROUND((C35/$C$41)*100,1)</f>
        <v>74.2</v>
      </c>
    </row>
    <row r="36" spans="1:4" x14ac:dyDescent="0.2">
      <c r="B36" s="71" t="s">
        <v>739</v>
      </c>
      <c r="C36" s="128">
        <f>SUM('DOE25'!F112:J112)-SUM('DOE25'!G97:G110)+('DOE25'!F175+'DOE25'!F176+'DOE25'!I175+'DOE25'!I176)-C35</f>
        <v>89711.910000000149</v>
      </c>
      <c r="D36" s="131">
        <f t="shared" si="1"/>
        <v>0.7</v>
      </c>
    </row>
    <row r="37" spans="1:4" x14ac:dyDescent="0.2">
      <c r="A37" s="132" t="s">
        <v>831</v>
      </c>
      <c r="B37" s="71" t="s">
        <v>728</v>
      </c>
      <c r="C37" s="128">
        <f>ROUND('DOE25'!F117+'DOE25'!F118,0)</f>
        <v>2535277</v>
      </c>
      <c r="D37" s="131">
        <f t="shared" si="1"/>
        <v>20.5</v>
      </c>
    </row>
    <row r="38" spans="1:4" x14ac:dyDescent="0.2">
      <c r="A38" s="132" t="s">
        <v>734</v>
      </c>
      <c r="B38" s="71" t="s">
        <v>729</v>
      </c>
      <c r="C38" s="128">
        <f>ROUND(SUM('DOE25'!F140:J140)-SUM('DOE25'!F117:F119),0)</f>
        <v>94227</v>
      </c>
      <c r="D38" s="131">
        <f t="shared" si="1"/>
        <v>0.8</v>
      </c>
    </row>
    <row r="39" spans="1:4" x14ac:dyDescent="0.2">
      <c r="A39">
        <v>4000</v>
      </c>
      <c r="B39" s="71" t="s">
        <v>730</v>
      </c>
      <c r="C39" s="128">
        <f>ROUND('DOE25'!F170+'DOE25'!G170+'DOE25'!H170+'DOE25'!I170,0)</f>
        <v>472795</v>
      </c>
      <c r="D39" s="131">
        <f t="shared" si="1"/>
        <v>3.8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12391974.91</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Fremont</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78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f>IF('School Level Expenditures'!$B$2=A81,'School Tables'!H81,"")</f>
        <v>78</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2024-09-12T13:59:17Z</dcterms:modified>
</cp:coreProperties>
</file>