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4C1B2506-FAD6-41E4-BBA2-C1D4099C5F33}"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14" l="1"/>
  <c r="O6" i="14"/>
  <c r="O40" i="14"/>
  <c r="O27" i="14"/>
  <c r="G24" i="1" l="1"/>
  <c r="G22" i="1"/>
  <c r="F126" i="1" l="1"/>
  <c r="F120" i="1"/>
  <c r="C20" i="12" l="1"/>
  <c r="C21" i="12"/>
  <c r="C11" i="12"/>
  <c r="B12" i="12"/>
  <c r="F498" i="1" l="1"/>
  <c r="J605" i="1" l="1"/>
  <c r="G320" i="1"/>
  <c r="G296" i="1"/>
  <c r="I234" i="1"/>
  <c r="H159" i="1" l="1"/>
  <c r="H154" i="1"/>
  <c r="H283" i="1"/>
  <c r="G283" i="1"/>
  <c r="F283" i="1"/>
  <c r="I278" i="1"/>
  <c r="H278" i="1"/>
  <c r="G278" i="1"/>
  <c r="F278" i="1"/>
  <c r="H277" i="1"/>
  <c r="G277" i="1"/>
  <c r="G299" i="1"/>
  <c r="I296" i="1"/>
  <c r="I318" i="1"/>
  <c r="H318" i="1"/>
  <c r="F6" i="13"/>
  <c r="F23" i="1" l="1"/>
  <c r="F24" i="1"/>
  <c r="H524" i="1" l="1"/>
  <c r="H527" i="1"/>
  <c r="G527" i="1"/>
  <c r="F527" i="1"/>
  <c r="I527" i="1"/>
  <c r="H522" i="1"/>
  <c r="G522" i="1"/>
  <c r="F522" i="1"/>
  <c r="F614" i="1"/>
  <c r="G613" i="1"/>
  <c r="G612" i="1"/>
  <c r="H612" i="1"/>
  <c r="G441" i="1" l="1"/>
  <c r="F441" i="1"/>
  <c r="K267" i="1"/>
  <c r="J180" i="1"/>
  <c r="H389" i="1"/>
  <c r="J469" i="1"/>
  <c r="G389" i="1"/>
  <c r="H401" i="1" l="1"/>
  <c r="F110"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H111" i="1"/>
  <c r="I111" i="1"/>
  <c r="J111" i="1"/>
  <c r="F121" i="1"/>
  <c r="F136" i="1"/>
  <c r="G121" i="1"/>
  <c r="G136" i="1"/>
  <c r="H121" i="1"/>
  <c r="H136" i="1"/>
  <c r="H140" i="1" s="1"/>
  <c r="I121" i="1"/>
  <c r="I136" i="1"/>
  <c r="J121" i="1"/>
  <c r="J136" i="1"/>
  <c r="J140" i="1" s="1"/>
  <c r="F147" i="1"/>
  <c r="F170" i="1" s="1"/>
  <c r="G147" i="1"/>
  <c r="D85" i="2" s="1"/>
  <c r="H147" i="1"/>
  <c r="H170" i="1" s="1"/>
  <c r="I147" i="1"/>
  <c r="F85" i="2" s="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I170" i="1"/>
  <c r="E112" i="2" l="1"/>
  <c r="E124" i="2"/>
  <c r="E111" i="2"/>
  <c r="G663" i="1"/>
  <c r="F409" i="1"/>
  <c r="H644" i="1" s="1"/>
  <c r="C85" i="2"/>
  <c r="C91" i="2" s="1"/>
  <c r="H135" i="2"/>
  <c r="H22" i="2"/>
  <c r="H477" i="1"/>
  <c r="H625" i="1" s="1"/>
  <c r="E125" i="2"/>
  <c r="C119" i="2"/>
  <c r="C125" i="2"/>
  <c r="H125" i="2" s="1"/>
  <c r="H89" i="2"/>
  <c r="H72" i="2"/>
  <c r="H143" i="2"/>
  <c r="H26" i="2"/>
  <c r="H137" i="2"/>
  <c r="J112" i="1"/>
  <c r="I112" i="1"/>
  <c r="H30" i="2"/>
  <c r="H27" i="2"/>
  <c r="C12" i="10"/>
  <c r="E13" i="13"/>
  <c r="C13" i="13" s="1"/>
  <c r="I409" i="1"/>
  <c r="H34" i="2"/>
  <c r="H13" i="2"/>
  <c r="H9" i="2"/>
  <c r="H47" i="2"/>
  <c r="H28" i="2"/>
  <c r="H24" i="2"/>
  <c r="D144" i="2"/>
  <c r="H100" i="2"/>
  <c r="H79" i="2"/>
  <c r="H73" i="2"/>
  <c r="H36" i="2"/>
  <c r="H97" i="2"/>
  <c r="H61" i="2"/>
  <c r="H102" i="2"/>
  <c r="H99" i="2"/>
  <c r="H15" i="2"/>
  <c r="H11" i="2"/>
  <c r="H132" i="2"/>
  <c r="H43" i="2"/>
  <c r="H48" i="2"/>
  <c r="H87" i="2"/>
  <c r="H35" i="2"/>
  <c r="H69" i="2"/>
  <c r="H29" i="2"/>
  <c r="H25" i="2"/>
  <c r="H17" i="2"/>
  <c r="H8" i="2"/>
  <c r="H59" i="2"/>
  <c r="H94" i="2"/>
  <c r="H101" i="2"/>
  <c r="H98" i="2"/>
  <c r="H76" i="2"/>
  <c r="H58" i="2"/>
  <c r="H113" i="2"/>
  <c r="H38" i="2"/>
  <c r="H44" i="2"/>
  <c r="H112" i="2"/>
  <c r="J652" i="1"/>
  <c r="K36" i="14"/>
  <c r="K37" i="14" s="1"/>
  <c r="D15" i="13"/>
  <c r="C15" i="13" s="1"/>
  <c r="C120" i="2"/>
  <c r="H120" i="2" s="1"/>
  <c r="K2" i="14"/>
  <c r="K3" i="14" s="1"/>
  <c r="C32" i="10"/>
  <c r="G477" i="1"/>
  <c r="G662" i="1"/>
  <c r="D29" i="13"/>
  <c r="C29" i="13" s="1"/>
  <c r="H96" i="2"/>
  <c r="D78" i="2"/>
  <c r="H77" i="2"/>
  <c r="H23" i="2"/>
  <c r="H12" i="2"/>
  <c r="G646" i="1"/>
  <c r="G409" i="1"/>
  <c r="H646" i="1" s="1"/>
  <c r="G6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14" i="2"/>
  <c r="H78" i="2"/>
  <c r="H57" i="2"/>
  <c r="D51" i="2"/>
  <c r="J646" i="1"/>
  <c r="H134" i="2"/>
  <c r="H103" i="2"/>
  <c r="H21" i="2"/>
  <c r="H62" i="2"/>
  <c r="E144" i="2"/>
  <c r="H85" i="2"/>
  <c r="H42" i="2"/>
  <c r="H16" i="2"/>
  <c r="H122" i="2"/>
  <c r="H91" i="2"/>
  <c r="H123" i="2"/>
  <c r="E51" i="2"/>
  <c r="H18" i="2"/>
  <c r="H31" i="2"/>
  <c r="D128" i="2"/>
  <c r="D145" i="2" s="1"/>
  <c r="H127" i="2"/>
  <c r="I662" i="1"/>
  <c r="H50"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<sst xmlns="http://schemas.openxmlformats.org/spreadsheetml/2006/main" count="6642" uniqueCount="1843">
  <si>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</si>
  <si>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</si>
  <si>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</si>
  <si>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</si>
  <si>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</si>
  <si>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</si>
  <si>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</si>
  <si>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</si>
  <si>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</si>
  <si>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</si>
  <si>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</si>
  <si>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</si>
  <si>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</si>
  <si>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</si>
  <si>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</si>
  <si>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</si>
  <si>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</si>
  <si>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</si>
  <si>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</si>
  <si>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</si>
  <si>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</si>
  <si>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</si>
  <si>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</si>
  <si>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</si>
  <si>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</si>
  <si>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</si>
  <si>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</si>
  <si>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</si>
  <si>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</si>
  <si>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</si>
  <si>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</si>
  <si>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</si>
  <si>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</si>
  <si>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</si>
  <si>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</si>
  <si>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</si>
  <si>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</si>
  <si>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</si>
  <si>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</si>
  <si>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</si>
  <si>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</si>
  <si>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</si>
  <si>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</si>
  <si>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</si>
  <si>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</si>
  <si>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</si>
  <si>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</si>
  <si>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</si>
  <si>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</si>
  <si>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</si>
  <si>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</si>
  <si>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</si>
  <si>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</si>
  <si>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</si>
  <si>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</si>
  <si>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</si>
  <si>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</si>
  <si>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</si>
  <si>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</si>
  <si>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</si>
  <si>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</si>
  <si>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</si>
  <si>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</si>
  <si>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</si>
  <si>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</si>
  <si>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</si>
  <si>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</si>
  <si>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</si>
  <si>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</si>
  <si>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</si>
  <si>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</si>
  <si>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</si>
  <si>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</si>
  <si>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</si>
  <si>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</si>
  <si>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</si>
  <si>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</si>
  <si>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</si>
  <si>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</si>
  <si>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</si>
  <si>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</si>
  <si>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</si>
  <si>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</si>
  <si>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</si>
  <si>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</si>
  <si>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</si>
  <si>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</si>
  <si>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</si>
  <si>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</si>
  <si>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</si>
  <si>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</si>
  <si>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</si>
  <si>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</si>
  <si>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</si>
  <si>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</si>
  <si>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</si>
  <si>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</si>
  <si>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</si>
  <si>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</si>
  <si>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</si>
  <si>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</si>
  <si>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</si>
  <si>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</si>
  <si>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</si>
  <si>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</si>
  <si>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</si>
  <si>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</si>
  <si>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</si>
  <si>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</si>
  <si>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</si>
  <si>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</si>
  <si>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</si>
  <si>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</si>
  <si>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</si>
  <si>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</si>
  <si>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</si>
  <si>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</si>
  <si>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</si>
  <si>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</si>
  <si>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</si>
  <si>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</si>
  <si>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</si>
  <si>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</si>
  <si>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</si>
  <si>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</si>
  <si>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</si>
  <si>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</si>
  <si>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</si>
  <si>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</si>
  <si>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</si>
  <si>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</si>
  <si>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</si>
  <si>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</si>
  <si>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</si>
  <si>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</si>
  <si>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</si>
  <si>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</si>
  <si>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</si>
  <si>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</si>
  <si>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</si>
  <si>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</si>
  <si>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</si>
  <si>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</si>
  <si>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</si>
  <si>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</si>
  <si>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</si>
  <si>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</si>
  <si>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</si>
  <si>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</si>
  <si>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</si>
  <si>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</si>
  <si>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</si>
  <si>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</si>
  <si>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</si>
  <si>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</si>
  <si>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</si>
  <si>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</si>
  <si>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</si>
  <si>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</si>
  <si>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</si>
  <si>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</si>
  <si>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</si>
  <si>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</si>
  <si>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</si>
  <si>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</si>
  <si>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</si>
  <si>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</si>
  <si>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</si>
  <si>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</si>
  <si>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</si>
  <si>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</si>
  <si>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</si>
  <si>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</si>
  <si>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</si>
  <si>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</si>
  <si>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</si>
  <si>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</si>
  <si>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</si>
  <si>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</si>
  <si>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</si>
  <si>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</si>
  <si>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</si>
  <si>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</si>
  <si>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</si>
  <si>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</si>
  <si>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</si>
  <si>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</si>
  <si>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</si>
  <si>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</si>
  <si>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</si>
  <si>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</si>
  <si>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</si>
  <si>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</si>
  <si>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</si>
  <si>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</si>
  <si>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</si>
  <si>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</si>
  <si>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</si>
  <si>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</si>
  <si>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</si>
  <si>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</si>
  <si>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</si>
  <si>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</si>
  <si>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</si>
  <si>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</si>
  <si>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</si>
  <si>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</si>
  <si>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</si>
  <si>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</si>
  <si>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</si>
  <si>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</si>
  <si>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</si>
  <si>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</si>
  <si>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</si>
  <si>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</si>
  <si>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</si>
  <si>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</si>
  <si>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</si>
  <si>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</si>
  <si>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</si>
  <si>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</si>
  <si>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</si>
  <si>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</si>
  <si>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</si>
  <si>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</si>
  <si>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</si>
  <si>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</si>
  <si>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</si>
  <si>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</si>
  <si>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</si>
  <si>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</si>
  <si>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</si>
  <si>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</si>
  <si>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</si>
  <si>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</si>
  <si>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</si>
  <si>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</si>
  <si>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</si>
  <si>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</si>
  <si>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</si>
  <si>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</si>
  <si>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</si>
  <si>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</si>
  <si>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</si>
  <si>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</si>
  <si>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</si>
  <si>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</si>
  <si>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</si>
  <si>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</si>
  <si>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</si>
  <si>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</si>
  <si>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</si>
  <si>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</si>
  <si>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</si>
  <si>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</si>
  <si>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</si>
  <si>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</si>
  <si>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</si>
  <si>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</si>
  <si>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</si>
  <si>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</si>
  <si>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</si>
  <si>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</si>
  <si>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</si>
  <si>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</si>
  <si>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</si>
  <si>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</si>
  <si>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</si>
  <si>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</si>
  <si>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</si>
  <si>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</si>
  <si>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</si>
  <si>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</si>
  <si>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</si>
  <si>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</si>
  <si>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</si>
  <si>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</si>
  <si>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</si>
  <si>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</si>
  <si>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</si>
  <si>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</si>
  <si>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</si>
  <si>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</si>
  <si>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</si>
  <si>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</si>
  <si>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</si>
  <si>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</si>
  <si>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</si>
  <si>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</si>
  <si>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</si>
  <si>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</si>
  <si>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</si>
  <si>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</si>
  <si>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</si>
  <si>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</si>
  <si>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</si>
  <si>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</si>
  <si>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</si>
  <si>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</si>
  <si>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</si>
  <si>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</si>
  <si>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</si>
  <si>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</si>
  <si>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</si>
  <si>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</si>
  <si>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</si>
  <si>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</si>
  <si>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</si>
  <si>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</si>
  <si>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</si>
  <si>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</si>
  <si>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</si>
  <si>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</si>
  <si>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</si>
  <si>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</si>
  <si>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</si>
  <si>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</si>
  <si>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</si>
  <si>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</si>
  <si>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</si>
  <si>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</si>
  <si>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</si>
  <si>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</si>
  <si>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</si>
  <si>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</si>
  <si>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</si>
  <si>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</si>
  <si>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</si>
  <si>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</si>
  <si>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</si>
  <si>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</si>
  <si>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</si>
  <si>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</si>
  <si>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</si>
  <si>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</si>
  <si>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</si>
  <si>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</si>
  <si>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</si>
  <si>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</si>
  <si>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</si>
  <si>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</si>
  <si>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</si>
  <si>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</si>
  <si>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</si>
  <si>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</si>
  <si>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</si>
  <si>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</si>
  <si>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</si>
  <si>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</si>
  <si>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</si>
  <si>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</si>
  <si>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</si>
  <si>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</si>
  <si>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</si>
  <si>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</si>
  <si>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</si>
  <si>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</si>
  <si>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</si>
  <si>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</si>
  <si>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</si>
  <si>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</si>
  <si>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</si>
  <si>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</si>
  <si>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</si>
  <si>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</si>
  <si>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</si>
  <si>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</si>
  <si>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</si>
  <si>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</si>
  <si>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</si>
  <si>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</si>
  <si>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</si>
  <si>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</si>
  <si>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</si>
  <si>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</si>
  <si>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</si>
  <si>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</si>
  <si>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</si>
  <si>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</si>
  <si>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</si>
  <si>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</si>
  <si>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</si>
  <si>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</si>
  <si>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</si>
  <si>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</si>
  <si>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</si>
  <si>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</si>
  <si>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</si>
  <si>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</si>
  <si>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</si>
  <si>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</si>
  <si>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</si>
  <si>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</si>
  <si>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</si>
  <si>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</si>
  <si>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</si>
  <si>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</si>
  <si>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</si>
  <si>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</si>
  <si>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</si>
  <si>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</si>
  <si>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</si>
  <si>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</si>
  <si>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</si>
  <si>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</si>
  <si>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</si>
  <si>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</si>
  <si>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</si>
  <si>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</si>
  <si>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</si>
  <si>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</si>
  <si>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</si>
  <si>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</si>
  <si>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</si>
  <si>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</si>
  <si>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</si>
  <si>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</si>
  <si>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</si>
  <si>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</si>
  <si>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</si>
  <si>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</si>
  <si>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</si>
  <si>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</si>
  <si>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</si>
  <si>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</si>
  <si>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</si>
  <si>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</si>
  <si>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</si>
  <si>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</si>
  <si>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</si>
  <si>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</si>
  <si>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</si>
  <si>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</si>
  <si>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</si>
  <si>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</si>
  <si>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</si>
  <si>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</si>
  <si>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</si>
  <si>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</si>
  <si>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</si>
  <si>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</si>
  <si>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</si>
  <si>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</si>
  <si>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</si>
  <si>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</si>
  <si>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</si>
  <si>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</si>
  <si>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</si>
  <si>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</si>
  <si>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</si>
  <si>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</si>
  <si>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</si>
  <si>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</si>
  <si>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</si>
  <si>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</si>
  <si>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</si>
  <si>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</si>
  <si>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</si>
  <si>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</si>
  <si>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</si>
  <si>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</si>
  <si>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</si>
  <si>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</si>
  <si>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</si>
  <si>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</si>
  <si>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</si>
  <si>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</si>
  <si>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</si>
  <si>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</si>
  <si>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</si>
  <si>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</si>
  <si>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</si>
  <si>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</si>
  <si>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</si>
  <si>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</si>
  <si>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</si>
  <si>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</si>
  <si>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</si>
  <si>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</si>
  <si>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</si>
  <si>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</si>
  <si>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</si>
  <si>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</si>
  <si>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</si>
  <si>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</si>
  <si>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</si>
  <si>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</si>
  <si>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</si>
  <si>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</si>
  <si>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</si>
  <si>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</si>
  <si>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</si>
  <si>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</si>
  <si>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</si>
  <si>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</si>
  <si>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</si>
  <si>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</si>
  <si>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</si>
  <si>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</si>
  <si>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</si>
  <si>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</si>
  <si>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</si>
  <si>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</si>
  <si>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</si>
  <si>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</si>
  <si>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</si>
  <si>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</si>
  <si>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</si>
  <si>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</si>
  <si>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</si>
  <si>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</si>
  <si>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</si>
  <si>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</si>
  <si>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</si>
  <si>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</si>
  <si>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</si>
  <si>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</si>
  <si>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</si>
  <si>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</si>
  <si>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</si>
  <si>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</si>
  <si>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</si>
  <si>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</si>
  <si>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</si>
  <si>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</si>
  <si>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</si>
  <si>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</si>
  <si>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</si>
  <si>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</si>
  <si>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</si>
  <si>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</si>
  <si>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</si>
  <si>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</si>
  <si>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</si>
  <si>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</si>
  <si>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</si>
  <si>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</si>
  <si>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</si>
  <si>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</si>
  <si>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</si>
  <si>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</si>
  <si>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</si>
  <si>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</si>
  <si>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</si>
  <si>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</si>
  <si>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</si>
  <si>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</si>
  <si>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</si>
  <si>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</si>
  <si>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</si>
  <si>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</si>
  <si>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</si>
  <si>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</si>
  <si>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</si>
  <si>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</si>
  <si>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</si>
  <si>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</si>
  <si>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</si>
  <si>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</si>
  <si>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</si>
  <si>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</si>
  <si>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</si>
  <si>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</si>
  <si>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</si>
  <si>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</si>
  <si>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</si>
  <si>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</si>
  <si>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</si>
  <si>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</si>
  <si>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</si>
  <si>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</si>
  <si>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</si>
  <si>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</si>
  <si>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</si>
  <si>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</si>
  <si>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</si>
  <si>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</si>
  <si>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</si>
  <si>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</si>
  <si>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</si>
  <si>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</si>
  <si>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</si>
  <si>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</si>
  <si>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</si>
  <si>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</si>
  <si>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</si>
  <si>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</si>
  <si>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</si>
  <si>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</si>
  <si>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</si>
  <si>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</si>
  <si>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</si>
  <si>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</si>
  <si>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</si>
  <si>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</si>
  <si>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</si>
  <si>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</si>
  <si>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</si>
  <si>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</si>
  <si>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</si>
  <si>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</si>
  <si>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</si>
  <si>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</si>
  <si>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</si>
  <si>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</si>
  <si>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</si>
  <si>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</si>
  <si>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</si>
  <si>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</si>
  <si>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</si>
  <si>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</si>
  <si>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</si>
  <si>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</si>
  <si>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</si>
  <si>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</si>
  <si>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</si>
  <si>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</si>
  <si>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</si>
  <si>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</si>
  <si>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</si>
  <si>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</si>
  <si>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</si>
  <si>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</si>
  <si>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</si>
  <si>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</si>
  <si>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</si>
  <si>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</si>
  <si>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</si>
  <si>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</si>
  <si>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</si>
  <si>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</si>
  <si>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</si>
  <si>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</si>
  <si>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</si>
  <si>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</si>
  <si>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</si>
  <si>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</si>
  <si>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</si>
  <si>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</si>
  <si>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</si>
  <si>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</si>
  <si>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</si>
  <si>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</si>
  <si>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</si>
  <si>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</si>
  <si>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</si>
  <si>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</si>
  <si>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</si>
  <si>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</si>
  <si>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</si>
  <si>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</si>
  <si>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</si>
  <si>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</si>
  <si>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</si>
  <si>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</si>
  <si>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</si>
  <si>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</si>
  <si>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</si>
  <si>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</si>
  <si>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</si>
  <si>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</si>
  <si>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</si>
  <si>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</si>
  <si>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</si>
  <si>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</si>
  <si>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</si>
  <si>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</si>
  <si>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</si>
  <si>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</si>
  <si>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</si>
  <si>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</si>
  <si>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</si>
  <si>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</si>
  <si>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</si>
  <si>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</si>
  <si>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</si>
  <si>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</si>
  <si>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</si>
  <si>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</si>
  <si>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</si>
  <si>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</si>
  <si>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</si>
  <si>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</si>
  <si>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</si>
  <si>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</si>
  <si>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</si>
  <si>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</si>
  <si>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</si>
  <si>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</si>
  <si>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</si>
  <si>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</si>
  <si>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</si>
  <si>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</si>
  <si>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</si>
  <si>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</si>
  <si>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</si>
  <si>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</si>
  <si>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</si>
  <si>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</si>
  <si>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</si>
  <si>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</si>
  <si>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</si>
  <si>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</si>
  <si>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</si>
  <si>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</si>
  <si>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</si>
  <si>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</si>
  <si>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</si>
  <si>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</si>
  <si>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</si>
  <si>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</si>
  <si>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</si>
  <si>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</si>
  <si>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</si>
  <si>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</si>
  <si>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</si>
  <si>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</si>
  <si>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</si>
  <si>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</si>
  <si>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</si>
  <si>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</si>
  <si>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</si>
  <si>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</si>
  <si>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</si>
  <si>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</si>
  <si>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</si>
  <si>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</si>
  <si>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</si>
  <si>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</si>
  <si>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</si>
  <si>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</si>
  <si>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</si>
  <si>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</si>
  <si>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</si>
  <si>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</si>
  <si>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</si>
  <si>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</si>
  <si>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</si>
  <si>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</si>
  <si>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</si>
  <si>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</si>
  <si>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</si>
  <si>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</si>
  <si>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</si>
  <si>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</si>
  <si>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</si>
  <si>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</si>
  <si>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</si>
  <si>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</si>
  <si>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</si>
  <si>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</si>
  <si>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</si>
  <si>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</si>
  <si>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</si>
  <si>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</si>
  <si>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</si>
  <si>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</si>
  <si>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</si>
  <si>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</si>
  <si>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</si>
  <si>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</si>
  <si>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</si>
  <si>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</si>
  <si>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</si>
  <si>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</si>
  <si>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</si>
  <si>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</si>
  <si>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</si>
  <si>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</si>
  <si>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</si>
  <si>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</si>
  <si>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</si>
  <si>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</si>
  <si>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</si>
  <si>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</si>
  <si>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</si>
  <si>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</si>
  <si>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</si>
  <si>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</si>
  <si>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</si>
  <si>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</si>
  <si>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</si>
  <si>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</si>
  <si>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</si>
  <si>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</si>
  <si>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</si>
  <si>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</si>
  <si>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</si>
  <si>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</si>
  <si>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</si>
  <si>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</si>
  <si>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</si>
  <si>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</si>
  <si>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</si>
  <si>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</si>
  <si>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</si>
  <si>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</si>
  <si>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</si>
  <si>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</si>
  <si>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</si>
  <si>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</si>
  <si>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</si>
  <si>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</si>
  <si>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</si>
  <si>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</si>
  <si>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</si>
  <si>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</si>
  <si>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</si>
  <si>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</si>
  <si>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</si>
  <si>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</si>
  <si>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</si>
  <si>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</si>
  <si>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</si>
  <si>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</si>
  <si>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</si>
  <si>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</si>
  <si>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</si>
  <si>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</si>
  <si>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</si>
  <si>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</si>
  <si>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</si>
  <si>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</si>
  <si>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</si>
  <si>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</si>
  <si>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</si>
  <si>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</si>
  <si>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</si>
  <si>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</si>
  <si>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</si>
  <si>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</si>
  <si>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</si>
  <si>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</si>
  <si>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</si>
  <si>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</si>
  <si>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</si>
  <si>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</si>
  <si>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</si>
  <si>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</si>
  <si>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</si>
  <si>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</si>
  <si>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</si>
  <si>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</si>
  <si>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</si>
  <si>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</si>
  <si>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</si>
  <si>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</si>
  <si>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</si>
  <si>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</si>
  <si>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</si>
  <si>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</si>
  <si>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</si>
  <si>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</si>
  <si>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</si>
  <si>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</si>
  <si>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</si>
  <si>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</si>
  <si>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</si>
  <si>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</si>
  <si>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</si>
  <si>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</si>
  <si>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</si>
  <si>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</si>
  <si>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</si>
  <si>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</si>
  <si>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</si>
  <si>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</si>
  <si>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</si>
  <si>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</si>
  <si>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</si>
  <si>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</si>
  <si>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</si>
  <si>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</si>
  <si>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</si>
  <si>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</si>
  <si>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</si>
  <si>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</si>
  <si>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</si>
  <si>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</si>
  <si>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</si>
  <si>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</si>
  <si>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</si>
  <si>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</si>
  <si>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</si>
  <si>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</si>
  <si>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</si>
  <si>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</si>
  <si>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</si>
  <si>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</si>
  <si>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</si>
  <si>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</si>
  <si>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</si>
  <si>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</si>
  <si>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</si>
  <si>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</si>
  <si>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</si>
  <si>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</si>
  <si>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</si>
  <si>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</si>
  <si>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</si>
  <si>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</si>
  <si>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</si>
  <si>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</si>
  <si>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</si>
  <si>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</si>
  <si>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</si>
  <si>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</si>
  <si>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</si>
  <si>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</si>
  <si>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</si>
  <si>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</si>
  <si>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</si>
  <si>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</si>
  <si>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</si>
  <si>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</si>
  <si>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</si>
  <si>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</si>
  <si>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</si>
  <si>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</si>
  <si>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</si>
  <si>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</si>
  <si>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</si>
  <si>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</si>
  <si>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</si>
  <si>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</si>
  <si>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</si>
  <si>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</si>
  <si>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</si>
  <si>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</si>
  <si>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</si>
  <si>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</si>
  <si>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</si>
  <si>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</si>
  <si>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</si>
  <si>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</si>
  <si>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</si>
  <si>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</si>
  <si>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</si>
  <si>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</si>
  <si>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</si>
  <si>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</si>
  <si>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</si>
  <si>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</si>
  <si>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</si>
  <si>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</si>
  <si>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</si>
  <si>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</si>
  <si>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</si>
  <si>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</si>
  <si>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</si>
  <si>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</si>
  <si>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</si>
  <si>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</si>
  <si>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</si>
  <si>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</si>
  <si>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</si>
  <si>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</si>
  <si>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</si>
  <si>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</si>
  <si>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</si>
  <si>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</si>
  <si>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</si>
  <si>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</si>
  <si>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</si>
  <si>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</si>
  <si>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</si>
  <si>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</si>
  <si>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</si>
  <si>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</si>
  <si>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</si>
  <si>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</si>
  <si>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</si>
  <si>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</si>
  <si>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</si>
  <si>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</si>
  <si>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</si>
  <si>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</si>
  <si>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</si>
  <si>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</si>
  <si>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</si>
  <si>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</si>
  <si>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</si>
  <si>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</si>
  <si>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</si>
  <si>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</si>
  <si>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</si>
  <si>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</si>
  <si>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</si>
  <si>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</si>
  <si>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</si>
  <si>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</si>
  <si>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</si>
  <si>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</si>
  <si>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</si>
  <si>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</si>
  <si>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</si>
  <si>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</si>
  <si>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</si>
  <si>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</si>
  <si>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</si>
  <si>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</si>
  <si>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</si>
  <si>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</si>
  <si>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</si>
  <si>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</si>
  <si>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</si>
  <si>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</si>
  <si>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</si>
  <si>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</si>
  <si>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</si>
  <si>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</si>
  <si>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</si>
  <si>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</si>
  <si>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</si>
  <si>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</si>
  <si>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</si>
  <si>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</si>
  <si>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</si>
  <si>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</si>
  <si>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</si>
  <si>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</si>
  <si>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</si>
  <si>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</si>
  <si>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</si>
  <si>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</si>
  <si>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</si>
  <si>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</si>
  <si>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</si>
  <si>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</si>
  <si>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</si>
  <si>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</si>
  <si>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</si>
  <si>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</si>
  <si>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</si>
  <si>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</si>
  <si>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</si>
  <si>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</si>
  <si>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</si>
  <si>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</si>
  <si>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</si>
  <si>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</si>
  <si>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</si>
  <si>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</si>
  <si>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</si>
  <si>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</si>
  <si>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</si>
  <si>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</si>
  <si>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</si>
  <si>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</si>
  <si>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</si>
  <si>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</si>
  <si>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</si>
  <si>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</si>
  <si>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</si>
  <si>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</si>
  <si>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</si>
  <si>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</si>
  <si>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</si>
  <si>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</si>
  <si>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</si>
  <si>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</si>
  <si>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</si>
  <si>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</si>
  <si>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</si>
  <si>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</si>
  <si>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</si>
  <si>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</si>
  <si>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</si>
  <si>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</si>
  <si>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</si>
  <si>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</si>
  <si>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</si>
  <si>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</si>
  <si>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</si>
  <si>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</si>
  <si>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</si>
  <si>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</si>
  <si>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</si>
  <si>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</si>
  <si>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</si>
  <si>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</si>
  <si>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</si>
  <si>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</si>
  <si>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</si>
  <si>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</si>
  <si>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</si>
  <si>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</si>
  <si>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</si>
  <si>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</si>
  <si>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</si>
  <si>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</si>
  <si>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</si>
  <si>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</si>
  <si>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</si>
  <si>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</si>
  <si>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</si>
  <si>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</si>
  <si>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</si>
  <si>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</si>
  <si>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</si>
  <si>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</si>
  <si>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</si>
  <si>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</si>
  <si>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</si>
  <si>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</si>
  <si>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</si>
  <si>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</si>
  <si>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</si>
  <si>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</si>
  <si>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</si>
  <si>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</si>
  <si>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</si>
  <si>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</si>
  <si>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</si>
  <si>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</si>
  <si>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</si>
  <si>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</si>
  <si>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</si>
  <si>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</si>
  <si>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</si>
  <si>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</si>
  <si>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</si>
  <si>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</si>
  <si>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</si>
  <si>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</si>
  <si>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</si>
  <si>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</si>
  <si>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</si>
  <si>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</si>
  <si>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</si>
  <si>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</si>
  <si>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</si>
  <si>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</si>
  <si>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</si>
  <si>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</si>
  <si>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</si>
  <si>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</si>
  <si>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</si>
  <si>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</si>
  <si>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</si>
  <si>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</si>
  <si>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</si>
  <si>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</si>
  <si>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</si>
  <si>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</si>
  <si>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</si>
  <si>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</si>
  <si>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</si>
  <si>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</si>
  <si>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</si>
  <si>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</si>
  <si>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</si>
  <si>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</si>
  <si>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</si>
  <si>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</si>
  <si>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</si>
  <si>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</si>
  <si>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</si>
  <si>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</si>
  <si>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</si>
  <si>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</si>
  <si>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</si>
  <si>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</si>
  <si>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</si>
  <si>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</si>
  <si>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</si>
  <si>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</si>
  <si>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</si>
  <si>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</si>
  <si>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</si>
  <si>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</si>
  <si>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</si>
  <si>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</si>
  <si>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</si>
  <si>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</si>
  <si>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</si>
  <si>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</si>
  <si>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</si>
  <si>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</si>
  <si>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</si>
  <si>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</si>
  <si>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</si>
  <si>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</si>
  <si>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</si>
  <si>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</si>
  <si>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</si>
  <si>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</si>
  <si>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</si>
  <si>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</si>
  <si>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</si>
  <si>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</si>
  <si>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</si>
  <si>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</si>
  <si>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</si>
  <si>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</si>
  <si>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</si>
  <si>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</si>
  <si>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</si>
  <si>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</si>
  <si>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</si>
  <si>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</si>
  <si>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</si>
  <si>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</si>
  <si>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</si>
  <si>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</si>
  <si>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</si>
  <si>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</si>
  <si>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</si>
  <si>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</si>
  <si>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</si>
  <si>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</si>
  <si>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</si>
  <si>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</si>
  <si>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</si>
  <si>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</si>
  <si>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</si>
  <si>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</si>
  <si>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</si>
  <si>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</si>
  <si>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</si>
  <si>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</si>
  <si>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</si>
  <si>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</si>
  <si>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</si>
  <si>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</si>
  <si>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</si>
  <si>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</si>
  <si>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</si>
  <si>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</si>
  <si>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</si>
  <si>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</si>
  <si>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</si>
  <si>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</si>
  <si>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</si>
  <si>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</si>
  <si>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</si>
  <si>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</si>
  <si>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</si>
  <si>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</si>
  <si>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</si>
  <si>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</si>
  <si>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</si>
  <si>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</si>
  <si>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</si>
  <si>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</si>
  <si>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</si>
  <si>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</si>
  <si>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</si>
  <si>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</si>
  <si>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</si>
  <si>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</si>
  <si>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</si>
  <si>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</si>
  <si>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</si>
  <si>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</si>
  <si>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</si>
  <si>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</si>
  <si>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</si>
  <si>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</si>
  <si>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</si>
  <si>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</si>
  <si>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</si>
  <si>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</si>
  <si>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</si>
  <si>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</si>
  <si>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</si>
  <si>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</si>
  <si>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</si>
  <si>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</si>
  <si>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</si>
  <si>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</si>
  <si>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</si>
  <si>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</si>
  <si>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</si>
  <si>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</si>
  <si>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</si>
  <si>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</si>
  <si>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</si>
  <si>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</si>
  <si>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</si>
  <si>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</si>
  <si>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</si>
  <si>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</si>
  <si>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</si>
  <si>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</si>
  <si>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</si>
  <si>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</si>
  <si>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</si>
  <si>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</si>
  <si>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</si>
  <si>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</si>
  <si>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</si>
  <si>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</si>
  <si>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</si>
  <si>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</si>
  <si>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</si>
  <si>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</si>
  <si>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</si>
  <si>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</si>
  <si>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</si>
  <si>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</si>
  <si>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</si>
  <si>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</si>
  <si>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</si>
  <si>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</si>
  <si>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</si>
  <si>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</si>
  <si>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</si>
  <si>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</si>
  <si>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</si>
  <si>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</si>
  <si>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</si>
  <si>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</si>
  <si>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</si>
  <si>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</si>
  <si>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</si>
  <si>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</si>
  <si>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</si>
  <si>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</si>
  <si>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</si>
  <si>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</si>
  <si>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</si>
  <si>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</si>
  <si>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</si>
  <si>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</si>
  <si>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</si>
  <si>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</si>
  <si>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</si>
  <si>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</si>
  <si>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</si>
  <si>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</si>
  <si>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</si>
  <si>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</si>
  <si>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</si>
  <si>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</si>
  <si>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</si>
  <si>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</si>
  <si>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</si>
  <si>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</si>
  <si>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</si>
  <si>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</si>
  <si>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</si>
  <si>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</si>
  <si>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</si>
  <si>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</si>
  <si>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</si>
  <si>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</si>
  <si>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</si>
  <si>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</si>
  <si>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</si>
  <si>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</si>
  <si>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</si>
  <si>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</si>
  <si>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</si>
  <si>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</si>
  <si>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</si>
  <si>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</si>
  <si>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</si>
  <si>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</si>
  <si>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</si>
  <si>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</si>
  <si>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</si>
  <si>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</si>
  <si>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</si>
  <si>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</si>
  <si>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</si>
  <si>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</si>
  <si>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</si>
  <si>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</si>
  <si>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</si>
  <si>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</si>
  <si>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</si>
  <si>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</si>
  <si>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</si>
  <si>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</si>
  <si>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</si>
  <si>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</si>
  <si>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</si>
  <si>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</si>
  <si>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</si>
  <si>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</si>
  <si>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</si>
  <si>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</si>
  <si>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</si>
  <si>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</si>
  <si>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</si>
  <si>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</si>
  <si>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</si>
  <si>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</si>
  <si>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</si>
  <si>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</si>
  <si>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</si>
  <si>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</si>
  <si>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</si>
  <si>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</si>
  <si>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</si>
  <si>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</si>
  <si>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</si>
  <si>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</si>
  <si>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</si>
  <si>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</si>
  <si>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</si>
  <si>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</si>
  <si>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</si>
  <si>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</si>
  <si>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</si>
  <si>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</si>
  <si>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</si>
  <si>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</si>
  <si>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</si>
  <si>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</si>
  <si>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</si>
  <si>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</si>
  <si>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</si>
  <si>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</si>
  <si>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</si>
  <si>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</si>
  <si>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</si>
  <si>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</si>
  <si>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</si>
  <si>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</si>
  <si>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</si>
  <si>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</si>
  <si>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</si>
  <si>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</si>
  <si>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</si>
  <si>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</si>
  <si>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</si>
  <si>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</si>
  <si>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</si>
  <si>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</si>
  <si>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</si>
  <si>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</si>
  <si>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</si>
  <si>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</si>
  <si>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</si>
  <si>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</si>
  <si>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</si>
  <si>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</si>
  <si>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</si>
  <si>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</si>
  <si>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</si>
  <si>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</si>
  <si>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</si>
  <si>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</si>
  <si>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</si>
  <si>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</si>
  <si>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</si>
  <si>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</si>
  <si>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</si>
  <si>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</si>
  <si>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</si>
  <si>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</si>
  <si>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</si>
  <si>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</si>
  <si>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</si>
  <si>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</si>
  <si>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</si>
  <si>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</si>
  <si>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</si>
  <si>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</si>
  <si>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</si>
  <si>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</si>
  <si>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</si>
  <si>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</si>
  <si>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</si>
  <si>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</si>
  <si>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</si>
  <si>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</si>
  <si>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</si>
  <si>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</si>
  <si>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</si>
  <si>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</si>
  <si>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</si>
  <si>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</si>
  <si>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</si>
  <si>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</si>
  <si>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</si>
  <si>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</si>
  <si>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</si>
  <si>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</si>
  <si>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</si>
  <si>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</si>
  <si>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</si>
  <si>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</si>
  <si>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</si>
  <si>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</si>
  <si>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</si>
  <si>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</si>
  <si>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</si>
  <si>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</si>
  <si>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</si>
  <si>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</si>
  <si>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</si>
  <si>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</si>
  <si>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</si>
  <si>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</si>
  <si>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</si>
  <si>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</si>
  <si>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</si>
  <si>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</si>
  <si>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</si>
  <si>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</si>
  <si>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</si>
  <si>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</si>
  <si>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</si>
  <si>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</si>
  <si>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</si>
  <si>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</si>
  <si>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</si>
  <si>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</si>
  <si>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</si>
  <si>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</si>
  <si>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</si>
  <si>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</si>
  <si>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</si>
  <si>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</si>
  <si>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</si>
  <si>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</si>
  <si>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</si>
  <si>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</si>
  <si>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</si>
  <si>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</si>
  <si>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</si>
  <si>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</si>
  <si>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</si>
  <si>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</si>
  <si>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</si>
  <si>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</si>
  <si>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</si>
  <si>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</si>
  <si>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</si>
  <si>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</si>
  <si>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</si>
  <si>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</si>
  <si>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</si>
  <si>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</si>
  <si>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</si>
  <si>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</si>
  <si>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</si>
  <si>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</si>
  <si>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</si>
  <si>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</si>
  <si>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</si>
  <si>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</si>
  <si>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</si>
  <si>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</si>
  <si>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</si>
  <si>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</si>
  <si>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</si>
  <si>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</si>
  <si>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</si>
  <si>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</si>
  <si>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</si>
  <si>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</si>
  <si>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</si>
  <si>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</si>
  <si>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</si>
  <si>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</si>
  <si>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</si>
  <si>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</si>
  <si>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</si>
  <si>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</si>
  <si>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</si>
  <si>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</si>
  <si>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</si>
  <si>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</si>
  <si>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</si>
  <si>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</si>
  <si>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</si>
  <si>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</si>
  <si>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</si>
  <si>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</si>
  <si>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</si>
  <si>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</si>
  <si>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</si>
  <si>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</si>
  <si>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</si>
  <si>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</si>
  <si>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</si>
  <si>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</si>
  <si>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</si>
  <si>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</si>
  <si>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</si>
  <si>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</si>
  <si>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</si>
  <si>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</si>
  <si>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</si>
  <si>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</si>
  <si>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</si>
  <si>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</si>
  <si>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</si>
  <si>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</si>
  <si>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</si>
  <si>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</si>
  <si>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</si>
  <si>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</si>
  <si>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</si>
  <si>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</si>
  <si>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</si>
  <si>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</si>
  <si>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</si>
  <si>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</si>
  <si>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</si>
  <si>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</si>
  <si>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</si>
  <si>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</si>
  <si>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</si>
  <si>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</si>
  <si>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</si>
  <si>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</si>
  <si>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</si>
  <si>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</si>
  <si>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</si>
  <si>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</si>
  <si>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</si>
  <si>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</si>
  <si>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</si>
  <si>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</si>
  <si>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</si>
  <si>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</si>
  <si>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</si>
  <si>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</si>
  <si>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</si>
  <si>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</si>
  <si>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</si>
  <si>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</si>
  <si>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</si>
  <si>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</si>
  <si>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</si>
  <si>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</si>
  <si>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</si>
  <si>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</si>
  <si>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</si>
  <si>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</si>
  <si>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</si>
  <si>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</si>
  <si>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</si>
  <si>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</si>
  <si>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</si>
  <si>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</si>
  <si>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</si>
  <si>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</si>
  <si>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</si>
  <si>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</si>
  <si>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</si>
  <si>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</si>
  <si>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</si>
  <si>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</si>
  <si>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</si>
  <si>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</si>
  <si>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</si>
  <si>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</si>
  <si>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</si>
  <si>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</si>
  <si>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</si>
  <si>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</si>
  <si>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</si>
  <si>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</si>
  <si>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</si>
  <si>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</si>
  <si>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</si>
  <si>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</si>
  <si>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</si>
  <si>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</si>
  <si>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</si>
  <si>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</si>
  <si>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</si>
  <si>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</si>
  <si>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</si>
  <si>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</si>
  <si>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</si>
  <si>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</si>
  <si>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</si>
  <si>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</si>
  <si>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</si>
  <si>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</si>
  <si>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</si>
  <si>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</si>
  <si>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</si>
  <si>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</si>
  <si>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</si>
  <si>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</si>
  <si>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</si>
  <si>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</si>
  <si>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</si>
  <si>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</si>
  <si>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</si>
  <si>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</si>
  <si>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</si>
  <si>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</si>
  <si>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</si>
  <si>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</si>
  <si>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</si>
  <si>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</si>
  <si>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</si>
  <si>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</si>
  <si>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</si>
  <si>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</si>
  <si>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</si>
  <si>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</si>
  <si>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</si>
  <si>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</si>
  <si>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</si>
  <si>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</si>
  <si>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</si>
  <si>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</si>
  <si>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</si>
  <si>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</si>
  <si>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</si>
  <si>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</si>
  <si>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</si>
  <si>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</si>
  <si>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</si>
  <si>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</si>
  <si>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</si>
  <si>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</si>
  <si>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</si>
  <si>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</si>
  <si>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</si>
  <si>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</si>
  <si>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</si>
  <si>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</si>
  <si>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</si>
  <si>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</si>
  <si>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</si>
  <si>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</si>
  <si>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</si>
  <si>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</si>
  <si>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</si>
  <si>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</si>
  <si>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</si>
  <si>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</si>
  <si>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</si>
  <si>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</si>
  <si>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</si>
  <si>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</si>
  <si>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</si>
  <si>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</si>
  <si>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</si>
  <si>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</si>
  <si>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</si>
  <si>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</si>
  <si>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</si>
  <si>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</si>
  <si>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</si>
  <si>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</si>
  <si>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</si>
  <si>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</si>
  <si>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</si>
  <si>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</si>
  <si>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</si>
  <si>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</si>
  <si>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</si>
  <si>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</si>
  <si>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</si>
  <si>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</si>
  <si>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</si>
  <si>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</si>
  <si>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</si>
  <si>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</si>
  <si>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</si>
  <si>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</si>
  <si>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</si>
  <si>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</si>
  <si>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</si>
  <si>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</si>
  <si>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</si>
  <si>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</si>
  <si>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</si>
  <si>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</si>
  <si>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</si>
  <si>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</si>
  <si>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</si>
  <si>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</si>
  <si>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</si>
  <si>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</si>
  <si>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</si>
  <si>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</si>
  <si>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</si>
  <si>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</si>
  <si>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</si>
  <si>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</si>
  <si>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</si>
  <si>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</si>
  <si>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</si>
  <si>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</si>
  <si>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</si>
  <si>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</si>
  <si>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</si>
  <si>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</si>
  <si>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</si>
  <si>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</si>
  <si>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</si>
  <si>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</si>
  <si>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</si>
  <si>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</si>
  <si>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</si>
  <si>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</si>
  <si>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</si>
  <si>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</si>
  <si>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</si>
  <si>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</si>
  <si>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</si>
  <si>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</si>
  <si>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</si>
  <si>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</si>
  <si>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</si>
  <si>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</si>
  <si>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</si>
  <si>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</si>
  <si>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</si>
  <si>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</si>
  <si>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</si>
  <si>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</si>
  <si>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</si>
  <si>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</si>
  <si>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</si>
  <si>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</si>
  <si>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</si>
  <si>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</si>
  <si>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</si>
  <si>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</si>
  <si>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</si>
  <si>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</si>
  <si>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</si>
  <si>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</si>
  <si>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</si>
  <si>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</si>
  <si>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</si>
  <si>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</si>
  <si>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</si>
  <si>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</si>
  <si>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</si>
  <si>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</si>
  <si>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</si>
  <si>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</si>
  <si>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</si>
  <si>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</si>
  <si>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</si>
  <si>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03/2024</t>
  </si>
  <si>
    <t>06/2024</t>
  </si>
  <si>
    <t xml:space="preserve">Corrections made during audit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</si>
</sst>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120" zoomScaleNormal="12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1056</v>
      </c>
      <c r="B2">
        <f>INDEX('School Tables'!$AH$3:$AH$213,MATCH('DOE25'!A2,'School Tables'!$AJ$3:$AJ$213,0))</f>
        <v>203</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397218.29</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1469461.58</v>
      </c>
      <c r="G10" s="18"/>
      <c r="H10" s="18"/>
      <c r="I10" s="18"/>
      <c r="J10" s="13">
        <f>SUM(I441)</f>
        <v>1238163.1500000001</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200661</v>
      </c>
      <c r="K12" s="23" t="s">
        <v>288</v>
      </c>
      <c r="L12" s="23" t="s">
        <v>288</v>
      </c>
      <c r="M12" s="8"/>
      <c r="N12" s="164"/>
    </row>
    <row r="13" spans="1:14" s="3" customFormat="1" ht="12.2" customHeight="1" x14ac:dyDescent="0.15">
      <c r="A13" s="1" t="s">
        <v>604</v>
      </c>
      <c r="B13" s="2" t="s">
        <v>289</v>
      </c>
      <c r="C13" s="6">
        <v>5</v>
      </c>
      <c r="D13" s="2" t="s">
        <v>428</v>
      </c>
      <c r="E13" s="6">
        <v>140</v>
      </c>
      <c r="F13" s="18">
        <v>62541.84</v>
      </c>
      <c r="G13" s="18">
        <v>30174.67</v>
      </c>
      <c r="H13" s="18">
        <v>74019.37</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2249.4699999999998</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1931471.1800000002</v>
      </c>
      <c r="G19" s="38">
        <f>SUM(G9:G18)</f>
        <v>30174.67</v>
      </c>
      <c r="H19" s="38">
        <f>SUM(H9:H18)</f>
        <v>74019.37</v>
      </c>
      <c r="I19" s="38">
        <f>SUM(I9:I18)</f>
        <v>0</v>
      </c>
      <c r="J19" s="38">
        <f>SUM(J9:J18)</f>
        <v>1438824.1500000001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52483.22</v>
      </c>
      <c r="G22" s="18">
        <f>-54842.09</f>
        <v>-54842.09</v>
      </c>
      <c r="H22" s="18">
        <v>79180.39</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f>6329.16+81191.56</f>
        <v>87520.72</v>
      </c>
      <c r="G23" s="18"/>
      <c r="H23" s="18">
        <v>-5161.0200000000004</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299198.9-9199.66</f>
        <v>289999.24000000005</v>
      </c>
      <c r="G24" s="18">
        <f>24667.42-8329.38</f>
        <v>16338.039999999999</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430003.18000000005</v>
      </c>
      <c r="G32" s="38">
        <f>SUM(G22:G31)</f>
        <v>-38504.049999999996</v>
      </c>
      <c r="H32" s="38">
        <f>SUM(H22:H31)</f>
        <v>74019.37</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23570.16</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68678.720000000001</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296338.40000000002</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1415253.99</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1205129.6000000001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1501468</v>
      </c>
      <c r="G51" s="38">
        <f>SUM(G35:G50)</f>
        <v>68678.720000000001</v>
      </c>
      <c r="H51" s="38">
        <f>SUM(H35:H50)</f>
        <v>0</v>
      </c>
      <c r="I51" s="38">
        <f>SUM(I35:I50)</f>
        <v>0</v>
      </c>
      <c r="J51" s="38">
        <f>SUM(J35:J50)</f>
        <v>1438824.15</v>
      </c>
      <c r="K51" s="42" t="s">
        <v>288</v>
      </c>
      <c r="L51" s="42" t="s">
        <v>288</v>
      </c>
      <c r="N51" s="130"/>
    </row>
    <row r="52" spans="1:14" s="3" customFormat="1" ht="12.2" customHeight="1" thickTop="1" x14ac:dyDescent="0.15">
      <c r="A52" s="35" t="s">
        <v>455</v>
      </c>
      <c r="B52" s="36" t="s">
        <v>289</v>
      </c>
      <c r="C52" s="6">
        <v>37</v>
      </c>
      <c r="D52" s="36" t="s">
        <v>653</v>
      </c>
      <c r="E52" s="36"/>
      <c r="F52" s="38">
        <f>F51+F32</f>
        <v>1931471.1800000002</v>
      </c>
      <c r="G52" s="38">
        <f>G51+G32</f>
        <v>30174.670000000006</v>
      </c>
      <c r="H52" s="38">
        <f>H51+H32</f>
        <v>74019.37</v>
      </c>
      <c r="I52" s="38">
        <f>I51+I32</f>
        <v>0</v>
      </c>
      <c r="J52" s="38">
        <f>J51+J32</f>
        <v>1438824.15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5957429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5957429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212163.7</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212163.7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143129.60999999999</v>
      </c>
      <c r="G96" s="18"/>
      <c r="H96" s="18"/>
      <c r="I96" s="18"/>
      <c r="J96" s="18">
        <v>57826.8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102952.33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23712.54</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7552.57+182000</f>
        <v>189552.57</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356394.72</v>
      </c>
      <c r="G111" s="38">
        <f>SUM(G96:G110)</f>
        <v>102952.33</v>
      </c>
      <c r="H111" s="38">
        <f>SUM(H96:H110)</f>
        <v>0</v>
      </c>
      <c r="I111" s="38">
        <f>SUM(I96:I110)</f>
        <v>0</v>
      </c>
      <c r="J111" s="38">
        <f>SUM(J96:J110)</f>
        <v>57826.8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6525987.4199999999</v>
      </c>
      <c r="G112" s="38">
        <f>G60+G111</f>
        <v>102952.33</v>
      </c>
      <c r="H112" s="38">
        <f>H60+H79+H94+H111</f>
        <v>0</v>
      </c>
      <c r="I112" s="38">
        <f>I60+I111</f>
        <v>0</v>
      </c>
      <c r="J112" s="38">
        <f>J60+J111</f>
        <v>57826.8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2171743.61</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596688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13360.61+328.18</f>
        <v>13688.79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2782120.4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f>470450.38-328.18</f>
        <v>470122.2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4076.8</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2449.29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474199</v>
      </c>
      <c r="G136" s="38">
        <f>SUM(G123:G135)</f>
        <v>2449.29</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3256319.4</v>
      </c>
      <c r="G140" s="38">
        <f>G121+SUM(G136:G137)</f>
        <v>2449.29</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118524.18</f>
        <v>118524.18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47022.97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61956.33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59578.69</f>
        <v>59578.69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30951.51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61956.33</v>
      </c>
      <c r="H163" s="38">
        <f>SUM(H150:H162)</f>
        <v>256077.35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31183.439999999999</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31183.439999999999</v>
      </c>
      <c r="G170" s="38">
        <f>G147+G163+SUM(G164:G169)</f>
        <v>61956.33</v>
      </c>
      <c r="H170" s="38">
        <f>H147+H163+SUM(H164:H169)</f>
        <v>256077.35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167814.01</v>
      </c>
      <c r="H180" s="18"/>
      <c r="I180" s="18"/>
      <c r="J180" s="18">
        <f>150000+20000+30661</f>
        <v>200661</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167814.01</v>
      </c>
      <c r="H184" s="38">
        <f>SUM(H180:H183)</f>
        <v>0</v>
      </c>
      <c r="I184" s="38">
        <f>SUM(I180:I183)</f>
        <v>0</v>
      </c>
      <c r="J184" s="38">
        <f>SUM(J180:J183)</f>
        <v>200661</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167814.01</v>
      </c>
      <c r="H193" s="38">
        <f>+H184+SUM(H189:H192)</f>
        <v>0</v>
      </c>
      <c r="I193" s="38">
        <f>I178+I184+SUM(I189:I192)</f>
        <v>0</v>
      </c>
      <c r="J193" s="38">
        <f>J184</f>
        <v>200661</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9813490.2599999998</v>
      </c>
      <c r="G194" s="38">
        <f>G112+G140+G170+G193</f>
        <v>335171.96000000002</v>
      </c>
      <c r="H194" s="38">
        <f>H112+H140+H170+H193</f>
        <v>256077.35</v>
      </c>
      <c r="I194" s="38">
        <f>I112+I140+I170+I193</f>
        <v>0</v>
      </c>
      <c r="J194" s="38">
        <f>J112+J140+J193</f>
        <v>258487.8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777126.73</v>
      </c>
      <c r="G198" s="18">
        <v>374339.87000000005</v>
      </c>
      <c r="H198" s="18">
        <v>2590.65</v>
      </c>
      <c r="I198" s="18">
        <v>62099.26</v>
      </c>
      <c r="J198" s="18">
        <v>3360.78</v>
      </c>
      <c r="K198" s="18">
        <v>3807</v>
      </c>
      <c r="L198" s="13">
        <f>SUM(F198:K198)</f>
        <v>1223324.29</v>
      </c>
      <c r="M198" s="8"/>
      <c r="N198" s="164"/>
    </row>
    <row r="199" spans="1:14" s="3" customFormat="1" ht="12.2" customHeight="1" x14ac:dyDescent="0.15">
      <c r="A199" s="1" t="s">
        <v>439</v>
      </c>
      <c r="B199" s="2" t="s">
        <v>341</v>
      </c>
      <c r="C199" s="2" t="s">
        <v>291</v>
      </c>
      <c r="D199" s="2" t="s">
        <v>431</v>
      </c>
      <c r="E199" s="6">
        <v>1200</v>
      </c>
      <c r="F199" s="18">
        <v>348393.38</v>
      </c>
      <c r="G199" s="18">
        <v>161236.90000000002</v>
      </c>
      <c r="H199" s="18">
        <v>426077.14</v>
      </c>
      <c r="I199" s="18">
        <v>6260.1</v>
      </c>
      <c r="J199" s="18">
        <v>436.5</v>
      </c>
      <c r="K199" s="18"/>
      <c r="L199" s="13">
        <f>SUM(F199:K199)</f>
        <v>942404.02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10406.09</v>
      </c>
      <c r="G201" s="18">
        <v>2048.9399999999996</v>
      </c>
      <c r="H201" s="18">
        <v>16107.1</v>
      </c>
      <c r="I201" s="18">
        <v>0</v>
      </c>
      <c r="J201" s="18">
        <v>0</v>
      </c>
      <c r="K201" s="18">
        <v>0</v>
      </c>
      <c r="L201" s="13">
        <f>SUM(F201:K201)</f>
        <v>28562.129999999997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213144.42</v>
      </c>
      <c r="G203" s="18">
        <v>121424.07999999999</v>
      </c>
      <c r="H203" s="18">
        <v>71456.61</v>
      </c>
      <c r="I203" s="18">
        <v>4469.09</v>
      </c>
      <c r="J203" s="18">
        <v>746.15</v>
      </c>
      <c r="K203" s="18">
        <v>179</v>
      </c>
      <c r="L203" s="13">
        <f t="shared" ref="L203:L209" si="0">SUM(F203:K203)</f>
        <v>411419.35000000003</v>
      </c>
      <c r="M203" s="8"/>
      <c r="N203" s="164"/>
    </row>
    <row r="204" spans="1:14" s="3" customFormat="1" ht="12.2" customHeight="1" x14ac:dyDescent="0.15">
      <c r="A204" s="1" t="s">
        <v>443</v>
      </c>
      <c r="B204" s="2" t="s">
        <v>341</v>
      </c>
      <c r="C204" s="2" t="s">
        <v>295</v>
      </c>
      <c r="D204" s="2" t="s">
        <v>431</v>
      </c>
      <c r="E204" s="6">
        <v>2200</v>
      </c>
      <c r="F204" s="18">
        <v>50759.94</v>
      </c>
      <c r="G204" s="18">
        <v>25951.360000000001</v>
      </c>
      <c r="H204" s="18">
        <v>4295.07</v>
      </c>
      <c r="I204" s="18">
        <v>42292.5</v>
      </c>
      <c r="J204" s="18">
        <v>30200</v>
      </c>
      <c r="K204" s="18"/>
      <c r="L204" s="13">
        <f t="shared" si="0"/>
        <v>153498.87</v>
      </c>
      <c r="M204" s="8"/>
      <c r="N204" s="164"/>
    </row>
    <row r="205" spans="1:14" s="3" customFormat="1" ht="12.2" customHeight="1" x14ac:dyDescent="0.15">
      <c r="A205" s="1" t="s">
        <v>444</v>
      </c>
      <c r="B205" s="2" t="s">
        <v>341</v>
      </c>
      <c r="C205" s="2" t="s">
        <v>296</v>
      </c>
      <c r="D205" s="2" t="s">
        <v>431</v>
      </c>
      <c r="E205" s="6">
        <v>2300</v>
      </c>
      <c r="F205" s="18">
        <v>5915.995492715906</v>
      </c>
      <c r="G205" s="18">
        <v>444.95767230971472</v>
      </c>
      <c r="H205" s="18">
        <v>262791.36406433611</v>
      </c>
      <c r="I205" s="18">
        <v>698.35521369355831</v>
      </c>
      <c r="J205" s="18">
        <v>0</v>
      </c>
      <c r="K205" s="18">
        <v>2160.21</v>
      </c>
      <c r="L205" s="13">
        <f t="shared" si="0"/>
        <v>272010.88244305534</v>
      </c>
      <c r="M205" s="8"/>
      <c r="N205" s="164"/>
    </row>
    <row r="206" spans="1:14" s="3" customFormat="1" ht="12.2" customHeight="1" x14ac:dyDescent="0.15">
      <c r="A206" s="1" t="s">
        <v>445</v>
      </c>
      <c r="B206" s="2" t="s">
        <v>341</v>
      </c>
      <c r="C206" s="2" t="s">
        <v>297</v>
      </c>
      <c r="D206" s="2" t="s">
        <v>431</v>
      </c>
      <c r="E206" s="6">
        <v>2400</v>
      </c>
      <c r="F206" s="18">
        <v>111733.51</v>
      </c>
      <c r="G206" s="18">
        <v>66136.040000000008</v>
      </c>
      <c r="H206" s="18">
        <v>8112.28</v>
      </c>
      <c r="I206" s="18">
        <v>2790.8</v>
      </c>
      <c r="J206" s="18">
        <v>0</v>
      </c>
      <c r="K206" s="18">
        <v>4639.68</v>
      </c>
      <c r="L206" s="13">
        <f t="shared" si="0"/>
        <v>193412.30999999997</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89239.73000000001</v>
      </c>
      <c r="G208" s="18">
        <v>45022.92</v>
      </c>
      <c r="H208" s="18">
        <v>47970.83</v>
      </c>
      <c r="I208" s="18">
        <v>82951</v>
      </c>
      <c r="J208" s="18">
        <v>11834.81</v>
      </c>
      <c r="K208" s="18">
        <v>0</v>
      </c>
      <c r="L208" s="13">
        <f t="shared" si="0"/>
        <v>277019.29000000004</v>
      </c>
      <c r="M208" s="8"/>
      <c r="N208" s="164"/>
    </row>
    <row r="209" spans="1:14" s="3" customFormat="1" ht="12.2" customHeight="1" x14ac:dyDescent="0.15">
      <c r="A209" s="1" t="s">
        <v>448</v>
      </c>
      <c r="B209" s="2" t="s">
        <v>341</v>
      </c>
      <c r="C209" s="2" t="s">
        <v>300</v>
      </c>
      <c r="D209" s="2" t="s">
        <v>431</v>
      </c>
      <c r="E209" s="6">
        <v>2700</v>
      </c>
      <c r="F209" s="18">
        <v>38669.360000000001</v>
      </c>
      <c r="G209" s="18">
        <v>11619.439999999999</v>
      </c>
      <c r="H209" s="18">
        <v>10642.19</v>
      </c>
      <c r="I209" s="18">
        <v>8826.5600000000013</v>
      </c>
      <c r="J209" s="18">
        <v>47000</v>
      </c>
      <c r="K209" s="18">
        <v>494.4</v>
      </c>
      <c r="L209" s="13">
        <f t="shared" si="0"/>
        <v>117251.95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1645389.1554927158</v>
      </c>
      <c r="G212" s="38">
        <f t="shared" si="1"/>
        <v>808224.50767230964</v>
      </c>
      <c r="H212" s="38">
        <f t="shared" si="1"/>
        <v>850043.23406433605</v>
      </c>
      <c r="I212" s="38">
        <f t="shared" si="1"/>
        <v>210387.66521369357</v>
      </c>
      <c r="J212" s="38">
        <f t="shared" si="1"/>
        <v>93578.239999999991</v>
      </c>
      <c r="K212" s="38">
        <f t="shared" si="1"/>
        <v>11280.289999999999</v>
      </c>
      <c r="L212" s="38">
        <f t="shared" si="1"/>
        <v>3618903.0924430559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417137.33</v>
      </c>
      <c r="G216" s="18">
        <v>192642.1</v>
      </c>
      <c r="H216" s="18">
        <v>2519.27</v>
      </c>
      <c r="I216" s="18">
        <v>19845.349999999999</v>
      </c>
      <c r="J216" s="18">
        <v>4752.1400000000003</v>
      </c>
      <c r="K216" s="18">
        <v>690</v>
      </c>
      <c r="L216" s="13">
        <f>SUM(F216:K216)</f>
        <v>637586.19000000006</v>
      </c>
      <c r="M216" s="8"/>
      <c r="N216" s="164"/>
    </row>
    <row r="217" spans="1:14" s="3" customFormat="1" ht="12.2" customHeight="1" x14ac:dyDescent="0.15">
      <c r="A217" s="1" t="s">
        <v>439</v>
      </c>
      <c r="B217" s="2" t="s">
        <v>346</v>
      </c>
      <c r="C217" s="2" t="s">
        <v>291</v>
      </c>
      <c r="D217" s="2" t="s">
        <v>431</v>
      </c>
      <c r="E217" s="6">
        <v>1200</v>
      </c>
      <c r="F217" s="18">
        <v>132233.19999999998</v>
      </c>
      <c r="G217" s="18">
        <v>60663.37000000001</v>
      </c>
      <c r="H217" s="18">
        <v>5130.01</v>
      </c>
      <c r="I217" s="18">
        <v>4214.5199999999995</v>
      </c>
      <c r="J217" s="18"/>
      <c r="K217" s="18">
        <v>0</v>
      </c>
      <c r="L217" s="13">
        <f>SUM(F217:K217)</f>
        <v>202241.1</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32815.93</v>
      </c>
      <c r="G219" s="18">
        <v>6254.8499999999995</v>
      </c>
      <c r="H219" s="18">
        <v>2445</v>
      </c>
      <c r="I219" s="18">
        <v>3706.81</v>
      </c>
      <c r="J219" s="18">
        <v>0</v>
      </c>
      <c r="K219" s="18">
        <v>13600</v>
      </c>
      <c r="L219" s="13">
        <f>SUM(F219:K219)</f>
        <v>58822.59</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134731.97999999998</v>
      </c>
      <c r="G221" s="18">
        <v>83405.149999999994</v>
      </c>
      <c r="H221" s="18">
        <v>21058.03</v>
      </c>
      <c r="I221" s="18">
        <v>1812.55</v>
      </c>
      <c r="J221" s="18">
        <v>161.66999999999999</v>
      </c>
      <c r="K221" s="18">
        <v>179</v>
      </c>
      <c r="L221" s="13">
        <f t="shared" ref="L221:L227" si="2">SUM(F221:K221)</f>
        <v>241348.37999999998</v>
      </c>
      <c r="M221" s="8"/>
      <c r="N221" s="164"/>
    </row>
    <row r="222" spans="1:14" s="3" customFormat="1" ht="12.2" customHeight="1" x14ac:dyDescent="0.15">
      <c r="A222" s="1" t="s">
        <v>443</v>
      </c>
      <c r="B222" s="2" t="s">
        <v>346</v>
      </c>
      <c r="C222" s="2" t="s">
        <v>295</v>
      </c>
      <c r="D222" s="2" t="s">
        <v>431</v>
      </c>
      <c r="E222" s="6">
        <v>2200</v>
      </c>
      <c r="F222" s="18">
        <v>36587.619999999995</v>
      </c>
      <c r="G222" s="18">
        <v>15846.890000000001</v>
      </c>
      <c r="H222" s="18">
        <v>3037.4900000000002</v>
      </c>
      <c r="I222" s="18">
        <v>16612.670000000002</v>
      </c>
      <c r="J222" s="18">
        <v>7261.2300000000005</v>
      </c>
      <c r="K222" s="18">
        <v>0</v>
      </c>
      <c r="L222" s="13">
        <f t="shared" si="2"/>
        <v>79345.899999999994</v>
      </c>
      <c r="M222" s="8"/>
      <c r="N222" s="164"/>
    </row>
    <row r="223" spans="1:14" s="3" customFormat="1" ht="12.2" customHeight="1" x14ac:dyDescent="0.15">
      <c r="A223" s="1" t="s">
        <v>444</v>
      </c>
      <c r="B223" s="2" t="s">
        <v>346</v>
      </c>
      <c r="C223" s="2" t="s">
        <v>296</v>
      </c>
      <c r="D223" s="2" t="s">
        <v>431</v>
      </c>
      <c r="E223" s="6">
        <v>2300</v>
      </c>
      <c r="F223" s="18">
        <v>3434.0668848764517</v>
      </c>
      <c r="G223" s="18">
        <v>258.28525554691061</v>
      </c>
      <c r="H223" s="18">
        <v>135242.33736672657</v>
      </c>
      <c r="I223" s="18">
        <v>405.37531108308963</v>
      </c>
      <c r="J223" s="18">
        <v>0</v>
      </c>
      <c r="K223" s="18">
        <v>1253.94</v>
      </c>
      <c r="L223" s="13">
        <f t="shared" si="2"/>
        <v>140594.00481823305</v>
      </c>
      <c r="M223" s="8"/>
      <c r="N223" s="164"/>
    </row>
    <row r="224" spans="1:14" s="3" customFormat="1" ht="12.2" customHeight="1" x14ac:dyDescent="0.15">
      <c r="A224" s="1" t="s">
        <v>445</v>
      </c>
      <c r="B224" s="2" t="s">
        <v>346</v>
      </c>
      <c r="C224" s="2" t="s">
        <v>297</v>
      </c>
      <c r="D224" s="2" t="s">
        <v>431</v>
      </c>
      <c r="E224" s="6">
        <v>2400</v>
      </c>
      <c r="F224" s="18">
        <v>78624.75</v>
      </c>
      <c r="G224" s="18">
        <v>32459.320000000003</v>
      </c>
      <c r="H224" s="18">
        <v>9418.51</v>
      </c>
      <c r="I224" s="18">
        <v>1619.09</v>
      </c>
      <c r="J224" s="18">
        <v>545.46</v>
      </c>
      <c r="K224" s="18">
        <v>3857.81</v>
      </c>
      <c r="L224" s="13">
        <f t="shared" si="2"/>
        <v>126524.94</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55360.65</v>
      </c>
      <c r="G226" s="18">
        <v>29599.17</v>
      </c>
      <c r="H226" s="18">
        <v>27882.43</v>
      </c>
      <c r="I226" s="18">
        <v>56727.41</v>
      </c>
      <c r="J226" s="18">
        <v>23204.39</v>
      </c>
      <c r="K226" s="18">
        <v>0</v>
      </c>
      <c r="L226" s="13">
        <f t="shared" si="2"/>
        <v>192774.05</v>
      </c>
      <c r="M226" s="8"/>
      <c r="N226" s="164"/>
    </row>
    <row r="227" spans="1:14" s="3" customFormat="1" ht="12.2" customHeight="1" x14ac:dyDescent="0.15">
      <c r="A227" s="1" t="s">
        <v>448</v>
      </c>
      <c r="B227" s="2" t="s">
        <v>346</v>
      </c>
      <c r="C227" s="2" t="s">
        <v>300</v>
      </c>
      <c r="D227" s="2" t="s">
        <v>431</v>
      </c>
      <c r="E227" s="6">
        <v>2700</v>
      </c>
      <c r="F227" s="18">
        <v>26520.350000000002</v>
      </c>
      <c r="G227" s="18">
        <v>7801.88</v>
      </c>
      <c r="H227" s="18">
        <v>6679.74</v>
      </c>
      <c r="I227" s="18">
        <v>6809.83</v>
      </c>
      <c r="J227" s="18">
        <v>28200</v>
      </c>
      <c r="K227" s="18">
        <v>309</v>
      </c>
      <c r="L227" s="13">
        <f t="shared" si="2"/>
        <v>76320.800000000003</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917445.87688487652</v>
      </c>
      <c r="G230" s="38">
        <f>SUM(G216:G229)</f>
        <v>428931.01525554695</v>
      </c>
      <c r="H230" s="38">
        <f>SUM(H216:H229)</f>
        <v>213412.81736672655</v>
      </c>
      <c r="I230" s="38">
        <f>SUM(I216:I229)</f>
        <v>111753.6053110831</v>
      </c>
      <c r="J230" s="38">
        <f>SUM(J216:J229)</f>
        <v>64124.89</v>
      </c>
      <c r="K230" s="38">
        <f t="shared" si="3"/>
        <v>19889.75</v>
      </c>
      <c r="L230" s="38">
        <f t="shared" si="3"/>
        <v>1755557.9548182329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869695.15</v>
      </c>
      <c r="G234" s="18">
        <v>422929.95</v>
      </c>
      <c r="H234" s="18">
        <v>6058.66</v>
      </c>
      <c r="I234" s="18">
        <f>54748.41+438.92</f>
        <v>55187.33</v>
      </c>
      <c r="J234" s="18">
        <v>8981.51</v>
      </c>
      <c r="K234" s="18">
        <v>4248.82</v>
      </c>
      <c r="L234" s="13">
        <f>SUM(F234:K234)</f>
        <v>1367101.4200000002</v>
      </c>
      <c r="M234" s="8"/>
      <c r="N234" s="164"/>
    </row>
    <row r="235" spans="1:14" s="3" customFormat="1" ht="12.2" customHeight="1" x14ac:dyDescent="0.15">
      <c r="A235" s="1" t="s">
        <v>439</v>
      </c>
      <c r="B235" s="2" t="s">
        <v>350</v>
      </c>
      <c r="C235" s="2" t="s">
        <v>291</v>
      </c>
      <c r="D235" s="2" t="s">
        <v>431</v>
      </c>
      <c r="E235" s="6">
        <v>1200</v>
      </c>
      <c r="F235" s="18">
        <v>263290.64</v>
      </c>
      <c r="G235" s="18">
        <v>109807.05000000002</v>
      </c>
      <c r="H235" s="18">
        <v>334939.90999999997</v>
      </c>
      <c r="I235" s="18">
        <v>6082.5300000000007</v>
      </c>
      <c r="J235" s="18">
        <v>34.96</v>
      </c>
      <c r="K235" s="18">
        <v>0</v>
      </c>
      <c r="L235" s="13">
        <f>SUM(F235:K235)</f>
        <v>714155.09000000008</v>
      </c>
      <c r="M235" s="8"/>
      <c r="N235" s="164"/>
    </row>
    <row r="236" spans="1:14" s="3" customFormat="1" ht="12.2" customHeight="1" x14ac:dyDescent="0.15">
      <c r="A236" s="1" t="s">
        <v>440</v>
      </c>
      <c r="B236" s="2" t="s">
        <v>350</v>
      </c>
      <c r="C236" s="2" t="s">
        <v>292</v>
      </c>
      <c r="D236" s="2" t="s">
        <v>431</v>
      </c>
      <c r="E236" s="6">
        <v>1300</v>
      </c>
      <c r="F236" s="18"/>
      <c r="G236" s="18"/>
      <c r="H236" s="18">
        <v>53703.07</v>
      </c>
      <c r="I236" s="18"/>
      <c r="J236" s="18"/>
      <c r="K236" s="18"/>
      <c r="L236" s="13">
        <f>SUM(F236:K236)</f>
        <v>53703.07</v>
      </c>
      <c r="M236" s="8"/>
      <c r="N236" s="164"/>
    </row>
    <row r="237" spans="1:14" s="3" customFormat="1" ht="12.2" customHeight="1" x14ac:dyDescent="0.15">
      <c r="A237" s="1" t="s">
        <v>441</v>
      </c>
      <c r="B237" s="2" t="s">
        <v>350</v>
      </c>
      <c r="C237" s="2" t="s">
        <v>293</v>
      </c>
      <c r="D237" s="2" t="s">
        <v>431</v>
      </c>
      <c r="E237" s="6">
        <v>1400</v>
      </c>
      <c r="F237" s="18">
        <v>93331.98000000001</v>
      </c>
      <c r="G237" s="18">
        <v>14831.76</v>
      </c>
      <c r="H237" s="18">
        <v>20042.04</v>
      </c>
      <c r="I237" s="18">
        <v>19427.989999999998</v>
      </c>
      <c r="J237" s="18">
        <v>0</v>
      </c>
      <c r="K237" s="18">
        <v>6258.4</v>
      </c>
      <c r="L237" s="13">
        <f>SUM(F237:K237)</f>
        <v>153892.16999999998</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116211.12999999999</v>
      </c>
      <c r="G239" s="18">
        <v>77717.12000000001</v>
      </c>
      <c r="H239" s="18">
        <v>31994.659999999996</v>
      </c>
      <c r="I239" s="18">
        <v>2208.36</v>
      </c>
      <c r="J239" s="18">
        <v>909.91</v>
      </c>
      <c r="K239" s="18">
        <v>119</v>
      </c>
      <c r="L239" s="13">
        <f t="shared" ref="L239:L245" si="4">SUM(F239:K239)</f>
        <v>229160.18</v>
      </c>
      <c r="M239" s="8"/>
      <c r="N239" s="164"/>
    </row>
    <row r="240" spans="1:14" s="3" customFormat="1" ht="12.2" customHeight="1" x14ac:dyDescent="0.15">
      <c r="A240" s="1" t="s">
        <v>443</v>
      </c>
      <c r="B240" s="2" t="s">
        <v>350</v>
      </c>
      <c r="C240" s="2" t="s">
        <v>295</v>
      </c>
      <c r="D240" s="2" t="s">
        <v>431</v>
      </c>
      <c r="E240" s="6">
        <v>2200</v>
      </c>
      <c r="F240" s="18">
        <v>52162.53</v>
      </c>
      <c r="G240" s="18">
        <v>22375.84</v>
      </c>
      <c r="H240" s="18">
        <v>4042.69</v>
      </c>
      <c r="I240" s="18">
        <v>39580.42</v>
      </c>
      <c r="J240" s="18">
        <v>25389.7</v>
      </c>
      <c r="K240" s="18"/>
      <c r="L240" s="13">
        <f t="shared" si="4"/>
        <v>143551.18</v>
      </c>
      <c r="M240" s="8"/>
      <c r="N240" s="164"/>
    </row>
    <row r="241" spans="1:14" s="3" customFormat="1" ht="12.2" customHeight="1" x14ac:dyDescent="0.15">
      <c r="A241" s="1" t="s">
        <v>444</v>
      </c>
      <c r="B241" s="2" t="s">
        <v>350</v>
      </c>
      <c r="C241" s="2" t="s">
        <v>296</v>
      </c>
      <c r="D241" s="2" t="s">
        <v>431</v>
      </c>
      <c r="E241" s="6">
        <v>2300</v>
      </c>
      <c r="F241" s="18">
        <v>5674.9376224076414</v>
      </c>
      <c r="G241" s="18">
        <v>426.82707214337455</v>
      </c>
      <c r="H241" s="18">
        <v>223493.55856893733</v>
      </c>
      <c r="I241" s="18">
        <v>669.89947522335206</v>
      </c>
      <c r="J241" s="18">
        <v>0</v>
      </c>
      <c r="K241" s="18">
        <v>2072.19</v>
      </c>
      <c r="L241" s="13">
        <f t="shared" si="4"/>
        <v>232337.41273871169</v>
      </c>
      <c r="M241" s="8"/>
      <c r="N241" s="164"/>
    </row>
    <row r="242" spans="1:14" s="3" customFormat="1" ht="12.2" customHeight="1" x14ac:dyDescent="0.15">
      <c r="A242" s="1" t="s">
        <v>445</v>
      </c>
      <c r="B242" s="2" t="s">
        <v>350</v>
      </c>
      <c r="C242" s="2" t="s">
        <v>297</v>
      </c>
      <c r="D242" s="2" t="s">
        <v>431</v>
      </c>
      <c r="E242" s="6">
        <v>2400</v>
      </c>
      <c r="F242" s="18">
        <v>117941.64</v>
      </c>
      <c r="G242" s="18">
        <v>47360.35</v>
      </c>
      <c r="H242" s="18">
        <v>11995.53</v>
      </c>
      <c r="I242" s="18">
        <v>1283.75</v>
      </c>
      <c r="J242" s="18">
        <v>397.59</v>
      </c>
      <c r="K242" s="18">
        <v>6786.71</v>
      </c>
      <c r="L242" s="13">
        <f t="shared" si="4"/>
        <v>185765.56999999998</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77557.19</v>
      </c>
      <c r="G244" s="18">
        <v>39287.120000000003</v>
      </c>
      <c r="H244" s="18">
        <v>41192.5</v>
      </c>
      <c r="I244" s="18">
        <v>86031.550000000017</v>
      </c>
      <c r="J244" s="18">
        <v>34744.519999999997</v>
      </c>
      <c r="K244" s="18">
        <v>0</v>
      </c>
      <c r="L244" s="13">
        <f t="shared" si="4"/>
        <v>278812.88</v>
      </c>
      <c r="M244" s="8"/>
      <c r="N244" s="164"/>
    </row>
    <row r="245" spans="1:14" s="3" customFormat="1" ht="12.2" customHeight="1" x14ac:dyDescent="0.15">
      <c r="A245" s="1" t="s">
        <v>448</v>
      </c>
      <c r="B245" s="2" t="s">
        <v>350</v>
      </c>
      <c r="C245" s="2" t="s">
        <v>300</v>
      </c>
      <c r="D245" s="2" t="s">
        <v>431</v>
      </c>
      <c r="E245" s="6">
        <v>2700</v>
      </c>
      <c r="F245" s="18">
        <v>62645.599999999991</v>
      </c>
      <c r="G245" s="18">
        <v>14102.199999999997</v>
      </c>
      <c r="H245" s="18">
        <v>9746.4500000000007</v>
      </c>
      <c r="I245" s="18">
        <v>9718.8000000000011</v>
      </c>
      <c r="J245" s="18">
        <v>42300</v>
      </c>
      <c r="K245" s="18">
        <v>432.6</v>
      </c>
      <c r="L245" s="13">
        <f t="shared" si="4"/>
        <v>138945.65</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1658510.7976224076</v>
      </c>
      <c r="G248" s="38">
        <f t="shared" si="5"/>
        <v>748838.21707214322</v>
      </c>
      <c r="H248" s="38">
        <f t="shared" si="5"/>
        <v>737209.06856893725</v>
      </c>
      <c r="I248" s="38">
        <f t="shared" si="5"/>
        <v>220190.62947522337</v>
      </c>
      <c r="J248" s="38">
        <f t="shared" si="5"/>
        <v>112758.19</v>
      </c>
      <c r="K248" s="38">
        <f t="shared" si="5"/>
        <v>19917.719999999998</v>
      </c>
      <c r="L248" s="38">
        <f t="shared" si="5"/>
        <v>3497424.6227387115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79046</v>
      </c>
      <c r="I256" s="18"/>
      <c r="J256" s="18">
        <v>100000</v>
      </c>
      <c r="K256" s="18"/>
      <c r="L256" s="13">
        <f t="shared" si="6"/>
        <v>179046</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79046</v>
      </c>
      <c r="I257" s="38">
        <f t="shared" si="7"/>
        <v>0</v>
      </c>
      <c r="J257" s="38">
        <f t="shared" si="7"/>
        <v>100000</v>
      </c>
      <c r="K257" s="38">
        <f t="shared" si="7"/>
        <v>0</v>
      </c>
      <c r="L257" s="38">
        <f>SUM(F257:K257)</f>
        <v>179046</v>
      </c>
      <c r="M257" s="8"/>
      <c r="N257" s="164"/>
    </row>
    <row r="258" spans="1:14" s="3" customFormat="1" ht="12.2" customHeight="1" thickTop="1" x14ac:dyDescent="0.15">
      <c r="A258" s="35" t="s">
        <v>462</v>
      </c>
      <c r="B258" s="37">
        <v>10</v>
      </c>
      <c r="C258" s="37">
        <v>8</v>
      </c>
      <c r="D258" s="36" t="s">
        <v>431</v>
      </c>
      <c r="E258" s="37"/>
      <c r="F258" s="38">
        <f t="shared" ref="F258:L258" si="8">F212+F230+F248+F257</f>
        <v>4221345.83</v>
      </c>
      <c r="G258" s="38">
        <f t="shared" si="8"/>
        <v>1985993.7399999998</v>
      </c>
      <c r="H258" s="38">
        <f t="shared" si="8"/>
        <v>1879711.1199999999</v>
      </c>
      <c r="I258" s="38">
        <f t="shared" si="8"/>
        <v>542331.9</v>
      </c>
      <c r="J258" s="38">
        <f t="shared" si="8"/>
        <v>370461.32</v>
      </c>
      <c r="K258" s="38">
        <f t="shared" si="8"/>
        <v>51087.759999999995</v>
      </c>
      <c r="L258" s="38">
        <f t="shared" si="8"/>
        <v>9050931.6699999999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151387.54</v>
      </c>
      <c r="L261" s="13">
        <f>SUM(F261:K261)</f>
        <v>151387.54</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5488.68</v>
      </c>
      <c r="L262" s="13">
        <f>SUM(F262:K262)</f>
        <v>5488.68</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167814.01</v>
      </c>
      <c r="L264" s="13">
        <f>SUM(F264:K264)</f>
        <v>167814.01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150000+20000+30661</f>
        <v>200661</v>
      </c>
      <c r="L267" s="13">
        <f t="shared" si="9"/>
        <v>200661</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6628.13</v>
      </c>
      <c r="L269" s="13">
        <f t="shared" si="9"/>
        <v>6628.13</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531979.36</v>
      </c>
      <c r="L271" s="38">
        <f t="shared" si="9"/>
        <v>531979.36</v>
      </c>
      <c r="M271" s="8"/>
      <c r="N271" s="164"/>
    </row>
    <row r="272" spans="1:14" s="33" customFormat="1" ht="12.2" customHeight="1" thickTop="1" x14ac:dyDescent="0.2">
      <c r="A272" s="40" t="s">
        <v>464</v>
      </c>
      <c r="B272" s="37">
        <v>10</v>
      </c>
      <c r="C272" s="37">
        <v>18</v>
      </c>
      <c r="D272" s="36" t="s">
        <v>431</v>
      </c>
      <c r="E272" s="37"/>
      <c r="F272" s="39">
        <f t="shared" ref="F272:L272" si="11">F258+F271</f>
        <v>4221345.83</v>
      </c>
      <c r="G272" s="39">
        <f t="shared" si="11"/>
        <v>1985993.7399999998</v>
      </c>
      <c r="H272" s="39">
        <f t="shared" si="11"/>
        <v>1879711.1199999999</v>
      </c>
      <c r="I272" s="39">
        <f t="shared" si="11"/>
        <v>542331.9</v>
      </c>
      <c r="J272" s="39">
        <f t="shared" si="11"/>
        <v>370461.32</v>
      </c>
      <c r="K272" s="39">
        <f t="shared" si="11"/>
        <v>583067.12</v>
      </c>
      <c r="L272" s="39">
        <f t="shared" si="11"/>
        <v>9582911.0299999993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49857.8</v>
      </c>
      <c r="G277" s="18">
        <f>10376.17+455.09+255.15+3498.83+1500+9792.1</f>
        <v>25877.34</v>
      </c>
      <c r="H277" s="18">
        <f>10329.28+2800</f>
        <v>13129.28</v>
      </c>
      <c r="I277" s="18">
        <v>12833.4</v>
      </c>
      <c r="J277" s="18"/>
      <c r="K277" s="18"/>
      <c r="L277" s="13">
        <f>SUM(F277:K277)</f>
        <v>101697.81999999999</v>
      </c>
      <c r="M277" s="8"/>
      <c r="N277" s="164"/>
    </row>
    <row r="278" spans="1:14" s="3" customFormat="1" ht="12.2" customHeight="1" x14ac:dyDescent="0.15">
      <c r="A278" s="1" t="s">
        <v>439</v>
      </c>
      <c r="B278" s="2" t="s">
        <v>357</v>
      </c>
      <c r="C278" s="2" t="s">
        <v>291</v>
      </c>
      <c r="D278" s="2" t="s">
        <v>431</v>
      </c>
      <c r="E278" s="6">
        <v>1200</v>
      </c>
      <c r="F278" s="18">
        <f>300+1700</f>
        <v>2000</v>
      </c>
      <c r="G278" s="18">
        <f>22.95+130.06</f>
        <v>153.01</v>
      </c>
      <c r="H278" s="18">
        <f>11432.69+4000</f>
        <v>15432.69</v>
      </c>
      <c r="I278" s="18">
        <f>6515.06+3335.86+3289.04</f>
        <v>13139.96</v>
      </c>
      <c r="J278" s="18"/>
      <c r="K278" s="18">
        <v>5252.16</v>
      </c>
      <c r="L278" s="13">
        <f>SUM(F278:K278)</f>
        <v>35977.82</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v>780</v>
      </c>
      <c r="I280" s="18"/>
      <c r="J280" s="18"/>
      <c r="K280" s="18"/>
      <c r="L280" s="13">
        <f>SUM(F280:K280)</f>
        <v>780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v>5995</v>
      </c>
      <c r="J282" s="18"/>
      <c r="K282" s="18"/>
      <c r="L282" s="13">
        <f t="shared" ref="L282:L288" si="12">SUM(F282:K282)</f>
        <v>5995</v>
      </c>
      <c r="M282" s="8"/>
      <c r="N282" s="164"/>
    </row>
    <row r="283" spans="1:14" s="3" customFormat="1" ht="12.2" customHeight="1" x14ac:dyDescent="0.15">
      <c r="A283" s="1" t="s">
        <v>443</v>
      </c>
      <c r="B283" s="2" t="s">
        <v>357</v>
      </c>
      <c r="C283" s="2" t="s">
        <v>295</v>
      </c>
      <c r="D283" s="2" t="s">
        <v>431</v>
      </c>
      <c r="E283" s="6">
        <v>2200</v>
      </c>
      <c r="F283" s="18">
        <f>8400+900+2500</f>
        <v>11800</v>
      </c>
      <c r="G283" s="18">
        <f>609.58+1649.77+62+147.3+179.74+490.98</f>
        <v>3139.3700000000003</v>
      </c>
      <c r="H283" s="18">
        <f>3100+2378+633.18+2018.94</f>
        <v>8130.1200000000008</v>
      </c>
      <c r="I283" s="18"/>
      <c r="J283" s="18"/>
      <c r="K283" s="18">
        <v>710</v>
      </c>
      <c r="L283" s="13">
        <f t="shared" si="12"/>
        <v>23779.49</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15419</v>
      </c>
      <c r="I287" s="18"/>
      <c r="J287" s="18"/>
      <c r="K287" s="18"/>
      <c r="L287" s="13">
        <f t="shared" si="12"/>
        <v>15419</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63657.8</v>
      </c>
      <c r="G291" s="39">
        <f t="shared" si="13"/>
        <v>29169.719999999998</v>
      </c>
      <c r="H291" s="39">
        <f t="shared" si="13"/>
        <v>52891.090000000004</v>
      </c>
      <c r="I291" s="39">
        <f t="shared" si="13"/>
        <v>31968.36</v>
      </c>
      <c r="J291" s="39">
        <f t="shared" si="13"/>
        <v>0</v>
      </c>
      <c r="K291" s="39">
        <f t="shared" si="13"/>
        <v>5962.16</v>
      </c>
      <c r="L291" s="38">
        <f t="shared" si="13"/>
        <v>183649.12999999998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1125</v>
      </c>
      <c r="G296" s="18">
        <f>0.01</f>
        <v>0.01</v>
      </c>
      <c r="H296" s="18"/>
      <c r="I296" s="18">
        <f>6836.79+8974.95</f>
        <v>15811.740000000002</v>
      </c>
      <c r="J296" s="18"/>
      <c r="K296" s="18"/>
      <c r="L296" s="13">
        <f>SUM(F296:K296)</f>
        <v>16936.75</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300</v>
      </c>
      <c r="G299" s="18">
        <f>22.7+58.92</f>
        <v>81.62</v>
      </c>
      <c r="H299" s="18"/>
      <c r="I299" s="18"/>
      <c r="J299" s="18"/>
      <c r="K299" s="18"/>
      <c r="L299" s="13">
        <f>SUM(F299:K299)</f>
        <v>381.62</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v>8252.7999999999993</v>
      </c>
      <c r="J306" s="18"/>
      <c r="K306" s="18"/>
      <c r="L306" s="13">
        <f t="shared" si="14"/>
        <v>8252.7999999999993</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1425</v>
      </c>
      <c r="G310" s="39">
        <f t="shared" si="15"/>
        <v>81.63000000000001</v>
      </c>
      <c r="H310" s="39">
        <f t="shared" si="15"/>
        <v>0</v>
      </c>
      <c r="I310" s="39">
        <f t="shared" si="15"/>
        <v>24064.54</v>
      </c>
      <c r="J310" s="39">
        <f t="shared" si="15"/>
        <v>0</v>
      </c>
      <c r="K310" s="39">
        <f t="shared" si="15"/>
        <v>0</v>
      </c>
      <c r="L310" s="38">
        <f t="shared" si="15"/>
        <v>25571.17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v>1466.4</v>
      </c>
      <c r="J315" s="18"/>
      <c r="K315" s="18"/>
      <c r="L315" s="13">
        <f>SUM(F315:K315)</f>
        <v>1466.4</v>
      </c>
      <c r="M315" s="8"/>
      <c r="N315" s="164"/>
    </row>
    <row r="316" spans="1:14" s="3" customFormat="1" ht="12.2" customHeight="1" x14ac:dyDescent="0.15">
      <c r="A316" s="1" t="s">
        <v>439</v>
      </c>
      <c r="B316" s="2" t="s">
        <v>359</v>
      </c>
      <c r="C316" s="2" t="s">
        <v>291</v>
      </c>
      <c r="D316" s="2" t="s">
        <v>431</v>
      </c>
      <c r="E316" s="6">
        <v>1200</v>
      </c>
      <c r="F316" s="18">
        <v>1739.4</v>
      </c>
      <c r="G316" s="18">
        <v>133.06</v>
      </c>
      <c r="H316" s="18"/>
      <c r="I316" s="18"/>
      <c r="J316" s="18">
        <v>977.98</v>
      </c>
      <c r="K316" s="18"/>
      <c r="L316" s="13">
        <f>SUM(F316:K316)</f>
        <v>2850.44</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600</v>
      </c>
      <c r="G318" s="18">
        <v>162.18</v>
      </c>
      <c r="H318" s="18">
        <f>93.01</f>
        <v>93.01</v>
      </c>
      <c r="I318" s="18">
        <f>10563.27</f>
        <v>10563.27</v>
      </c>
      <c r="J318" s="18"/>
      <c r="K318" s="18">
        <v>540</v>
      </c>
      <c r="L318" s="13">
        <f>SUM(F318:K318)</f>
        <v>11958.460000000001</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4000</v>
      </c>
      <c r="G320" s="18">
        <f>222.64+589.2</f>
        <v>811.84</v>
      </c>
      <c r="H320" s="18"/>
      <c r="I320" s="18"/>
      <c r="J320" s="18"/>
      <c r="K320" s="18"/>
      <c r="L320" s="13">
        <f t="shared" ref="L320:L326" si="16">SUM(F320:K320)</f>
        <v>4811.84</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v>12379.2</v>
      </c>
      <c r="J325" s="18"/>
      <c r="K325" s="18"/>
      <c r="L325" s="13">
        <f t="shared" si="16"/>
        <v>12379.2</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6339.4</v>
      </c>
      <c r="G329" s="39">
        <f t="shared" si="17"/>
        <v>1107.08</v>
      </c>
      <c r="H329" s="39">
        <f t="shared" si="17"/>
        <v>93.01</v>
      </c>
      <c r="I329" s="39">
        <f t="shared" si="17"/>
        <v>24408.870000000003</v>
      </c>
      <c r="J329" s="39">
        <f t="shared" si="17"/>
        <v>977.98</v>
      </c>
      <c r="K329" s="39">
        <f t="shared" si="17"/>
        <v>540</v>
      </c>
      <c r="L329" s="38">
        <f t="shared" si="17"/>
        <v>33466.339999999997</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71422.2</v>
      </c>
      <c r="G339" s="38">
        <f t="shared" si="20"/>
        <v>30358.43</v>
      </c>
      <c r="H339" s="38">
        <f t="shared" si="20"/>
        <v>52984.100000000006</v>
      </c>
      <c r="I339" s="38">
        <f t="shared" si="20"/>
        <v>80441.77</v>
      </c>
      <c r="J339" s="38">
        <f t="shared" si="20"/>
        <v>977.98</v>
      </c>
      <c r="K339" s="38">
        <f t="shared" si="20"/>
        <v>6502.16</v>
      </c>
      <c r="L339" s="38">
        <f t="shared" si="20"/>
        <v>242686.63999999998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13390.71</v>
      </c>
      <c r="L351" s="13">
        <f t="shared" si="21"/>
        <v>13390.71</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13390.71</v>
      </c>
      <c r="L352" s="38">
        <f>SUM(L342:L351)</f>
        <v>13390.71</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71422.2</v>
      </c>
      <c r="G353" s="38">
        <f>G339</f>
        <v>30358.43</v>
      </c>
      <c r="H353" s="38">
        <f>H339</f>
        <v>52984.100000000006</v>
      </c>
      <c r="I353" s="38">
        <f>I339</f>
        <v>80441.77</v>
      </c>
      <c r="J353" s="38">
        <f>J339</f>
        <v>977.98</v>
      </c>
      <c r="K353" s="38">
        <f>K339+K352</f>
        <v>19892.87</v>
      </c>
      <c r="L353" s="38">
        <f>L339+L352</f>
        <v>256077.34999999998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133815.28</v>
      </c>
      <c r="I359" s="18">
        <v>253.5</v>
      </c>
      <c r="J359" s="18"/>
      <c r="K359" s="18"/>
      <c r="L359" s="13">
        <f>SUM(F359:K359)</f>
        <v>134068.78</v>
      </c>
      <c r="M359" s="8"/>
      <c r="N359" s="164"/>
    </row>
    <row r="360" spans="1:22" s="3" customFormat="1" ht="12.2" customHeight="1" x14ac:dyDescent="0.15">
      <c r="A360" s="1" t="s">
        <v>542</v>
      </c>
      <c r="B360" s="2" t="s">
        <v>366</v>
      </c>
      <c r="C360" s="6">
        <v>2</v>
      </c>
      <c r="D360" s="2" t="s">
        <v>431</v>
      </c>
      <c r="E360" s="6"/>
      <c r="F360" s="18"/>
      <c r="G360" s="18"/>
      <c r="H360" s="18">
        <v>80289.17</v>
      </c>
      <c r="I360" s="18">
        <v>152.1</v>
      </c>
      <c r="J360" s="18"/>
      <c r="K360" s="18"/>
      <c r="L360" s="13">
        <f>SUM(F360:K360)</f>
        <v>80441.27</v>
      </c>
      <c r="M360" s="8"/>
      <c r="N360" s="164"/>
    </row>
    <row r="361" spans="1:22" s="3" customFormat="1" ht="12.2" customHeight="1" x14ac:dyDescent="0.15">
      <c r="A361" s="3" t="s">
        <v>543</v>
      </c>
      <c r="B361" s="2" t="s">
        <v>366</v>
      </c>
      <c r="C361" s="6">
        <v>3</v>
      </c>
      <c r="D361" s="2" t="s">
        <v>431</v>
      </c>
      <c r="E361" s="6"/>
      <c r="F361" s="18"/>
      <c r="G361" s="18"/>
      <c r="H361" s="18">
        <v>120433.76</v>
      </c>
      <c r="I361" s="18">
        <v>228.15</v>
      </c>
      <c r="J361" s="18"/>
      <c r="K361" s="18"/>
      <c r="L361" s="13">
        <f>SUM(F361:K361)</f>
        <v>120661.90999999999</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334538.21000000002</v>
      </c>
      <c r="I363" s="38">
        <f t="shared" si="22"/>
        <v>633.75</v>
      </c>
      <c r="J363" s="38">
        <f t="shared" si="22"/>
        <v>0</v>
      </c>
      <c r="K363" s="38">
        <f t="shared" si="22"/>
        <v>0</v>
      </c>
      <c r="L363" s="38">
        <f t="shared" si="22"/>
        <v>335171.95999999996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253.5</v>
      </c>
      <c r="G368" s="18">
        <v>152.1</v>
      </c>
      <c r="H368" s="18">
        <v>228.15</v>
      </c>
      <c r="I368" s="13">
        <f>SUM(F368:H368)</f>
        <v>633.75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253.5</v>
      </c>
      <c r="G370" s="38">
        <f>SUM(G368:G369)</f>
        <v>152.1</v>
      </c>
      <c r="H370" s="38">
        <f>SUM(H368:H369)</f>
        <v>228.15</v>
      </c>
      <c r="I370" s="38">
        <f>SUM(I368:I369)</f>
        <v>633.75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f>150000+30661</f>
        <v>180661</v>
      </c>
      <c r="H389" s="18">
        <f>15195.54+19325.01+12219.81</f>
        <v>46740.36</v>
      </c>
      <c r="I389" s="18"/>
      <c r="J389" s="23" t="s">
        <v>288</v>
      </c>
      <c r="K389" s="23" t="s">
        <v>288</v>
      </c>
      <c r="L389" s="13">
        <f t="shared" si="25"/>
        <v>227401.36</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v>2818.95</v>
      </c>
      <c r="I391" s="18"/>
      <c r="J391" s="23" t="s">
        <v>288</v>
      </c>
      <c r="K391" s="23" t="s">
        <v>288</v>
      </c>
      <c r="L391" s="13">
        <f t="shared" si="25"/>
        <v>2818.95</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180661</v>
      </c>
      <c r="H394" s="97">
        <f>SUM(H388:H393)</f>
        <v>49559.31</v>
      </c>
      <c r="I394" s="54">
        <f>SUM(I388:I393)</f>
        <v>0</v>
      </c>
      <c r="J394" s="42" t="s">
        <v>288</v>
      </c>
      <c r="K394" s="42" t="s">
        <v>288</v>
      </c>
      <c r="L394" s="38">
        <f>SUM(L388:L393)</f>
        <v>230220.31</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v>4470.17</v>
      </c>
      <c r="I399" s="18"/>
      <c r="J399" s="23" t="s">
        <v>288</v>
      </c>
      <c r="K399" s="23" t="s">
        <v>288</v>
      </c>
      <c r="L399" s="13">
        <f t="shared" si="26"/>
        <v>4470.17</v>
      </c>
      <c r="M399" s="8"/>
      <c r="N399" s="164"/>
    </row>
    <row r="400" spans="1:14" s="3" customFormat="1" ht="12.2" customHeight="1" x14ac:dyDescent="0.15">
      <c r="A400" s="62" t="s">
        <v>559</v>
      </c>
      <c r="B400" s="2" t="s">
        <v>381</v>
      </c>
      <c r="C400" s="6">
        <v>12</v>
      </c>
      <c r="D400" s="2" t="s">
        <v>432</v>
      </c>
      <c r="E400" s="6"/>
      <c r="F400" s="18"/>
      <c r="G400" s="18"/>
      <c r="H400" s="18">
        <v>1553.92</v>
      </c>
      <c r="I400" s="18"/>
      <c r="J400" s="23" t="s">
        <v>288</v>
      </c>
      <c r="K400" s="23" t="s">
        <v>288</v>
      </c>
      <c r="L400" s="13">
        <f t="shared" si="26"/>
        <v>1553.92</v>
      </c>
      <c r="M400" s="8"/>
      <c r="N400" s="164"/>
    </row>
    <row r="401" spans="1:21" s="3" customFormat="1" ht="12.2" customHeight="1" thickBot="1" x14ac:dyDescent="0.2">
      <c r="A401" s="62" t="s">
        <v>510</v>
      </c>
      <c r="B401" s="2" t="s">
        <v>381</v>
      </c>
      <c r="C401" s="6">
        <v>13</v>
      </c>
      <c r="D401" s="2" t="s">
        <v>432</v>
      </c>
      <c r="E401" s="6"/>
      <c r="F401" s="18"/>
      <c r="G401" s="18">
        <v>20000</v>
      </c>
      <c r="H401" s="18">
        <f>1624.4+619</f>
        <v>2243.4</v>
      </c>
      <c r="I401" s="18"/>
      <c r="J401" s="23" t="s">
        <v>288</v>
      </c>
      <c r="K401" s="23" t="s">
        <v>288</v>
      </c>
      <c r="L401" s="13">
        <f t="shared" si="26"/>
        <v>22243.4</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20000</v>
      </c>
      <c r="H402" s="38">
        <f>SUM(H396:H401)</f>
        <v>8267.49</v>
      </c>
      <c r="I402" s="38">
        <f>SUM(I396:I401)</f>
        <v>0</v>
      </c>
      <c r="J402" s="42" t="s">
        <v>288</v>
      </c>
      <c r="K402" s="42" t="s">
        <v>288</v>
      </c>
      <c r="L402" s="38">
        <f>SUM(L396:L401)</f>
        <v>28267.49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200661</v>
      </c>
      <c r="H409" s="38">
        <f>H394+H402+H408</f>
        <v>57826.799999999996</v>
      </c>
      <c r="I409" s="38">
        <f>I394+I402+I408</f>
        <v>0</v>
      </c>
      <c r="J409" s="23" t="s">
        <v>288</v>
      </c>
      <c r="K409" s="23" t="s">
        <v>288</v>
      </c>
      <c r="L409" s="38">
        <f>L394+L402+L408</f>
        <v>258487.8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f>982532.29</f>
        <v>982532.29</v>
      </c>
      <c r="G441" s="18">
        <f>232060.7+23570.16</f>
        <v>255630.86000000002</v>
      </c>
      <c r="H441" s="18"/>
      <c r="I441" s="13">
        <f t="shared" si="33"/>
        <v>1238163.1500000001</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200661</v>
      </c>
      <c r="G442" s="18"/>
      <c r="H442" s="18"/>
      <c r="I442" s="13">
        <f t="shared" si="33"/>
        <v>200661</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1183193.29</v>
      </c>
      <c r="G447" s="13">
        <f>SUM(G440:G446)</f>
        <v>255630.86000000002</v>
      </c>
      <c r="H447" s="13">
        <f>SUM(H440:H446)</f>
        <v>0</v>
      </c>
      <c r="I447" s="13">
        <f>SUM(I440:I446)</f>
        <v>1438824.1500000001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v>23570.16</v>
      </c>
      <c r="H458" s="18"/>
      <c r="I458" s="13">
        <f t="shared" si="34"/>
        <v>23570.16</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1183193.29</v>
      </c>
      <c r="G460" s="18">
        <v>232060.7</v>
      </c>
      <c r="H460" s="18"/>
      <c r="I460" s="13">
        <f t="shared" si="34"/>
        <v>1415253.99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1183193.29</v>
      </c>
      <c r="G461" s="65">
        <f>SUM(G455:G460)</f>
        <v>255630.86000000002</v>
      </c>
      <c r="H461" s="65">
        <f>SUM(H455:H460)</f>
        <v>0</v>
      </c>
      <c r="I461" s="65">
        <f>SUM(I455:I460)</f>
        <v>1438824.15</v>
      </c>
      <c r="J461" s="23" t="s">
        <v>288</v>
      </c>
      <c r="K461" s="23" t="s">
        <v>288</v>
      </c>
      <c r="L461" s="23" t="s">
        <v>288</v>
      </c>
      <c r="N461" s="130"/>
    </row>
    <row r="462" spans="1:86" ht="12.2" customHeight="1" thickTop="1" x14ac:dyDescent="0.2">
      <c r="A462" s="40" t="s">
        <v>424</v>
      </c>
      <c r="B462" s="41">
        <v>18</v>
      </c>
      <c r="C462" s="64">
        <v>21</v>
      </c>
      <c r="D462" s="114" t="s">
        <v>432</v>
      </c>
      <c r="E462" s="64"/>
      <c r="F462" s="39">
        <f>F453+F461</f>
        <v>1183193.29</v>
      </c>
      <c r="G462" s="39">
        <f>G453+G461</f>
        <v>255630.86000000002</v>
      </c>
      <c r="H462" s="39">
        <f>H453+H461</f>
        <v>0</v>
      </c>
      <c r="I462" s="39">
        <f>I453+I461</f>
        <v>1438824.15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1297475.58</v>
      </c>
      <c r="G466" s="18">
        <v>68678.720000000001</v>
      </c>
      <c r="H466" s="18"/>
      <c r="I466" s="18"/>
      <c r="J466" s="18">
        <v>1304398.1599999999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9813490.2599999998</v>
      </c>
      <c r="G469" s="18">
        <v>335171.96000000002</v>
      </c>
      <c r="H469" s="18">
        <v>256077.35</v>
      </c>
      <c r="I469" s="18"/>
      <c r="J469" s="18">
        <f>200661+57826.8</f>
        <v>258487.8</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9813490.2599999998</v>
      </c>
      <c r="G471" s="19">
        <f>SUM(G469:G470)</f>
        <v>335171.96000000002</v>
      </c>
      <c r="H471" s="19">
        <f>SUM(H469:H470)</f>
        <v>256077.35</v>
      </c>
      <c r="I471" s="19">
        <f>SUM(I469:I470)</f>
        <v>0</v>
      </c>
      <c r="J471" s="19">
        <f>SUM(J469:J470)</f>
        <v>258487.8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9582911.0299999993</v>
      </c>
      <c r="G473" s="18">
        <v>335171.96000000002</v>
      </c>
      <c r="H473" s="18">
        <v>256077.35</v>
      </c>
      <c r="I473" s="18"/>
      <c r="J473" s="18">
        <v>0</v>
      </c>
      <c r="K473" s="23" t="s">
        <v>288</v>
      </c>
      <c r="L473" s="23" t="s">
        <v>288</v>
      </c>
      <c r="N473" s="130"/>
    </row>
    <row r="474" spans="1:14" ht="12.2" customHeight="1" x14ac:dyDescent="0.2">
      <c r="A474" s="71" t="s">
        <v>613</v>
      </c>
      <c r="B474" s="22">
        <v>19</v>
      </c>
      <c r="C474" s="31">
        <v>6</v>
      </c>
      <c r="D474" s="2" t="s">
        <v>432</v>
      </c>
      <c r="E474" s="31"/>
      <c r="F474" s="18">
        <v>26586.81</v>
      </c>
      <c r="G474" s="18"/>
      <c r="H474" s="18"/>
      <c r="I474" s="18"/>
      <c r="J474" s="18">
        <v>124061.81</v>
      </c>
      <c r="K474" s="23" t="s">
        <v>288</v>
      </c>
      <c r="L474" s="23" t="s">
        <v>288</v>
      </c>
      <c r="N474" s="130"/>
    </row>
    <row r="475" spans="1:14" ht="12.2" customHeight="1" x14ac:dyDescent="0.2">
      <c r="A475" s="32" t="s">
        <v>426</v>
      </c>
      <c r="B475" s="22">
        <v>19</v>
      </c>
      <c r="C475" s="31">
        <v>7</v>
      </c>
      <c r="D475" s="2" t="s">
        <v>432</v>
      </c>
      <c r="E475" s="31"/>
      <c r="F475" s="19">
        <f>SUM(F473:F474)</f>
        <v>9609497.8399999999</v>
      </c>
      <c r="G475" s="19">
        <f>SUM(G473:G474)</f>
        <v>335171.96000000002</v>
      </c>
      <c r="H475" s="19">
        <f>SUM(H473:H474)</f>
        <v>256077.35</v>
      </c>
      <c r="I475" s="19">
        <f>SUM(I473:I474)</f>
        <v>0</v>
      </c>
      <c r="J475" s="19">
        <f>SUM(J473:J474)</f>
        <v>124061.81</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1501468</v>
      </c>
      <c r="G477" s="19">
        <f>(G466+G471)- G475</f>
        <v>68678.72000000003</v>
      </c>
      <c r="H477" s="19">
        <f>(H466+H471)- H475</f>
        <v>0</v>
      </c>
      <c r="I477" s="19">
        <f>(I466+I471)- I475</f>
        <v>0</v>
      </c>
      <c r="J477" s="19">
        <f>(J466+J471)- J475</f>
        <v>1438824.15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1842</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1840</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1841</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151387.5</v>
      </c>
      <c r="G494" s="18"/>
      <c r="H494" s="18"/>
      <c r="I494" s="18"/>
      <c r="J494" s="18"/>
      <c r="K494" s="23" t="s">
        <v>288</v>
      </c>
      <c r="L494" s="23" t="s">
        <v>288</v>
      </c>
      <c r="N494" s="130"/>
    </row>
    <row r="495" spans="1:14" ht="12.2" customHeight="1" x14ac:dyDescent="0.2">
      <c r="A495" s="21" t="s">
        <v>618</v>
      </c>
      <c r="B495" s="22">
        <v>20</v>
      </c>
      <c r="C495" s="22">
        <v>5</v>
      </c>
      <c r="D495" s="2" t="s">
        <v>432</v>
      </c>
      <c r="E495" s="22"/>
      <c r="F495" s="18">
        <v>3.2</v>
      </c>
      <c r="G495" s="18"/>
      <c r="H495" s="18"/>
      <c r="I495" s="18"/>
      <c r="J495" s="18"/>
      <c r="K495" s="23" t="s">
        <v>288</v>
      </c>
      <c r="L495" s="23" t="s">
        <v>288</v>
      </c>
      <c r="N495" s="130"/>
    </row>
    <row r="496" spans="1:14" ht="12.2" customHeight="1" x14ac:dyDescent="0.2">
      <c r="A496" s="21" t="s">
        <v>619</v>
      </c>
      <c r="B496" s="22">
        <v>20</v>
      </c>
      <c r="C496" s="22">
        <v>6</v>
      </c>
      <c r="D496" s="2" t="s">
        <v>432</v>
      </c>
      <c r="E496" s="22"/>
      <c r="F496" s="18">
        <v>151387.5</v>
      </c>
      <c r="G496" s="18"/>
      <c r="H496" s="18"/>
      <c r="I496" s="18"/>
      <c r="J496" s="18"/>
      <c r="K496" s="19">
        <f>SUM(F496:J496)</f>
        <v>151387.5</v>
      </c>
      <c r="L496" s="23" t="s">
        <v>288</v>
      </c>
      <c r="N496" s="130"/>
    </row>
    <row r="497" spans="1:14" ht="12.2" customHeight="1" x14ac:dyDescent="0.2">
      <c r="A497" s="21" t="s">
        <v>620</v>
      </c>
      <c r="B497" s="22">
        <v>20</v>
      </c>
      <c r="C497" s="22">
        <v>7</v>
      </c>
      <c r="D497" s="2" t="s">
        <v>432</v>
      </c>
      <c r="E497" s="22"/>
      <c r="F497" s="18">
        <v>5488.68</v>
      </c>
      <c r="G497" s="18"/>
      <c r="H497" s="18"/>
      <c r="I497" s="18"/>
      <c r="J497" s="18"/>
      <c r="K497" s="19">
        <f t="shared" ref="K497:K504" si="35">SUM(F497:J497)</f>
        <v>5488.68</v>
      </c>
      <c r="L497" s="23" t="s">
        <v>288</v>
      </c>
      <c r="N497" s="130"/>
    </row>
    <row r="498" spans="1:14" ht="12.2" customHeight="1" x14ac:dyDescent="0.2">
      <c r="A498" s="21" t="s">
        <v>621</v>
      </c>
      <c r="B498" s="22">
        <v>20</v>
      </c>
      <c r="C498" s="22">
        <v>8</v>
      </c>
      <c r="D498" s="2" t="s">
        <v>432</v>
      </c>
      <c r="E498" s="22"/>
      <c r="F498" s="18">
        <f>151387.5+5488.68</f>
        <v>156876.18</v>
      </c>
      <c r="G498" s="18"/>
      <c r="H498" s="18"/>
      <c r="I498" s="18"/>
      <c r="J498" s="18"/>
      <c r="K498" s="19">
        <f t="shared" si="35"/>
        <v>156876.18</v>
      </c>
      <c r="L498" s="23" t="s">
        <v>288</v>
      </c>
      <c r="N498" s="130"/>
    </row>
    <row r="499" spans="1:14" ht="12.2" customHeight="1" x14ac:dyDescent="0.2">
      <c r="A499" s="143" t="s">
        <v>622</v>
      </c>
      <c r="B499" s="144">
        <v>20</v>
      </c>
      <c r="C499" s="144">
        <v>9</v>
      </c>
      <c r="D499" s="145" t="s">
        <v>432</v>
      </c>
      <c r="E499" s="144"/>
      <c r="F499" s="146">
        <v>0</v>
      </c>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v>0</v>
      </c>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v>0</v>
      </c>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v>0</v>
      </c>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350393.38+5521.09</f>
        <v>355914.47000000003</v>
      </c>
      <c r="G522" s="18">
        <f>161389.91+963.74</f>
        <v>162353.65</v>
      </c>
      <c r="H522" s="18">
        <f>135238.35+306271.48+9936.5</f>
        <v>451446.32999999996</v>
      </c>
      <c r="I522" s="18">
        <v>19463.060000000001</v>
      </c>
      <c r="J522" s="18">
        <v>436.5</v>
      </c>
      <c r="K522" s="18">
        <v>5252.16</v>
      </c>
      <c r="L522" s="69">
        <f>SUM(F522:K522)</f>
        <v>994866.17</v>
      </c>
      <c r="N522" s="130"/>
    </row>
    <row r="523" spans="1:14" ht="12.2" customHeight="1" x14ac:dyDescent="0.2">
      <c r="A523" s="21" t="s">
        <v>634</v>
      </c>
      <c r="B523" s="22">
        <v>21</v>
      </c>
      <c r="C523" s="22">
        <v>2</v>
      </c>
      <c r="D523" s="2" t="s">
        <v>432</v>
      </c>
      <c r="E523" s="22"/>
      <c r="F523" s="18">
        <v>135892.79999999999</v>
      </c>
      <c r="G523" s="18">
        <v>61510.44</v>
      </c>
      <c r="H523" s="18">
        <v>5130.01</v>
      </c>
      <c r="I523" s="18">
        <v>4214.5200000000004</v>
      </c>
      <c r="J523" s="18"/>
      <c r="K523" s="18"/>
      <c r="L523" s="69">
        <f>SUM(F523:K523)</f>
        <v>206747.77</v>
      </c>
      <c r="N523" s="130"/>
    </row>
    <row r="524" spans="1:14" ht="12.2" customHeight="1" thickBot="1" x14ac:dyDescent="0.25">
      <c r="A524" s="21" t="s">
        <v>635</v>
      </c>
      <c r="B524" s="22">
        <v>21</v>
      </c>
      <c r="C524" s="22">
        <v>3</v>
      </c>
      <c r="D524" s="2" t="s">
        <v>432</v>
      </c>
      <c r="E524" s="22"/>
      <c r="F524" s="18">
        <v>269522.78999999998</v>
      </c>
      <c r="G524" s="18">
        <v>111013.87</v>
      </c>
      <c r="H524" s="18">
        <f>27914.73+307080.18</f>
        <v>334994.90999999997</v>
      </c>
      <c r="I524" s="18">
        <v>6182.26</v>
      </c>
      <c r="J524" s="18">
        <v>1012.94</v>
      </c>
      <c r="K524" s="18"/>
      <c r="L524" s="69">
        <f>SUM(F524:K524)</f>
        <v>722726.7699999999</v>
      </c>
      <c r="N524" s="130"/>
    </row>
    <row r="525" spans="1:14" ht="12.2" customHeight="1" thickTop="1" x14ac:dyDescent="0.2">
      <c r="A525" s="97" t="s">
        <v>63</v>
      </c>
      <c r="B525" s="41">
        <v>21</v>
      </c>
      <c r="C525" s="41">
        <v>4</v>
      </c>
      <c r="D525" s="115" t="s">
        <v>432</v>
      </c>
      <c r="E525" s="41"/>
      <c r="F525" s="81">
        <f>SUM(F522:F524)</f>
        <v>761330.06</v>
      </c>
      <c r="G525" s="81">
        <f t="shared" ref="G525:L525" si="36">SUM(G522:G524)</f>
        <v>334877.95999999996</v>
      </c>
      <c r="H525" s="81">
        <f t="shared" si="36"/>
        <v>791571.25</v>
      </c>
      <c r="I525" s="81">
        <f t="shared" si="36"/>
        <v>29859.840000000004</v>
      </c>
      <c r="J525" s="81">
        <f t="shared" si="36"/>
        <v>1449.44</v>
      </c>
      <c r="K525" s="81">
        <f t="shared" si="36"/>
        <v>5252.16</v>
      </c>
      <c r="L525" s="70">
        <f t="shared" si="36"/>
        <v>1924340.71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95451.69+3400</f>
        <v>98851.69</v>
      </c>
      <c r="G527" s="18">
        <f>57493.41+880.02</f>
        <v>58373.43</v>
      </c>
      <c r="H527" s="18">
        <f>71456.61+3341.47+2018.94</f>
        <v>76817.02</v>
      </c>
      <c r="I527" s="18">
        <f>715.05</f>
        <v>715.05</v>
      </c>
      <c r="J527" s="18"/>
      <c r="K527" s="18"/>
      <c r="L527" s="69">
        <f>SUM(F527:K527)</f>
        <v>234757.19</v>
      </c>
      <c r="M527" s="8"/>
      <c r="N527" s="164"/>
    </row>
    <row r="528" spans="1:14" s="3" customFormat="1" ht="12.2" customHeight="1" x14ac:dyDescent="0.15">
      <c r="A528" s="21" t="s">
        <v>634</v>
      </c>
      <c r="B528" s="22">
        <v>21</v>
      </c>
      <c r="C528" s="22">
        <v>6</v>
      </c>
      <c r="D528" s="2" t="s">
        <v>432</v>
      </c>
      <c r="E528" s="22"/>
      <c r="F528" s="18">
        <v>37126.089999999997</v>
      </c>
      <c r="G528" s="18">
        <v>22767.07</v>
      </c>
      <c r="H528" s="18">
        <v>21471.82</v>
      </c>
      <c r="I528" s="18">
        <v>175</v>
      </c>
      <c r="J528" s="18"/>
      <c r="K528" s="18"/>
      <c r="L528" s="69">
        <f>SUM(F528:K528)</f>
        <v>81539.98</v>
      </c>
      <c r="M528" s="8"/>
      <c r="N528" s="164"/>
    </row>
    <row r="529" spans="1:14" s="3" customFormat="1" ht="12.2" customHeight="1" thickBot="1" x14ac:dyDescent="0.2">
      <c r="A529" s="21" t="s">
        <v>635</v>
      </c>
      <c r="B529" s="22">
        <v>21</v>
      </c>
      <c r="C529" s="22">
        <v>7</v>
      </c>
      <c r="D529" s="2" t="s">
        <v>432</v>
      </c>
      <c r="E529" s="22"/>
      <c r="F529" s="18">
        <v>6759.82</v>
      </c>
      <c r="G529" s="18">
        <v>4173.6000000000004</v>
      </c>
      <c r="H529" s="18">
        <v>32162.12</v>
      </c>
      <c r="I529" s="18"/>
      <c r="J529" s="18"/>
      <c r="K529" s="18"/>
      <c r="L529" s="69">
        <f>SUM(F529:K529)</f>
        <v>43095.54</v>
      </c>
      <c r="M529" s="8"/>
      <c r="N529" s="164"/>
    </row>
    <row r="530" spans="1:14" s="3" customFormat="1" ht="12.2" customHeight="1" thickTop="1" x14ac:dyDescent="0.15">
      <c r="A530" s="97" t="s">
        <v>65</v>
      </c>
      <c r="B530" s="41">
        <v>21</v>
      </c>
      <c r="C530" s="41">
        <v>8</v>
      </c>
      <c r="D530" s="115" t="s">
        <v>432</v>
      </c>
      <c r="E530" s="41"/>
      <c r="F530" s="70">
        <f>SUM(F527:F529)</f>
        <v>142737.60000000001</v>
      </c>
      <c r="G530" s="70">
        <f t="shared" ref="G530:L530" si="37">SUM(G527:G529)</f>
        <v>85314.1</v>
      </c>
      <c r="H530" s="70">
        <f t="shared" si="37"/>
        <v>130450.95999999999</v>
      </c>
      <c r="I530" s="70">
        <f t="shared" si="37"/>
        <v>890.05</v>
      </c>
      <c r="J530" s="70">
        <f t="shared" si="37"/>
        <v>0</v>
      </c>
      <c r="K530" s="70">
        <f t="shared" si="37"/>
        <v>0</v>
      </c>
      <c r="L530" s="70">
        <f t="shared" si="37"/>
        <v>359392.70999999996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33395.57</v>
      </c>
      <c r="I532" s="18"/>
      <c r="J532" s="18"/>
      <c r="K532" s="18"/>
      <c r="L532" s="69">
        <f>SUM(F532:K532)</f>
        <v>33395.57</v>
      </c>
      <c r="M532" s="8"/>
      <c r="N532" s="164"/>
    </row>
    <row r="533" spans="1:14" s="3" customFormat="1" ht="12.2" customHeight="1" x14ac:dyDescent="0.15">
      <c r="A533" s="21" t="s">
        <v>634</v>
      </c>
      <c r="B533" s="22">
        <v>21</v>
      </c>
      <c r="C533" s="22">
        <v>10</v>
      </c>
      <c r="D533" s="2" t="s">
        <v>432</v>
      </c>
      <c r="E533" s="22"/>
      <c r="F533" s="18"/>
      <c r="G533" s="18"/>
      <c r="H533" s="18">
        <v>19385.18</v>
      </c>
      <c r="I533" s="18"/>
      <c r="J533" s="18"/>
      <c r="K533" s="18"/>
      <c r="L533" s="69">
        <f>SUM(F533:K533)</f>
        <v>19385.18</v>
      </c>
      <c r="M533" s="8"/>
      <c r="N533" s="164"/>
    </row>
    <row r="534" spans="1:14" s="3" customFormat="1" ht="12.2" customHeight="1" thickBot="1" x14ac:dyDescent="0.2">
      <c r="A534" s="21" t="s">
        <v>635</v>
      </c>
      <c r="B534" s="22">
        <v>21</v>
      </c>
      <c r="C534" s="22">
        <v>11</v>
      </c>
      <c r="D534" s="2" t="s">
        <v>432</v>
      </c>
      <c r="E534" s="22"/>
      <c r="F534" s="18"/>
      <c r="G534" s="18"/>
      <c r="H534" s="18">
        <v>32034.81</v>
      </c>
      <c r="I534" s="18"/>
      <c r="J534" s="18"/>
      <c r="K534" s="18"/>
      <c r="L534" s="69">
        <f>SUM(F534:K534)</f>
        <v>32034.81</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84815.56</v>
      </c>
      <c r="I535" s="70">
        <f t="shared" si="38"/>
        <v>0</v>
      </c>
      <c r="J535" s="70">
        <f t="shared" si="38"/>
        <v>0</v>
      </c>
      <c r="K535" s="70">
        <f t="shared" si="38"/>
        <v>0</v>
      </c>
      <c r="L535" s="70">
        <f t="shared" si="38"/>
        <v>84815.56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29804.33</v>
      </c>
      <c r="I537" s="18"/>
      <c r="J537" s="18"/>
      <c r="K537" s="18"/>
      <c r="L537" s="69">
        <f>SUM(F537:K537)</f>
        <v>29804.33</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29804.33</v>
      </c>
      <c r="I540" s="70">
        <f t="shared" si="39"/>
        <v>0</v>
      </c>
      <c r="J540" s="70">
        <f t="shared" si="39"/>
        <v>0</v>
      </c>
      <c r="K540" s="70">
        <f t="shared" si="39"/>
        <v>0</v>
      </c>
      <c r="L540" s="70">
        <f t="shared" si="39"/>
        <v>29804.33</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2201.75</v>
      </c>
      <c r="G542" s="18">
        <v>415.47</v>
      </c>
      <c r="H542" s="18"/>
      <c r="I542" s="18">
        <v>1728.94</v>
      </c>
      <c r="J542" s="18"/>
      <c r="K542" s="18"/>
      <c r="L542" s="69">
        <f>SUM(F542:K542)</f>
        <v>4346.16</v>
      </c>
      <c r="M542" s="8"/>
      <c r="N542" s="164"/>
    </row>
    <row r="543" spans="1:14" s="3" customFormat="1" ht="12.2" customHeight="1" x14ac:dyDescent="0.15">
      <c r="A543" s="21" t="s">
        <v>634</v>
      </c>
      <c r="B543" s="22">
        <v>21</v>
      </c>
      <c r="C543" s="22">
        <v>18</v>
      </c>
      <c r="D543" s="2" t="s">
        <v>432</v>
      </c>
      <c r="E543" s="22"/>
      <c r="F543" s="18">
        <v>69.09</v>
      </c>
      <c r="G543" s="18">
        <v>265.27999999999997</v>
      </c>
      <c r="H543" s="18"/>
      <c r="I543" s="18">
        <v>1314.44</v>
      </c>
      <c r="J543" s="18"/>
      <c r="K543" s="18"/>
      <c r="L543" s="69">
        <f>SUM(F543:K543)</f>
        <v>1648.81</v>
      </c>
      <c r="M543" s="8"/>
      <c r="N543" s="164"/>
    </row>
    <row r="544" spans="1:14" s="3" customFormat="1" ht="12.2" customHeight="1" thickBot="1" x14ac:dyDescent="0.2">
      <c r="A544" s="21" t="s">
        <v>635</v>
      </c>
      <c r="B544" s="22">
        <v>21</v>
      </c>
      <c r="C544" s="22">
        <v>19</v>
      </c>
      <c r="D544" s="2" t="s">
        <v>432</v>
      </c>
      <c r="E544" s="22"/>
      <c r="F544" s="18">
        <v>7846.23</v>
      </c>
      <c r="G544" s="18">
        <v>637.28</v>
      </c>
      <c r="H544" s="18"/>
      <c r="I544" s="18">
        <v>1302.1099999999999</v>
      </c>
      <c r="J544" s="18"/>
      <c r="K544" s="18"/>
      <c r="L544" s="69">
        <f>SUM(F544:K544)</f>
        <v>9785.6200000000008</v>
      </c>
      <c r="M544" s="8"/>
      <c r="N544" s="164"/>
    </row>
    <row r="545" spans="1:14" s="3" customFormat="1" ht="12.2" customHeight="1" thickTop="1" thickBot="1" x14ac:dyDescent="0.2">
      <c r="A545" s="93" t="s">
        <v>71</v>
      </c>
      <c r="B545" s="63">
        <v>21</v>
      </c>
      <c r="C545" s="63">
        <v>20</v>
      </c>
      <c r="D545" s="139" t="s">
        <v>432</v>
      </c>
      <c r="E545" s="63"/>
      <c r="F545" s="140">
        <f>SUM(F542:F544)</f>
        <v>10117.07</v>
      </c>
      <c r="G545" s="140">
        <f t="shared" ref="G545:L545" si="40">SUM(G542:G544)</f>
        <v>1318.03</v>
      </c>
      <c r="H545" s="140">
        <f t="shared" si="40"/>
        <v>0</v>
      </c>
      <c r="I545" s="140">
        <f t="shared" si="40"/>
        <v>4345.49</v>
      </c>
      <c r="J545" s="140">
        <f t="shared" si="40"/>
        <v>0</v>
      </c>
      <c r="K545" s="140">
        <f t="shared" si="40"/>
        <v>0</v>
      </c>
      <c r="L545" s="140">
        <f t="shared" si="40"/>
        <v>15780.59</v>
      </c>
      <c r="M545" s="8"/>
      <c r="N545" s="164"/>
    </row>
    <row r="546" spans="1:14" s="3" customFormat="1" ht="12.2" customHeight="1" thickTop="1" x14ac:dyDescent="0.15">
      <c r="A546" s="75" t="s">
        <v>72</v>
      </c>
      <c r="B546" s="41">
        <v>21</v>
      </c>
      <c r="C546" s="41">
        <v>21</v>
      </c>
      <c r="D546" s="115" t="s">
        <v>432</v>
      </c>
      <c r="E546" s="41"/>
      <c r="F546" s="70">
        <f>F525+F530+F535+F540+F545</f>
        <v>914184.73</v>
      </c>
      <c r="G546" s="70">
        <f t="shared" ref="G546:L546" si="41">G525+G530+G535+G540+G545</f>
        <v>421510.08999999997</v>
      </c>
      <c r="H546" s="70">
        <f t="shared" si="41"/>
        <v>1036642.1</v>
      </c>
      <c r="I546" s="70">
        <f t="shared" si="41"/>
        <v>35095.380000000005</v>
      </c>
      <c r="J546" s="70">
        <f t="shared" si="41"/>
        <v>1449.44</v>
      </c>
      <c r="K546" s="70">
        <f t="shared" si="41"/>
        <v>5252.16</v>
      </c>
      <c r="L546" s="70">
        <f t="shared" si="41"/>
        <v>2414133.9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994866.17</v>
      </c>
      <c r="G550" s="69">
        <f>L527</f>
        <v>234757.19</v>
      </c>
      <c r="H550" s="69">
        <f>L532</f>
        <v>33395.57</v>
      </c>
      <c r="I550" s="69">
        <f>L537</f>
        <v>29804.33</v>
      </c>
      <c r="J550" s="69">
        <f>L542</f>
        <v>4346.16</v>
      </c>
      <c r="K550" s="69">
        <f>SUM(F550:J550)</f>
        <v>1297169.4200000002</v>
      </c>
      <c r="L550" s="23" t="s">
        <v>288</v>
      </c>
      <c r="M550" s="8"/>
      <c r="N550" s="164"/>
    </row>
    <row r="551" spans="1:14" s="3" customFormat="1" ht="12.2" customHeight="1" x14ac:dyDescent="0.15">
      <c r="A551" s="21" t="s">
        <v>634</v>
      </c>
      <c r="B551" s="22">
        <v>21</v>
      </c>
      <c r="C551" s="22">
        <v>23</v>
      </c>
      <c r="D551" s="2" t="s">
        <v>432</v>
      </c>
      <c r="E551" s="22"/>
      <c r="F551" s="69">
        <f>L523</f>
        <v>206747.77</v>
      </c>
      <c r="G551" s="69">
        <f>L528</f>
        <v>81539.98</v>
      </c>
      <c r="H551" s="69">
        <f>L533</f>
        <v>19385.18</v>
      </c>
      <c r="I551" s="69">
        <f>L538</f>
        <v>0</v>
      </c>
      <c r="J551" s="69">
        <f>L543</f>
        <v>1648.81</v>
      </c>
      <c r="K551" s="69">
        <f>SUM(F551:J551)</f>
        <v>309321.74</v>
      </c>
      <c r="L551" s="23" t="s">
        <v>288</v>
      </c>
      <c r="M551" s="8"/>
      <c r="N551" s="164"/>
    </row>
    <row r="552" spans="1:14" s="3" customFormat="1" ht="12.2" customHeight="1" thickBot="1" x14ac:dyDescent="0.2">
      <c r="A552" s="21" t="s">
        <v>635</v>
      </c>
      <c r="B552" s="22">
        <v>21</v>
      </c>
      <c r="C552" s="22">
        <v>24</v>
      </c>
      <c r="D552" s="2" t="s">
        <v>432</v>
      </c>
      <c r="E552" s="22"/>
      <c r="F552" s="69">
        <f>L524</f>
        <v>722726.7699999999</v>
      </c>
      <c r="G552" s="69">
        <f>L529</f>
        <v>43095.54</v>
      </c>
      <c r="H552" s="69">
        <f>L534</f>
        <v>32034.81</v>
      </c>
      <c r="I552" s="69">
        <f>L539</f>
        <v>0</v>
      </c>
      <c r="J552" s="69">
        <f>L544</f>
        <v>9785.6200000000008</v>
      </c>
      <c r="K552" s="69">
        <f>SUM(F552:J552)</f>
        <v>807642.74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1924340.71</v>
      </c>
      <c r="G553" s="70">
        <f t="shared" si="42"/>
        <v>359392.70999999996</v>
      </c>
      <c r="H553" s="70">
        <f t="shared" si="42"/>
        <v>84815.56</v>
      </c>
      <c r="I553" s="70">
        <f t="shared" si="42"/>
        <v>29804.33</v>
      </c>
      <c r="J553" s="70">
        <f t="shared" si="42"/>
        <v>15780.59</v>
      </c>
      <c r="K553" s="70">
        <f t="shared" si="42"/>
        <v>2414133.9000000004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SUM(F579:H579)</f>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71775</v>
      </c>
      <c r="G583" s="18">
        <v>4140</v>
      </c>
      <c r="H583" s="18">
        <v>79998</v>
      </c>
      <c r="I583" s="69">
        <f>SUM(F583:H583)</f>
        <v>155913</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233592.18</v>
      </c>
      <c r="G584" s="18"/>
      <c r="H584" s="18">
        <v>233592.18</v>
      </c>
      <c r="I584" s="69">
        <f t="shared" si="47"/>
        <v>467184.36</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53703.07</v>
      </c>
      <c r="I585" s="69">
        <f t="shared" si="47"/>
        <v>53703.07</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305367.18</v>
      </c>
      <c r="G589" s="79">
        <f t="shared" ref="G589:I589" si="48">SUM(G576:G588)</f>
        <v>4140</v>
      </c>
      <c r="H589" s="79">
        <f t="shared" si="48"/>
        <v>367293.25</v>
      </c>
      <c r="I589" s="79">
        <f t="shared" si="48"/>
        <v>676800.42999999993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108710.23</v>
      </c>
      <c r="I592" s="18">
        <v>67171.94</v>
      </c>
      <c r="J592" s="18">
        <v>95575.79</v>
      </c>
      <c r="K592" s="80">
        <f t="shared" ref="K592:K598" si="49">SUM(H592:J592)</f>
        <v>271457.95999999996</v>
      </c>
      <c r="L592" s="23" t="s">
        <v>288</v>
      </c>
      <c r="M592" s="8"/>
      <c r="N592" s="164"/>
    </row>
    <row r="593" spans="1:14" s="3" customFormat="1" ht="12.2" customHeight="1" x14ac:dyDescent="0.15">
      <c r="A593" s="3" t="s">
        <v>638</v>
      </c>
      <c r="B593" s="22">
        <v>23</v>
      </c>
      <c r="C593" s="22">
        <v>2</v>
      </c>
      <c r="D593" s="2" t="s">
        <v>432</v>
      </c>
      <c r="E593" s="22"/>
      <c r="F593" s="78">
        <v>2722</v>
      </c>
      <c r="G593" s="79" t="s">
        <v>97</v>
      </c>
      <c r="H593" s="18">
        <v>4346.16</v>
      </c>
      <c r="I593" s="18">
        <v>1648.81</v>
      </c>
      <c r="J593" s="18">
        <v>9785.6200000000008</v>
      </c>
      <c r="K593" s="80">
        <f t="shared" si="49"/>
        <v>15780.59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11863.22</v>
      </c>
      <c r="K594" s="80">
        <f t="shared" si="49"/>
        <v>11863.22</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3950.36</v>
      </c>
      <c r="J595" s="18">
        <v>13060.17</v>
      </c>
      <c r="K595" s="80">
        <f t="shared" si="49"/>
        <v>17010.53</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4195.5600000000004</v>
      </c>
      <c r="I596" s="18">
        <v>3549.69</v>
      </c>
      <c r="J596" s="18">
        <v>8660.85</v>
      </c>
      <c r="K596" s="80">
        <f t="shared" si="49"/>
        <v>16406.099999999999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117251.95</v>
      </c>
      <c r="I599" s="81">
        <f>SUM(I592:I598)</f>
        <v>76320.800000000003</v>
      </c>
      <c r="J599" s="81">
        <f>SUM(J592:J598)</f>
        <v>138945.65</v>
      </c>
      <c r="K599" s="81">
        <f>SUM(K592:K598)</f>
        <v>332518.39999999991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93578.240000000005</v>
      </c>
      <c r="I605" s="18">
        <v>64124.89</v>
      </c>
      <c r="J605" s="18">
        <f>112758.19+977.98</f>
        <v>113736.17</v>
      </c>
      <c r="K605" s="80">
        <f>SUM(H605:J605)</f>
        <v>271439.3</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93578.240000000005</v>
      </c>
      <c r="I606" s="81">
        <f>SUM(I603:I605)</f>
        <v>64124.89</v>
      </c>
      <c r="J606" s="81">
        <f>SUM(J603:J605)</f>
        <v>113736.17</v>
      </c>
      <c r="K606" s="81">
        <f>SUM(K603:K605)</f>
        <v>271439.3</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7961.09</v>
      </c>
      <c r="G612" s="18">
        <f>1508.43</f>
        <v>1508.43</v>
      </c>
      <c r="H612" s="18">
        <f>8912.25+780+1024.25</f>
        <v>10716.5</v>
      </c>
      <c r="I612" s="18"/>
      <c r="J612" s="18"/>
      <c r="K612" s="18"/>
      <c r="L612" s="69">
        <f>SUM(F612:K612)</f>
        <v>20186.02</v>
      </c>
      <c r="M612" s="8"/>
      <c r="N612" s="164"/>
    </row>
    <row r="613" spans="1:14" s="3" customFormat="1" ht="12.2" customHeight="1" x14ac:dyDescent="0.15">
      <c r="A613" s="21" t="s">
        <v>634</v>
      </c>
      <c r="B613" s="22">
        <v>23</v>
      </c>
      <c r="C613" s="22">
        <v>14</v>
      </c>
      <c r="D613" s="2" t="s">
        <v>432</v>
      </c>
      <c r="E613" s="22"/>
      <c r="F613" s="18">
        <v>4555.6000000000004</v>
      </c>
      <c r="G613" s="18">
        <f>266.54+837.07</f>
        <v>1103.6100000000001</v>
      </c>
      <c r="H613" s="18"/>
      <c r="I613" s="18"/>
      <c r="J613" s="18"/>
      <c r="K613" s="18"/>
      <c r="L613" s="69">
        <f>SUM(F613:K613)</f>
        <v>5659.2100000000009</v>
      </c>
      <c r="M613" s="8"/>
      <c r="N613" s="164"/>
    </row>
    <row r="614" spans="1:14" s="3" customFormat="1" ht="12.2" customHeight="1" thickBot="1" x14ac:dyDescent="0.2">
      <c r="A614" s="21" t="s">
        <v>645</v>
      </c>
      <c r="B614" s="22">
        <v>23</v>
      </c>
      <c r="C614" s="22">
        <v>15</v>
      </c>
      <c r="D614" s="2" t="s">
        <v>432</v>
      </c>
      <c r="E614" s="22"/>
      <c r="F614" s="18">
        <f>5836.75</f>
        <v>5836.75</v>
      </c>
      <c r="G614" s="18">
        <v>1433.09</v>
      </c>
      <c r="H614" s="18">
        <v>55</v>
      </c>
      <c r="I614" s="18">
        <v>99.73</v>
      </c>
      <c r="J614" s="18"/>
      <c r="K614" s="18"/>
      <c r="L614" s="69">
        <f>SUM(F614:K614)</f>
        <v>7424.57</v>
      </c>
      <c r="M614" s="8"/>
      <c r="N614" s="164"/>
    </row>
    <row r="615" spans="1:14" s="3" customFormat="1" ht="12.2" customHeight="1" thickTop="1" x14ac:dyDescent="0.15">
      <c r="A615" s="75" t="s">
        <v>340</v>
      </c>
      <c r="B615" s="41">
        <v>23</v>
      </c>
      <c r="C615" s="41">
        <v>16</v>
      </c>
      <c r="D615" s="36" t="s">
        <v>432</v>
      </c>
      <c r="E615" s="41"/>
      <c r="F615" s="81">
        <f t="shared" ref="F615:L615" si="50">SUM(F612:F614)</f>
        <v>18353.440000000002</v>
      </c>
      <c r="G615" s="81">
        <f t="shared" si="50"/>
        <v>4045.13</v>
      </c>
      <c r="H615" s="81">
        <f t="shared" si="50"/>
        <v>10771.5</v>
      </c>
      <c r="I615" s="81">
        <f t="shared" si="50"/>
        <v>99.73</v>
      </c>
      <c r="J615" s="81">
        <f t="shared" si="50"/>
        <v>0</v>
      </c>
      <c r="K615" s="81">
        <f t="shared" si="50"/>
        <v>0</v>
      </c>
      <c r="L615" s="70">
        <f t="shared" si="50"/>
        <v>33269.800000000003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1931471.1800000002</v>
      </c>
      <c r="H618" s="80">
        <f>SUM(F52)</f>
        <v>1931471.1800000002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30174.67</v>
      </c>
      <c r="H619" s="80">
        <f>SUM(G52)</f>
        <v>30174.670000000006</v>
      </c>
      <c r="I619" s="87" t="s">
        <v>872</v>
      </c>
      <c r="J619" s="80">
        <f>G619-H619</f>
        <v>0</v>
      </c>
      <c r="K619" s="80"/>
      <c r="L619" s="80"/>
      <c r="M619" s="8"/>
    </row>
    <row r="620" spans="1:14" s="3" customFormat="1" ht="12.2" customHeight="1" x14ac:dyDescent="0.15">
      <c r="A620" s="74"/>
      <c r="B620" s="22"/>
      <c r="C620" s="22"/>
      <c r="D620" s="22"/>
      <c r="E620" s="22"/>
      <c r="F620" s="87" t="s">
        <v>685</v>
      </c>
      <c r="G620" s="80">
        <f>SUM(H19)</f>
        <v>74019.37</v>
      </c>
      <c r="H620" s="80">
        <f>SUM(H52)</f>
        <v>74019.37</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1438824.1500000001</v>
      </c>
      <c r="H622" s="80">
        <f>SUM(J52)</f>
        <v>1438824.15</v>
      </c>
      <c r="I622" s="87" t="s">
        <v>875</v>
      </c>
      <c r="J622" s="80">
        <f>G622-H622</f>
        <v>0</v>
      </c>
      <c r="K622" s="80"/>
      <c r="L622" s="80"/>
      <c r="M622" s="8"/>
    </row>
    <row r="623" spans="1:14" s="3" customFormat="1" ht="12.2" customHeight="1" x14ac:dyDescent="0.15">
      <c r="A623" s="74"/>
      <c r="B623" s="22"/>
      <c r="C623" s="22"/>
      <c r="D623" s="22"/>
      <c r="E623" s="22"/>
      <c r="F623" s="87" t="s">
        <v>861</v>
      </c>
      <c r="G623" s="80">
        <f>F51</f>
        <v>1501468</v>
      </c>
      <c r="H623" s="80">
        <f>F477</f>
        <v>1501468</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68678.720000000001</v>
      </c>
      <c r="H624" s="80">
        <f>G477</f>
        <v>68678.72000000003</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1438824.15</v>
      </c>
      <c r="H627" s="80">
        <f>J477</f>
        <v>1438824.15</v>
      </c>
      <c r="I627" s="87" t="s">
        <v>105</v>
      </c>
      <c r="J627" s="80">
        <f t="shared" si="51"/>
        <v>0</v>
      </c>
      <c r="K627" s="67"/>
      <c r="L627" s="69"/>
      <c r="M627" s="8"/>
    </row>
    <row r="628" spans="1:13" s="3" customFormat="1" ht="12.2" customHeight="1" x14ac:dyDescent="0.15">
      <c r="A628" s="21"/>
      <c r="B628" s="22"/>
      <c r="C628" s="22"/>
      <c r="D628" s="22"/>
      <c r="E628" s="22"/>
      <c r="F628" s="86" t="s">
        <v>658</v>
      </c>
      <c r="G628" s="80">
        <f>F194</f>
        <v>9813490.2599999998</v>
      </c>
      <c r="H628" s="80">
        <f>SUM(F469)</f>
        <v>9813490.2599999998</v>
      </c>
      <c r="I628" s="87" t="s">
        <v>106</v>
      </c>
      <c r="J628" s="80">
        <f>G628-H628</f>
        <v>0</v>
      </c>
      <c r="K628" s="67"/>
      <c r="L628" s="69"/>
      <c r="M628" s="8"/>
    </row>
    <row r="629" spans="1:13" s="3" customFormat="1" ht="12.2" customHeight="1" x14ac:dyDescent="0.15">
      <c r="A629" s="21"/>
      <c r="B629" s="22"/>
      <c r="C629" s="22"/>
      <c r="D629" s="22"/>
      <c r="E629" s="22"/>
      <c r="F629" s="86" t="s">
        <v>659</v>
      </c>
      <c r="G629" s="80">
        <f>G194</f>
        <v>335171.96000000002</v>
      </c>
      <c r="H629" s="80">
        <f>SUM(G469)</f>
        <v>335171.96000000002</v>
      </c>
      <c r="I629" s="87" t="s">
        <v>107</v>
      </c>
      <c r="J629" s="80">
        <f>G629-H629</f>
        <v>0</v>
      </c>
      <c r="K629" s="67"/>
      <c r="L629" s="69"/>
      <c r="M629" s="8"/>
    </row>
    <row r="630" spans="1:13" s="3" customFormat="1" ht="12.2" customHeight="1" x14ac:dyDescent="0.15">
      <c r="A630" s="21"/>
      <c r="B630" s="22"/>
      <c r="C630" s="22"/>
      <c r="D630" s="22"/>
      <c r="E630" s="22"/>
      <c r="F630" s="86" t="s">
        <v>660</v>
      </c>
      <c r="G630" s="80">
        <f>H194</f>
        <v>256077.35</v>
      </c>
      <c r="H630" s="80">
        <f>SUM(H469)</f>
        <v>256077.35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258487.8</v>
      </c>
      <c r="H632" s="80">
        <f>SUM(J469)</f>
        <v>258487.8</v>
      </c>
      <c r="I632" s="87" t="s">
        <v>110</v>
      </c>
      <c r="J632" s="80">
        <f>G632-H632</f>
        <v>0</v>
      </c>
      <c r="K632" s="67"/>
      <c r="L632" s="69"/>
      <c r="M632" s="8"/>
    </row>
    <row r="633" spans="1:13" s="3" customFormat="1" ht="12.2" customHeight="1" x14ac:dyDescent="0.15">
      <c r="A633" s="21"/>
      <c r="B633" s="22"/>
      <c r="C633" s="22"/>
      <c r="D633" s="22"/>
      <c r="E633" s="22"/>
      <c r="F633" s="86" t="s">
        <v>394</v>
      </c>
      <c r="G633" s="80">
        <f>SUM(L272)</f>
        <v>9582911.0299999993</v>
      </c>
      <c r="H633" s="80">
        <f>SUM(F473)</f>
        <v>9582911.0299999993</v>
      </c>
      <c r="I633" s="87" t="s">
        <v>111</v>
      </c>
      <c r="J633" s="80">
        <f t="shared" si="51"/>
        <v>0</v>
      </c>
      <c r="K633" s="67"/>
      <c r="L633" s="69"/>
      <c r="M633" s="8"/>
    </row>
    <row r="634" spans="1:13" s="3" customFormat="1" ht="12.2" customHeight="1" x14ac:dyDescent="0.15">
      <c r="A634" s="21"/>
      <c r="B634" s="22"/>
      <c r="C634" s="22"/>
      <c r="D634" s="22"/>
      <c r="E634" s="22"/>
      <c r="F634" s="86" t="s">
        <v>395</v>
      </c>
      <c r="G634" s="80">
        <f>SUM(L353)</f>
        <v>256077.34999999998</v>
      </c>
      <c r="H634" s="80">
        <f>SUM(H473)</f>
        <v>256077.35</v>
      </c>
      <c r="I634" s="87" t="s">
        <v>112</v>
      </c>
      <c r="J634" s="80">
        <f>G634-H634</f>
        <v>0</v>
      </c>
      <c r="K634" s="67"/>
      <c r="L634" s="69"/>
      <c r="M634" s="8"/>
    </row>
    <row r="635" spans="1:13" s="124" customFormat="1" ht="12.2" customHeight="1" x14ac:dyDescent="0.15">
      <c r="A635" s="21"/>
      <c r="B635" s="22"/>
      <c r="C635" s="22"/>
      <c r="D635" s="22"/>
      <c r="E635" s="22"/>
      <c r="F635" s="99" t="s">
        <v>247</v>
      </c>
      <c r="G635" s="80">
        <f>I363</f>
        <v>633.75</v>
      </c>
      <c r="H635" s="80">
        <f>I370</f>
        <v>633.75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335171.95999999996</v>
      </c>
      <c r="H636" s="80">
        <f>SUM(G473)</f>
        <v>335171.96000000002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258487.8</v>
      </c>
      <c r="H638" s="108">
        <f>SUM(J469)</f>
        <v>258487.8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1183193.29</v>
      </c>
      <c r="H640" s="80">
        <f>SUM(F462)</f>
        <v>1183193.29</v>
      </c>
      <c r="I640" s="87" t="s">
        <v>837</v>
      </c>
      <c r="J640" s="80">
        <f t="shared" si="51"/>
        <v>0</v>
      </c>
      <c r="K640" s="67"/>
      <c r="L640" s="69"/>
      <c r="M640" s="8"/>
    </row>
    <row r="641" spans="1:13" s="3" customFormat="1" ht="12.2" customHeight="1" x14ac:dyDescent="0.15">
      <c r="A641" s="21"/>
      <c r="B641" s="22"/>
      <c r="C641" s="22"/>
      <c r="D641" s="22"/>
      <c r="E641" s="22"/>
      <c r="F641" s="86" t="s">
        <v>119</v>
      </c>
      <c r="G641" s="80">
        <f>SUM(G447)</f>
        <v>255630.86000000002</v>
      </c>
      <c r="H641" s="80">
        <f>SUM(G462)</f>
        <v>255630.86000000002</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1438824.1500000001</v>
      </c>
      <c r="H643" s="80">
        <f>SUM(I462)</f>
        <v>1438824.15</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57826.8</v>
      </c>
      <c r="H645" s="80">
        <f>H409</f>
        <v>57826.799999999996</v>
      </c>
      <c r="I645" s="87" t="s">
        <v>480</v>
      </c>
      <c r="J645" s="80">
        <f t="shared" si="51"/>
        <v>0</v>
      </c>
      <c r="K645" s="67"/>
      <c r="L645" s="69"/>
      <c r="M645" s="8"/>
    </row>
    <row r="646" spans="1:13" s="3" customFormat="1" ht="12.2" customHeight="1" x14ac:dyDescent="0.15">
      <c r="A646" s="21"/>
      <c r="B646" s="22"/>
      <c r="C646" s="22"/>
      <c r="D646" s="22"/>
      <c r="E646" s="22"/>
      <c r="F646" s="86" t="s">
        <v>664</v>
      </c>
      <c r="G646" s="80">
        <f>J184</f>
        <v>200661</v>
      </c>
      <c r="H646" s="80">
        <f>G409</f>
        <v>200661</v>
      </c>
      <c r="I646" s="87" t="s">
        <v>481</v>
      </c>
      <c r="J646" s="80">
        <f t="shared" si="51"/>
        <v>0</v>
      </c>
      <c r="K646" s="67"/>
      <c r="L646" s="69"/>
      <c r="M646" s="8"/>
    </row>
    <row r="647" spans="1:13" s="3" customFormat="1" ht="12.2" customHeight="1" x14ac:dyDescent="0.15">
      <c r="A647" s="21"/>
      <c r="B647" s="22"/>
      <c r="C647" s="22"/>
      <c r="D647" s="22"/>
      <c r="E647" s="22"/>
      <c r="F647" s="86" t="s">
        <v>662</v>
      </c>
      <c r="G647" s="80">
        <f>J194</f>
        <v>258487.8</v>
      </c>
      <c r="H647" s="80">
        <f>L409</f>
        <v>258487.8</v>
      </c>
      <c r="I647" s="87" t="s">
        <v>477</v>
      </c>
      <c r="J647" s="80">
        <f t="shared" si="51"/>
        <v>0</v>
      </c>
      <c r="K647" s="67"/>
      <c r="L647" s="69"/>
      <c r="M647" s="8"/>
    </row>
    <row r="648" spans="1:13" s="3" customFormat="1" ht="12.2" customHeight="1" x14ac:dyDescent="0.15">
      <c r="A648" s="21"/>
      <c r="B648" s="22"/>
      <c r="C648" s="22"/>
      <c r="D648" s="22"/>
      <c r="E648" s="22"/>
      <c r="F648" s="86" t="s">
        <v>51</v>
      </c>
      <c r="G648" s="80">
        <f>K599</f>
        <v>332518.39999999991</v>
      </c>
      <c r="H648" s="80">
        <f>L209+L227+L245</f>
        <v>332518.40000000002</v>
      </c>
      <c r="I648" s="87" t="s">
        <v>396</v>
      </c>
      <c r="J648" s="80">
        <f t="shared" si="51"/>
        <v>0</v>
      </c>
      <c r="K648" s="67"/>
      <c r="L648" s="69"/>
      <c r="M648" s="8"/>
    </row>
    <row r="649" spans="1:13" s="3" customFormat="1" ht="12.2" customHeight="1" x14ac:dyDescent="0.15">
      <c r="A649" s="21"/>
      <c r="B649" s="22"/>
      <c r="C649" s="22"/>
      <c r="D649" s="22"/>
      <c r="E649" s="22"/>
      <c r="F649" s="86" t="s">
        <v>52</v>
      </c>
      <c r="G649" s="80">
        <f>K606</f>
        <v>271439.3</v>
      </c>
      <c r="H649" s="80">
        <f>(J258+J339)-(J256+J337)</f>
        <v>271439.3</v>
      </c>
      <c r="I649" s="87" t="s">
        <v>699</v>
      </c>
      <c r="J649" s="80">
        <f t="shared" si="51"/>
        <v>0</v>
      </c>
      <c r="K649" s="67"/>
      <c r="L649" s="69"/>
      <c r="M649" s="8"/>
    </row>
    <row r="650" spans="1:13" s="3" customFormat="1" ht="12.2" customHeight="1" x14ac:dyDescent="0.15">
      <c r="A650" s="21"/>
      <c r="B650" s="22"/>
      <c r="C650" s="22"/>
      <c r="D650" s="22"/>
      <c r="E650" s="22"/>
      <c r="F650" s="86" t="s">
        <v>387</v>
      </c>
      <c r="G650" s="80">
        <f>L209</f>
        <v>117251.95</v>
      </c>
      <c r="H650" s="80">
        <f>H599</f>
        <v>117251.95</v>
      </c>
      <c r="I650" s="87" t="s">
        <v>388</v>
      </c>
      <c r="J650" s="80">
        <f t="shared" si="51"/>
        <v>0</v>
      </c>
      <c r="K650" s="67"/>
      <c r="L650" s="69"/>
      <c r="M650" s="8"/>
    </row>
    <row r="651" spans="1:13" s="3" customFormat="1" ht="12.2" customHeight="1" x14ac:dyDescent="0.15">
      <c r="A651" s="21"/>
      <c r="B651" s="22"/>
      <c r="C651" s="22"/>
      <c r="D651" s="22"/>
      <c r="E651" s="22"/>
      <c r="F651" s="86" t="s">
        <v>392</v>
      </c>
      <c r="G651" s="80">
        <f>L227</f>
        <v>76320.800000000003</v>
      </c>
      <c r="H651" s="80">
        <f>I599</f>
        <v>76320.800000000003</v>
      </c>
      <c r="I651" s="87" t="s">
        <v>389</v>
      </c>
      <c r="J651" s="80">
        <f t="shared" si="51"/>
        <v>0</v>
      </c>
      <c r="K651" s="67"/>
      <c r="L651" s="69"/>
      <c r="M651" s="8"/>
    </row>
    <row r="652" spans="1:13" s="3" customFormat="1" ht="12.2" customHeight="1" x14ac:dyDescent="0.15">
      <c r="A652" s="21"/>
      <c r="B652" s="22"/>
      <c r="C652" s="22"/>
      <c r="D652" s="22"/>
      <c r="E652" s="22"/>
      <c r="F652" s="86" t="s">
        <v>393</v>
      </c>
      <c r="G652" s="80">
        <f>L245</f>
        <v>138945.65</v>
      </c>
      <c r="H652" s="80">
        <f>J599</f>
        <v>138945.65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167814.01</v>
      </c>
      <c r="H653" s="80">
        <f>K264+K346</f>
        <v>167814.01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200661</v>
      </c>
      <c r="H656" s="80">
        <f>K267+K348</f>
        <v>200661</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3936621.0024430556</v>
      </c>
      <c r="G661" s="13">
        <f>(L230+L310+L360)</f>
        <v>1861570.3948182329</v>
      </c>
      <c r="H661" s="13">
        <f>(L248+L329+L361)</f>
        <v>3651552.8727387115</v>
      </c>
      <c r="I661" s="13">
        <f>SUM(F661:H661)</f>
        <v>9449744.2699999996</v>
      </c>
      <c r="J661" s="13"/>
      <c r="K661" s="13"/>
      <c r="L661" s="13"/>
      <c r="M661" s="9"/>
    </row>
    <row r="662" spans="1:13" s="3" customFormat="1" ht="12.2" customHeight="1" x14ac:dyDescent="0.2">
      <c r="A662" s="1" t="s">
        <v>127</v>
      </c>
      <c r="F662" s="13">
        <f>(L359/IF(SUM(L359:L361)=0,1,SUM(L359:L361))*(SUM(G97:G110)))</f>
        <v>41180.930771349136</v>
      </c>
      <c r="G662" s="13">
        <f>(L360/IF(SUM(L359:L361)=0,1,SUM(L359:L361))*(SUM(G97:G110)))</f>
        <v>24708.55907713492</v>
      </c>
      <c r="H662" s="13">
        <f>(L361/IF(SUM(L359:L361)=0,1,SUM(L359:L361))*(SUM(G97:G110)))</f>
        <v>37062.840151515957</v>
      </c>
      <c r="I662" s="13">
        <f>SUM(F662:H662)</f>
        <v>102952.33000000002</v>
      </c>
      <c r="J662"/>
      <c r="K662" s="13"/>
      <c r="L662" s="13"/>
      <c r="M662" s="8"/>
    </row>
    <row r="663" spans="1:13" s="3" customFormat="1" ht="12.2" customHeight="1" x14ac:dyDescent="0.2">
      <c r="A663" s="1" t="s">
        <v>128</v>
      </c>
      <c r="F663" s="13">
        <f>(L209+L288)-(J209+J288)</f>
        <v>70251.95</v>
      </c>
      <c r="G663" s="13">
        <f>(L227+L307)-(J227+J307)</f>
        <v>48120.800000000003</v>
      </c>
      <c r="H663" s="13">
        <f>(L245+L326)-(J245+J326)</f>
        <v>96645.65</v>
      </c>
      <c r="I663" s="13">
        <f>SUM(F663:H663)</f>
        <v>215018.4</v>
      </c>
      <c r="J663"/>
      <c r="K663" s="13"/>
      <c r="L663" s="13"/>
      <c r="M663" s="9"/>
    </row>
    <row r="664" spans="1:13" s="3" customFormat="1" ht="12.2" customHeight="1" x14ac:dyDescent="0.15">
      <c r="A664" s="141" t="s">
        <v>129</v>
      </c>
      <c r="B664" s="124"/>
      <c r="C664" s="124"/>
      <c r="D664" s="124"/>
      <c r="E664" s="124"/>
      <c r="F664" s="142">
        <f>SUM(F576:F588)+SUM(H603:H605)+SUM(L612)</f>
        <v>419131.44</v>
      </c>
      <c r="G664" s="142">
        <f>SUM(G576:G588)+SUM(I603:I605)+L613</f>
        <v>73924.100000000006</v>
      </c>
      <c r="H664" s="142">
        <f>SUM(H576:H588)+SUM(J603:J605)+L614</f>
        <v>488453.99</v>
      </c>
      <c r="I664" s="13">
        <f>SUM(F664:H664)</f>
        <v>981509.53</v>
      </c>
      <c r="J664" s="13"/>
      <c r="K664" s="13"/>
      <c r="L664" s="13"/>
      <c r="M664" s="9"/>
    </row>
    <row r="665" spans="1:13" s="3" customFormat="1" ht="12.2" customHeight="1" x14ac:dyDescent="0.15">
      <c r="A665" s="1" t="s">
        <v>130</v>
      </c>
      <c r="F665" s="13">
        <f>F661-SUM(F662:F664)</f>
        <v>3406056.6816717065</v>
      </c>
      <c r="G665" s="13">
        <f>G661-SUM(G662:G664)</f>
        <v>1714816.9357410979</v>
      </c>
      <c r="H665" s="13">
        <f>H661-SUM(H662:H664)</f>
        <v>3029390.3925871956</v>
      </c>
      <c r="I665" s="13">
        <f>I661-SUM(I662:I664)</f>
        <v>8150264.0099999998</v>
      </c>
      <c r="J665" s="13"/>
      <c r="K665" s="13"/>
      <c r="L665" s="13"/>
      <c r="M665" s="8"/>
    </row>
    <row r="666" spans="1:13" s="3" customFormat="1" ht="12.2" customHeight="1" x14ac:dyDescent="0.2">
      <c r="A666" s="1" t="s">
        <v>131</v>
      </c>
      <c r="F666" s="182">
        <v>146.76</v>
      </c>
      <c r="G666" s="183">
        <v>85.19</v>
      </c>
      <c r="H666" s="183">
        <v>140.78</v>
      </c>
      <c r="I666" s="13">
        <f>SUM(F666:H666)</f>
        <v>372.73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23208.34</v>
      </c>
      <c r="G668" s="13">
        <f>ROUND(G665/G666,2)</f>
        <v>20129.32</v>
      </c>
      <c r="H668" s="13">
        <f>ROUND(H665/H666,2)</f>
        <v>21518.61</v>
      </c>
      <c r="I668" s="13">
        <f>ROUND(I665/I666,2)</f>
        <v>21866.400000000001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-8.2200000000000006</v>
      </c>
      <c r="I671" s="13">
        <f>SUM(F671:H671)</f>
        <v>-8.2200000000000006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23208.34</v>
      </c>
      <c r="G673" s="13">
        <f>ROUND((G665+G670)/(G666+G671),2)</f>
        <v>20129.32</v>
      </c>
      <c r="H673" s="13">
        <f>ROUND((H665+H670)/(H666+H671),2)</f>
        <v>22852.98</v>
      </c>
      <c r="I673" s="13">
        <f>ROUND((I665+I670)/(I666+I671),2)</f>
        <v>22359.51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30" sqref="E30"/>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47022.97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24557.42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22465.55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Gorham Randolph Shelburne Cooperative</v>
      </c>
      <c r="C5" s="321"/>
      <c r="D5" s="321"/>
      <c r="E5" s="321"/>
      <c r="F5" s="321"/>
    </row>
    <row r="8" spans="1:9" ht="18" x14ac:dyDescent="0.25">
      <c r="A8" s="239" t="s">
        <v>1548</v>
      </c>
      <c r="F8" s="246" t="s">
        <v>1566</v>
      </c>
    </row>
    <row r="9" spans="1:9" ht="15" x14ac:dyDescent="0.2">
      <c r="A9" s="237" t="s">
        <v>1549</v>
      </c>
      <c r="B9" s="240">
        <f>'DOE25'!G97</f>
        <v>102952.33</v>
      </c>
      <c r="F9" s="237" t="s">
        <v>1562</v>
      </c>
    </row>
    <row r="10" spans="1:9" ht="15" x14ac:dyDescent="0.2">
      <c r="A10" s="237" t="s">
        <v>1550</v>
      </c>
      <c r="B10" s="240">
        <f>'DOE25'!G112-'DOE25'!G97</f>
        <v>0</v>
      </c>
      <c r="F10" s="237" t="s">
        <v>1563</v>
      </c>
    </row>
    <row r="11" spans="1:9" ht="15" x14ac:dyDescent="0.2">
      <c r="A11" s="237" t="s">
        <v>1551</v>
      </c>
      <c r="B11" s="240">
        <f>'DOE25'!G140</f>
        <v>2449.29</v>
      </c>
      <c r="F11" s="237" t="s">
        <v>1564</v>
      </c>
    </row>
    <row r="12" spans="1:9" ht="15" x14ac:dyDescent="0.2">
      <c r="A12" s="237" t="s">
        <v>1552</v>
      </c>
      <c r="B12" s="240">
        <f>'DOE25'!G170</f>
        <v>61956.33</v>
      </c>
      <c r="F12" s="237" t="s">
        <v>1565</v>
      </c>
    </row>
    <row r="13" spans="1:9" ht="15" x14ac:dyDescent="0.2">
      <c r="A13" s="237" t="s">
        <v>1553</v>
      </c>
      <c r="B13" s="240">
        <f>'DOE25'!G193-'DOE25'!G180</f>
        <v>0</v>
      </c>
      <c r="F13" s="237" t="s">
        <v>1575</v>
      </c>
    </row>
    <row r="14" spans="1:9" ht="18" x14ac:dyDescent="0.25">
      <c r="A14" s="239" t="s">
        <v>732</v>
      </c>
      <c r="B14" s="241">
        <f>SUM(B9:B13)</f>
        <v>167357.95000000001</v>
      </c>
    </row>
    <row r="16" spans="1:9" ht="18" x14ac:dyDescent="0.25">
      <c r="A16" s="239" t="s">
        <v>783</v>
      </c>
      <c r="F16" s="246" t="s">
        <v>1567</v>
      </c>
    </row>
    <row r="17" spans="1:6" ht="15" x14ac:dyDescent="0.2">
      <c r="A17" s="237" t="s">
        <v>1554</v>
      </c>
      <c r="B17" s="240">
        <f>'DOE25'!L363-'DOE25'!L362</f>
        <v>335171.95999999996</v>
      </c>
      <c r="F17" s="237" t="s">
        <v>1568</v>
      </c>
    </row>
    <row r="18" spans="1:6" ht="15" x14ac:dyDescent="0.2">
      <c r="A18" s="237" t="s">
        <v>1555</v>
      </c>
      <c r="B18" s="250"/>
      <c r="F18" s="246" t="s">
        <v>1592</v>
      </c>
    </row>
    <row r="19" spans="1:6" ht="18" x14ac:dyDescent="0.25">
      <c r="A19" s="239" t="s">
        <v>725</v>
      </c>
      <c r="B19" s="241">
        <f>SUM(B17:B18)</f>
        <v>335171.95999999996</v>
      </c>
    </row>
    <row r="21" spans="1:6" ht="18.75" thickBot="1" x14ac:dyDescent="0.3">
      <c r="A21" s="239" t="s">
        <v>1556</v>
      </c>
    </row>
    <row r="22" spans="1:6" ht="18.75" thickTop="1" x14ac:dyDescent="0.25">
      <c r="A22" s="239" t="s">
        <v>1557</v>
      </c>
      <c r="B22" s="245">
        <f>B14-B19</f>
        <v>-167814.00999999995</v>
      </c>
      <c r="F22" s="237" t="s">
        <v>1569</v>
      </c>
    </row>
    <row r="26" spans="1:6" ht="18" x14ac:dyDescent="0.25">
      <c r="A26" s="239" t="s">
        <v>186</v>
      </c>
    </row>
    <row r="27" spans="1:6" ht="15" x14ac:dyDescent="0.2">
      <c r="A27" s="237" t="s">
        <v>1558</v>
      </c>
      <c r="B27" s="240">
        <f>'DOE25'!G180</f>
        <v>167814.01</v>
      </c>
      <c r="F27" s="237" t="s">
        <v>1570</v>
      </c>
    </row>
    <row r="28" spans="1:6" ht="15" x14ac:dyDescent="0.2">
      <c r="A28" s="237" t="s">
        <v>1560</v>
      </c>
      <c r="B28" s="240">
        <f>'DOE25'!L362</f>
        <v>0</v>
      </c>
      <c r="F28" s="237" t="s">
        <v>1571</v>
      </c>
    </row>
    <row r="31" spans="1:6" ht="15" x14ac:dyDescent="0.2">
      <c r="A31" s="237" t="s">
        <v>1789</v>
      </c>
      <c r="B31" s="240">
        <f>'DOE25'!G466</f>
        <v>68678.720000000001</v>
      </c>
      <c r="F31" s="237" t="s">
        <v>1572</v>
      </c>
    </row>
    <row r="33" spans="1:6" ht="15" x14ac:dyDescent="0.2">
      <c r="A33" s="237" t="s">
        <v>1790</v>
      </c>
      <c r="B33" s="240">
        <f>'DOE25'!G477</f>
        <v>68678.72000000003</v>
      </c>
      <c r="F33" s="237" t="s">
        <v>1573</v>
      </c>
    </row>
    <row r="36" spans="1:6" ht="15" x14ac:dyDescent="0.2">
      <c r="A36" s="237" t="s">
        <v>1559</v>
      </c>
      <c r="B36" s="251">
        <v>633.75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25" sqref="E25"/>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Gorham Randolph Shelburne Cooperative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2114942.0099999998</v>
      </c>
      <c r="C9" s="166">
        <f>'DOE25'!G198+'DOE25'!G216+'DOE25'!G234+'DOE25'!G277+'DOE25'!G296+'DOE25'!G315</f>
        <v>1015789.2700000001</v>
      </c>
    </row>
    <row r="10" spans="1:3" x14ac:dyDescent="0.2">
      <c r="A10" t="s">
        <v>772</v>
      </c>
      <c r="B10" s="176">
        <v>1995522.8399999999</v>
      </c>
      <c r="C10" s="176">
        <v>990664.73</v>
      </c>
    </row>
    <row r="11" spans="1:3" x14ac:dyDescent="0.2">
      <c r="A11" t="s">
        <v>773</v>
      </c>
      <c r="B11" s="176">
        <v>21746.6</v>
      </c>
      <c r="C11" s="176">
        <f>1663.64+2000+207.24+13281.49+500.22</f>
        <v>17652.59</v>
      </c>
    </row>
    <row r="12" spans="1:3" x14ac:dyDescent="0.2">
      <c r="A12" t="s">
        <v>774</v>
      </c>
      <c r="B12" s="176">
        <f>57363.34+15860.58+24448.65</f>
        <v>97672.57</v>
      </c>
      <c r="C12" s="176">
        <v>7471.95</v>
      </c>
    </row>
    <row r="13" spans="1:3" x14ac:dyDescent="0.2">
      <c r="A13" t="str">
        <f>IF(B9=B13,IF(C9=C13,"Check Total OK","Check Total Error"),"Check Total Error")</f>
        <v>Check Total OK</v>
      </c>
      <c r="B13" s="168">
        <f>SUM(B10:B12)</f>
        <v>2114942.0099999998</v>
      </c>
      <c r="C13" s="168">
        <f>SUM(C10:C12)</f>
        <v>1015789.2699999999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747656.62</v>
      </c>
      <c r="C18" s="166">
        <f>'DOE25'!G199+'DOE25'!G217+'DOE25'!G235+'DOE25'!G278+'DOE25'!G297+'DOE25'!G316</f>
        <v>331993.39000000007</v>
      </c>
    </row>
    <row r="19" spans="1:3" x14ac:dyDescent="0.2">
      <c r="A19" t="s">
        <v>772</v>
      </c>
      <c r="B19" s="176">
        <v>360848.06</v>
      </c>
      <c r="C19" s="176">
        <v>143307.35</v>
      </c>
    </row>
    <row r="20" spans="1:3" x14ac:dyDescent="0.2">
      <c r="A20" t="s">
        <v>773</v>
      </c>
      <c r="B20" s="176">
        <v>355555.43</v>
      </c>
      <c r="C20" s="176">
        <f>331993.39-145958.35</f>
        <v>186035.04</v>
      </c>
    </row>
    <row r="21" spans="1:3" x14ac:dyDescent="0.2">
      <c r="A21" t="s">
        <v>774</v>
      </c>
      <c r="B21" s="176">
        <v>31253.13</v>
      </c>
      <c r="C21" s="176">
        <f>2391+260</f>
        <v>2651</v>
      </c>
    </row>
    <row r="22" spans="1:3" x14ac:dyDescent="0.2">
      <c r="A22" t="str">
        <f>IF(B18=B22,IF(C18=C22,"Check Total OK","Check Total Error"),"Check Total Error")</f>
        <v>Check Total OK</v>
      </c>
      <c r="B22" s="168">
        <f>SUM(B19:B21)</f>
        <v>747656.62</v>
      </c>
      <c r="C22" s="168">
        <f>SUM(C19:C21)</f>
        <v>331993.39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137454</v>
      </c>
      <c r="C36" s="172">
        <f>'DOE25'!G201+'DOE25'!G219+'DOE25'!G237+'DOE25'!G280+'DOE25'!G299+'DOE25'!G318</f>
        <v>23379.35</v>
      </c>
    </row>
    <row r="37" spans="1:3" x14ac:dyDescent="0.2">
      <c r="A37" t="s">
        <v>772</v>
      </c>
      <c r="B37" s="176">
        <v>133485.68</v>
      </c>
      <c r="C37" s="176">
        <v>23045.769999999997</v>
      </c>
    </row>
    <row r="38" spans="1:3" x14ac:dyDescent="0.2">
      <c r="A38" t="s">
        <v>773</v>
      </c>
      <c r="B38" s="176">
        <v>3968.32</v>
      </c>
      <c r="C38" s="176">
        <v>333.57648</v>
      </c>
    </row>
    <row r="39" spans="1:3" x14ac:dyDescent="0.2">
      <c r="A39" t="s">
        <v>774</v>
      </c>
      <c r="B39" s="176"/>
      <c r="C39" s="176"/>
    </row>
    <row r="40" spans="1:3" x14ac:dyDescent="0.2">
      <c r="A40" t="str">
        <f>IF(B36=B40,IF(C36=C40,"Check Total OK","Check Total Error"),"Check Total Error")</f>
        <v>Check Total Error</v>
      </c>
      <c r="B40" s="168">
        <f>SUM(B37:B39)</f>
        <v>137454</v>
      </c>
      <c r="C40" s="168">
        <f>SUM(C37:C39)</f>
        <v>23379.346479999997</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Gorham Randolph Shelburne Cooperative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5381792.0700000003</v>
      </c>
      <c r="D5" s="19">
        <f>SUM('DOE25'!L198:L201)+SUM('DOE25'!L216:L219)+SUM('DOE25'!L234:L237)-F5-G5-H5</f>
        <v>5335621.9600000009</v>
      </c>
      <c r="E5" s="179"/>
      <c r="F5" s="180"/>
      <c r="G5" s="19">
        <f>SUM('DOE25'!J198:J201)+SUM('DOE25'!J216:J219)+SUM('DOE25'!J234:J237)</f>
        <v>17565.89</v>
      </c>
      <c r="H5" s="19">
        <f>SUM('DOE25'!K198:K201)+SUM('DOE25'!K216:K219)+SUM('DOE25'!K234:K237)</f>
        <v>28604.22</v>
      </c>
      <c r="I5" s="191"/>
    </row>
    <row r="6" spans="1:9" x14ac:dyDescent="0.2">
      <c r="A6" s="31">
        <v>2100</v>
      </c>
      <c r="B6" t="s">
        <v>793</v>
      </c>
      <c r="C6" s="205">
        <f t="shared" si="0"/>
        <v>881927.90999999992</v>
      </c>
      <c r="D6" s="19">
        <f>'DOE25'!L203+'DOE25'!L221+'DOE25'!L239-F6-G6-H6</f>
        <v>733724.47</v>
      </c>
      <c r="E6" s="179"/>
      <c r="F6" s="180">
        <f>9468.41+84153.1+52287.2</f>
        <v>145908.71000000002</v>
      </c>
      <c r="G6" s="19">
        <f>'DOE25'!J203+'DOE25'!J221+'DOE25'!J239</f>
        <v>1817.73</v>
      </c>
      <c r="H6" s="19">
        <f>'DOE25'!K203+'DOE25'!K221+'DOE25'!K239</f>
        <v>477</v>
      </c>
      <c r="I6" s="191"/>
    </row>
    <row r="7" spans="1:9" x14ac:dyDescent="0.2">
      <c r="A7" s="31">
        <v>2200</v>
      </c>
      <c r="B7" t="s">
        <v>817</v>
      </c>
      <c r="C7" s="205">
        <f t="shared" si="0"/>
        <v>376395.94999999995</v>
      </c>
      <c r="D7" s="19">
        <f>'DOE25'!L204+'DOE25'!L222+'DOE25'!L240-F7-G7-H7</f>
        <v>313545.01999999996</v>
      </c>
      <c r="E7" s="179"/>
      <c r="F7" s="180"/>
      <c r="G7" s="19">
        <f>'DOE25'!J204+'DOE25'!J222+'DOE25'!J240</f>
        <v>62850.930000000008</v>
      </c>
      <c r="H7" s="19">
        <f>'DOE25'!K204+'DOE25'!K222+'DOE25'!K240</f>
        <v>0</v>
      </c>
      <c r="I7" s="191"/>
    </row>
    <row r="8" spans="1:9" x14ac:dyDescent="0.2">
      <c r="A8" s="31">
        <v>2300</v>
      </c>
      <c r="B8" t="s">
        <v>794</v>
      </c>
      <c r="C8" s="205">
        <f t="shared" si="0"/>
        <v>616685.51</v>
      </c>
      <c r="D8" s="179"/>
      <c r="E8" s="19">
        <f>'DOE25'!L205+'DOE25'!L223+'DOE25'!L241-F8-G8-H8-D9-D11</f>
        <v>611199.17000000004</v>
      </c>
      <c r="F8" s="180"/>
      <c r="G8" s="19">
        <f>'DOE25'!J205+'DOE25'!J223+'DOE25'!J241</f>
        <v>0</v>
      </c>
      <c r="H8" s="19">
        <f>'DOE25'!K205+'DOE25'!K223+'DOE25'!K241</f>
        <v>5486.34</v>
      </c>
      <c r="I8" s="191"/>
    </row>
    <row r="9" spans="1:9" ht="14.25" x14ac:dyDescent="0.2">
      <c r="A9" s="31">
        <v>2310</v>
      </c>
      <c r="B9" s="71" t="s">
        <v>884</v>
      </c>
      <c r="C9" s="205">
        <f t="shared" si="0"/>
        <v>28256.79</v>
      </c>
      <c r="D9" s="180">
        <v>28256.79</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505702.81999999995</v>
      </c>
      <c r="D12" s="19">
        <f>'DOE25'!L206+'DOE25'!L224+'DOE25'!L242-F12-G12-H12</f>
        <v>489475.56999999995</v>
      </c>
      <c r="E12" s="179"/>
      <c r="F12" s="180"/>
      <c r="G12" s="19">
        <f>'DOE25'!J206+'DOE25'!J224+'DOE25'!J242</f>
        <v>943.05</v>
      </c>
      <c r="H12" s="19">
        <f>'DOE25'!K206+'DOE25'!K224+'DOE25'!K242</f>
        <v>15284.2</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748606.22</v>
      </c>
      <c r="D14" s="19">
        <f>'DOE25'!L208+'DOE25'!L226+'DOE25'!L244-F14-G14-H14</f>
        <v>678822.5</v>
      </c>
      <c r="E14" s="179"/>
      <c r="F14" s="180"/>
      <c r="G14" s="19">
        <f>'DOE25'!J208+'DOE25'!J226+'DOE25'!J244</f>
        <v>69783.72</v>
      </c>
      <c r="H14" s="19">
        <f>'DOE25'!K208+'DOE25'!K226+'DOE25'!K244</f>
        <v>0</v>
      </c>
      <c r="I14" s="191"/>
    </row>
    <row r="15" spans="1:9" x14ac:dyDescent="0.2">
      <c r="A15" s="31">
        <v>2700</v>
      </c>
      <c r="B15" t="s">
        <v>796</v>
      </c>
      <c r="C15" s="205">
        <f t="shared" si="0"/>
        <v>332518.40000000002</v>
      </c>
      <c r="D15" s="19">
        <f>'DOE25'!L209+'DOE25'!L227+'DOE25'!L245-F15-G15-H15</f>
        <v>123125.44</v>
      </c>
      <c r="E15" s="179"/>
      <c r="F15" s="180">
        <v>90656.960000000006</v>
      </c>
      <c r="G15" s="19">
        <f>'DOE25'!J209+'DOE25'!J227+'DOE25'!J245</f>
        <v>117500</v>
      </c>
      <c r="H15" s="19">
        <f>'DOE25'!K209+'DOE25'!K227+'DOE25'!K245</f>
        <v>1236</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179046</v>
      </c>
      <c r="D22" s="179"/>
      <c r="E22" s="179"/>
      <c r="F22" s="179"/>
      <c r="G22" s="19">
        <f>'DOE25'!L256+'DOE25'!L337</f>
        <v>179046</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156876.22</v>
      </c>
      <c r="D25" s="179"/>
      <c r="E25" s="179"/>
      <c r="F25" s="190"/>
      <c r="G25" s="179"/>
      <c r="H25" s="179"/>
      <c r="I25" s="189">
        <f>'DOE25'!L261+'DOE25'!L262+'DOE25'!L342+'DOE25'!L343</f>
        <v>156876.22</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182324.57999999996</v>
      </c>
      <c r="D29" s="211">
        <f>'DOE25'!L359+'DOE25'!L360+'DOE25'!L361-'DOE25'!I368-F29-G29-H29-F39</f>
        <v>182324.57999999996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242686.63999999998</v>
      </c>
      <c r="D31" s="19">
        <f>'DOE25'!L291+'DOE25'!L310+'DOE25'!L329+'DOE25'!L334+'DOE25'!L335+'DOE25'!L336-F31-G31-H31</f>
        <v>235206.49999999997</v>
      </c>
      <c r="E31" s="179"/>
      <c r="F31" s="180"/>
      <c r="G31" s="19">
        <f>'DOE25'!J291+'DOE25'!J310+'DOE25'!J329+'DOE25'!J334+'DOE25'!J335+'DOE25'!J336</f>
        <v>977.98</v>
      </c>
      <c r="H31" s="19">
        <f>'DOE25'!K291+'DOE25'!K310+'DOE25'!K329+'DOE25'!K334+'DOE25'!K335+'DOE25'!K336</f>
        <v>6502.16</v>
      </c>
      <c r="I31" s="191"/>
    </row>
    <row r="32" spans="1:9" ht="12" thickBot="1" x14ac:dyDescent="0.25">
      <c r="C32" s="206"/>
      <c r="G32" s="187"/>
      <c r="H32" s="187"/>
      <c r="I32" s="193"/>
    </row>
    <row r="33" spans="1:9" ht="12" thickTop="1" x14ac:dyDescent="0.2">
      <c r="B33" t="s">
        <v>806</v>
      </c>
      <c r="D33" s="181">
        <f t="shared" ref="D33:I33" si="1">SUM(D5:D31)</f>
        <v>8120102.830000001</v>
      </c>
      <c r="E33" s="181">
        <f t="shared" si="1"/>
        <v>611199.17000000004</v>
      </c>
      <c r="F33" s="181">
        <f t="shared" si="1"/>
        <v>236565.67000000004</v>
      </c>
      <c r="G33" s="181">
        <f t="shared" si="1"/>
        <v>450485.3</v>
      </c>
      <c r="H33" s="181">
        <f t="shared" si="1"/>
        <v>57589.919999999998</v>
      </c>
      <c r="I33" s="181">
        <f t="shared" si="1"/>
        <v>156876.22</v>
      </c>
    </row>
    <row r="34" spans="1:9" ht="12" thickBot="1" x14ac:dyDescent="0.25"/>
    <row r="35" spans="1:9" ht="12" thickBot="1" x14ac:dyDescent="0.25">
      <c r="B35" s="187" t="s">
        <v>827</v>
      </c>
      <c r="D35" s="188">
        <f>E33</f>
        <v>611199.17000000004</v>
      </c>
      <c r="E35" s="184"/>
      <c r="F35" s="294" t="s">
        <v>1596</v>
      </c>
      <c r="G35" s="295"/>
      <c r="H35" s="295"/>
      <c r="I35" s="296"/>
    </row>
    <row r="36" spans="1:9" ht="12" thickTop="1" x14ac:dyDescent="0.2">
      <c r="B36" t="s">
        <v>807</v>
      </c>
      <c r="D36" s="19">
        <f>D33</f>
        <v>8120102.830000001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152213.63</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3" zoomScaleNormal="100" workbookViewId="0">
      <selection activeCell="A9" sqref="A9"/>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Gorham Randolph Shelburne Cooperative</v>
      </c>
      <c r="B2">
        <f>'DOE25'!B2</f>
        <v>203</v>
      </c>
      <c r="J2" s="223" t="s">
        <v>1799</v>
      </c>
      <c r="K2" s="308">
        <f>SUM('DOE25'!L198:L201)+SUM('DOE25'!L277:L280)</f>
        <v>2332746.08</v>
      </c>
      <c r="L2" s="308">
        <f>'DOE25'!L203+'DOE25'!L282</f>
        <v>417414.35000000003</v>
      </c>
      <c r="M2" s="308">
        <f>'DOE25'!L204+'DOE25'!L283</f>
        <v>177278.36</v>
      </c>
      <c r="N2" s="308">
        <f>'DOE25'!L206+'DOE25'!L285</f>
        <v>193412.30999999997</v>
      </c>
      <c r="O2" s="316">
        <f>'Salaries-Benefits'!B10+'Salaries-Benefits'!B12+'Salaries-Benefits'!B19+'Salaries-Benefits'!B21+'Salaries-Benefits'!B28+'Salaries-Benefits'!B30+'Salaries-Benefits'!B37+'Salaries-Benefits'!B39</f>
        <v>2618782.2799999998</v>
      </c>
      <c r="P2" s="316">
        <f>'Salaries-Benefits'!B11+'Salaries-Benefits'!B20+'Salaries-Benefits'!B29+'Salaries-Benefits'!B38</f>
        <v>381270.35</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3802552.22</v>
      </c>
      <c r="G4" s="228">
        <f>'DOE25'!L212+'DOE25'!L291</f>
        <v>3802552.2224430558</v>
      </c>
      <c r="H4" s="263">
        <f>F4-G4</f>
        <v>-2.443055622279644E-3</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305367.18</v>
      </c>
      <c r="E5" s="219"/>
      <c r="F5" s="231">
        <f>D5+E5</f>
        <v>305367.18</v>
      </c>
      <c r="G5" s="222"/>
      <c r="H5" s="222"/>
      <c r="J5" s="71" t="s">
        <v>1798</v>
      </c>
      <c r="K5" s="20">
        <v>305367.18</v>
      </c>
      <c r="L5" s="20"/>
      <c r="M5" s="20"/>
      <c r="N5" s="20"/>
      <c r="O5" s="20"/>
      <c r="P5" s="20"/>
      <c r="Q5" s="20"/>
    </row>
    <row r="6" spans="1:22" x14ac:dyDescent="0.2">
      <c r="A6" t="str" cm="1">
        <f t="array" ref="A6">IFERROR(INDEX('School Tables'!$A$4:$G$365,'School Tables'!$J4,3),"")</f>
        <v>Edward Fenn School</v>
      </c>
      <c r="B6" s="229">
        <f>IFERROR(VLOOKUP(A6,'School Tables'!$C$3:$D$365,2,FALSE),"")</f>
        <v>20745</v>
      </c>
      <c r="C6" s="222" t="str">
        <f>IFERROR(INDEX('School Tables'!$B$3:$B$365,MATCH('School Level Expenditures'!B6,'School Tables'!$D$3:$D$365,0)),"")</f>
        <v>Gorham Randolph Shelburne Cooperative</v>
      </c>
      <c r="D6" s="219">
        <v>3313535.91</v>
      </c>
      <c r="E6" s="219">
        <v>183649.13</v>
      </c>
      <c r="F6" s="231">
        <f t="shared" ref="F6:F20" si="2">D6+E6</f>
        <v>3497185.04</v>
      </c>
      <c r="G6" s="222"/>
      <c r="H6" s="222"/>
      <c r="J6" t="str">
        <f t="shared" ref="J6:J20" si="3">A6</f>
        <v>Edward Fenn School</v>
      </c>
      <c r="K6" s="20">
        <v>2027378.9</v>
      </c>
      <c r="L6" s="20">
        <v>417414.35</v>
      </c>
      <c r="M6" s="307">
        <v>177278.36</v>
      </c>
      <c r="N6" s="20">
        <v>193412.31</v>
      </c>
      <c r="O6" s="20">
        <f>1151216.58-135000</f>
        <v>1016216.5800000001</v>
      </c>
      <c r="P6" s="20">
        <f>225322-250-16258.7</f>
        <v>208813.3</v>
      </c>
      <c r="Q6" s="20">
        <v>37078.769999999997</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3618903.0900000003</v>
      </c>
      <c r="E21" s="261">
        <f>SUM(E5:E20)</f>
        <v>183649.13</v>
      </c>
      <c r="F21" s="216"/>
      <c r="G21" s="216"/>
      <c r="H21" s="216"/>
      <c r="K21" s="262">
        <f t="shared" ref="K21:Q21" si="4">SUM(K5:K20)</f>
        <v>2332746.08</v>
      </c>
      <c r="L21" s="262">
        <f t="shared" si="4"/>
        <v>417414.35</v>
      </c>
      <c r="M21" s="262">
        <f t="shared" si="4"/>
        <v>177278.36</v>
      </c>
      <c r="N21" s="262">
        <f t="shared" si="4"/>
        <v>193412.31</v>
      </c>
      <c r="O21" s="262">
        <f t="shared" si="4"/>
        <v>1016216.5800000001</v>
      </c>
      <c r="P21" s="262">
        <f t="shared" si="4"/>
        <v>208813.3</v>
      </c>
      <c r="Q21" s="262">
        <f t="shared" si="4"/>
        <v>37078.769999999997</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915968.25</v>
      </c>
      <c r="L23" s="19">
        <f>'DOE25'!L221+'DOE25'!L301</f>
        <v>241348.37999999998</v>
      </c>
      <c r="M23" s="19">
        <f>'DOE25'!L222+'DOE25'!L302</f>
        <v>79345.899999999994</v>
      </c>
      <c r="N23" s="19">
        <f>'DOE25'!L224+'DOE25'!L304</f>
        <v>126524.94</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1781129.1199999999</v>
      </c>
      <c r="G25" s="228">
        <f>'DOE25'!L230+'DOE25'!L310</f>
        <v>1781129.1248182328</v>
      </c>
      <c r="H25" s="263">
        <f>F25-G25</f>
        <v>-4.8182329628616571E-3</v>
      </c>
      <c r="I25" s="313" t="str">
        <f>IF(H25=0,"","ERROR!! Please review pages 8 and 12 totals in comparison with total on this page")</f>
        <v>ERROR!! Please review pages 8 and 12 totals in comparison with total on this page</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4140</v>
      </c>
      <c r="E26" s="219"/>
      <c r="F26" s="231">
        <f>D26+E26</f>
        <v>4140</v>
      </c>
      <c r="G26" s="222"/>
      <c r="H26" s="222"/>
      <c r="J26" s="71" t="s">
        <v>1798</v>
      </c>
      <c r="K26" s="315">
        <v>4140</v>
      </c>
      <c r="L26" s="315"/>
      <c r="M26" s="315"/>
      <c r="N26" s="315"/>
      <c r="O26" s="315"/>
      <c r="P26" s="315"/>
      <c r="Q26" s="315"/>
    </row>
    <row r="27" spans="1:17" x14ac:dyDescent="0.2">
      <c r="A27" t="str" cm="1">
        <f t="array" ref="A27">IFERROR(INDEX('School Tables'!$L$4:$R$100,'School Tables'!$U4,3),"")</f>
        <v>Gorham Middle School</v>
      </c>
      <c r="B27" s="229">
        <f>IFERROR(VLOOKUP(A27,'School Tables'!$N$4:$O$100,2,FALSE),"")</f>
        <v>27005</v>
      </c>
      <c r="C27" s="222" t="str">
        <f>IFERROR(INDEX('School Tables'!$M$4:$M$100,MATCH('School Level Expenditures'!A27,'School Tables'!$N$4:$N$100,0)),"")</f>
        <v>Gorham Randolph Shelburne Cooperative</v>
      </c>
      <c r="D27" s="219">
        <v>1751417.95</v>
      </c>
      <c r="E27" s="219">
        <v>25571.17</v>
      </c>
      <c r="F27" s="231">
        <f t="shared" ref="F27:F33" si="6">D27+E27</f>
        <v>1776989.1199999999</v>
      </c>
      <c r="G27" s="222"/>
      <c r="H27" s="222"/>
      <c r="J27" t="str">
        <f t="shared" ref="J27:J33" si="7">A27</f>
        <v>Gorham Middle School</v>
      </c>
      <c r="K27" s="20">
        <v>911828.25</v>
      </c>
      <c r="L27" s="20">
        <v>241348.38</v>
      </c>
      <c r="M27" s="307">
        <v>79345.899999999994</v>
      </c>
      <c r="N27" s="20">
        <v>126524.94</v>
      </c>
      <c r="O27" s="20">
        <f>712984.42-175000</f>
        <v>537984.42000000004</v>
      </c>
      <c r="P27" s="20">
        <v>53723.45</v>
      </c>
      <c r="Q27" s="20">
        <v>15249.68</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1755557.95</v>
      </c>
      <c r="E34" s="261">
        <f>SUM(E26:E33)</f>
        <v>25571.17</v>
      </c>
      <c r="F34" s="216"/>
      <c r="G34" s="216"/>
      <c r="H34" s="216"/>
      <c r="K34" s="262">
        <f t="shared" ref="K34:Q34" si="8">SUM(K26:K33)</f>
        <v>915968.25</v>
      </c>
      <c r="L34" s="262">
        <f t="shared" si="8"/>
        <v>241348.38</v>
      </c>
      <c r="M34" s="262">
        <f t="shared" si="8"/>
        <v>79345.899999999994</v>
      </c>
      <c r="N34" s="262">
        <f t="shared" si="8"/>
        <v>126524.94</v>
      </c>
      <c r="O34" s="262">
        <f t="shared" si="8"/>
        <v>537984.42000000004</v>
      </c>
      <c r="P34" s="262">
        <f t="shared" si="8"/>
        <v>53723.45</v>
      </c>
      <c r="Q34" s="262">
        <f t="shared" si="8"/>
        <v>15249.68</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2305127.0499999998</v>
      </c>
      <c r="L36" s="19">
        <f>'DOE25'!L239+'DOE25'!L320</f>
        <v>233972.02</v>
      </c>
      <c r="M36" s="19">
        <f>'DOE25'!L240+'DOE25'!L321</f>
        <v>143551.18</v>
      </c>
      <c r="N36" s="19">
        <f>'DOE25'!L242+'DOE25'!L323</f>
        <v>185765.56999999998</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3530890.96</v>
      </c>
      <c r="G38" s="228">
        <f>'DOE25'!L248+'DOE25'!L329</f>
        <v>3530890.9627387114</v>
      </c>
      <c r="H38" s="263">
        <f>F38-G38</f>
        <v>-2.7387114241719246E-3</v>
      </c>
      <c r="I38" s="313" t="str">
        <f>IF(H38=0,"","ERROR!! Please review pages 9 and 13 totals in comparison with total on this page")</f>
        <v>ERROR!! Please review pages 9 and 13 totals in comparison with total on this page</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367293.25</v>
      </c>
      <c r="E39" s="219"/>
      <c r="F39" s="231">
        <f t="shared" ref="F39:F44" si="10">D39+E39</f>
        <v>367293.25</v>
      </c>
      <c r="G39" s="222"/>
      <c r="H39" s="222"/>
      <c r="J39" s="71" t="s">
        <v>1798</v>
      </c>
      <c r="K39" s="315">
        <v>367293.25</v>
      </c>
      <c r="L39" s="315"/>
      <c r="M39" s="315"/>
      <c r="N39" s="315"/>
      <c r="O39" s="315"/>
      <c r="P39" s="315"/>
      <c r="Q39" s="315"/>
    </row>
    <row r="40" spans="1:17" x14ac:dyDescent="0.2">
      <c r="A40" t="str" cm="1">
        <f t="array" ref="A40">IFERROR(INDEX('School Tables'!$W$4:$AC$120,'School Tables'!$AF4,3),"")</f>
        <v>Gorham High School</v>
      </c>
      <c r="B40" s="229">
        <f>IFERROR(VLOOKUP(A40,'School Tables'!$Y$4:$Z$120,2,FALSE),"")</f>
        <v>20750</v>
      </c>
      <c r="C40" s="222" t="str">
        <f>IFERROR(INDEX('School Tables'!$X$4:$X$120,MATCH('School Level Expenditures'!A40,'School Tables'!$Y$4:$Y$120,0)),"")</f>
        <v>Gorham Randolph Shelburne Cooperative</v>
      </c>
      <c r="D40" s="219">
        <v>3130131.37</v>
      </c>
      <c r="E40" s="219">
        <v>33466.339999999997</v>
      </c>
      <c r="F40" s="231">
        <f t="shared" si="10"/>
        <v>3163597.71</v>
      </c>
      <c r="G40" s="222"/>
      <c r="H40" s="222"/>
      <c r="J40" t="str">
        <f>A40</f>
        <v>Gorham High School</v>
      </c>
      <c r="K40" s="20">
        <v>1937833.8</v>
      </c>
      <c r="L40" s="20">
        <v>233972.02</v>
      </c>
      <c r="M40" s="307">
        <v>143551.18</v>
      </c>
      <c r="N40" s="20">
        <v>185765.57</v>
      </c>
      <c r="O40" s="20">
        <f>1329912.81-265331.53</f>
        <v>1064581.28</v>
      </c>
      <c r="P40" s="20">
        <v>118733.6</v>
      </c>
      <c r="Q40" s="20">
        <v>47516.41</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3497424.62</v>
      </c>
      <c r="E45" s="262">
        <f>SUM(E39:E44)</f>
        <v>33466.339999999997</v>
      </c>
      <c r="K45" s="262">
        <f t="shared" ref="K45:Q45" si="11">SUM(K39:K44)</f>
        <v>2305127.0499999998</v>
      </c>
      <c r="L45" s="262">
        <f t="shared" si="11"/>
        <v>233972.02</v>
      </c>
      <c r="M45" s="262">
        <f t="shared" si="11"/>
        <v>143551.18</v>
      </c>
      <c r="N45" s="262">
        <f t="shared" si="11"/>
        <v>185765.57</v>
      </c>
      <c r="O45" s="262">
        <f t="shared" si="11"/>
        <v>1064581.28</v>
      </c>
      <c r="P45" s="262">
        <f t="shared" si="11"/>
        <v>118733.6</v>
      </c>
      <c r="Q45" s="262">
        <f t="shared" si="11"/>
        <v>47516.41</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Gorham Randolph Shelburne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397218.29</v>
      </c>
      <c r="D8" s="73">
        <f>'DOE25'!G9</f>
        <v>0</v>
      </c>
      <c r="E8" s="73">
        <f>'DOE25'!H9</f>
        <v>0</v>
      </c>
      <c r="F8" s="73">
        <f>'DOE25'!I9</f>
        <v>0</v>
      </c>
      <c r="G8" s="73">
        <f>'DOE25'!J9</f>
        <v>0</v>
      </c>
      <c r="H8" s="13">
        <f>SUM(C8:G8)</f>
        <v>397218.29</v>
      </c>
      <c r="I8" s="90"/>
    </row>
    <row r="9" spans="1:9" x14ac:dyDescent="0.2">
      <c r="A9" s="1" t="s">
        <v>140</v>
      </c>
      <c r="B9" s="6">
        <v>110</v>
      </c>
      <c r="C9" s="73">
        <f>'DOE25'!F10</f>
        <v>1469461.58</v>
      </c>
      <c r="D9" s="73">
        <f>'DOE25'!G10</f>
        <v>0</v>
      </c>
      <c r="E9" s="73">
        <f>'DOE25'!H10</f>
        <v>0</v>
      </c>
      <c r="F9" s="73">
        <f>'DOE25'!I10</f>
        <v>0</v>
      </c>
      <c r="G9" s="73">
        <f>'DOE25'!J10</f>
        <v>1238163.1500000001</v>
      </c>
      <c r="H9" s="13">
        <f t="shared" ref="H9:H18" si="0">SUM(C9:G9)</f>
        <v>2707624.7300000004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200661</v>
      </c>
      <c r="H11" s="13">
        <f t="shared" si="0"/>
        <v>200661</v>
      </c>
      <c r="I11" s="90"/>
    </row>
    <row r="12" spans="1:9" x14ac:dyDescent="0.2">
      <c r="A12" s="1" t="s">
        <v>143</v>
      </c>
      <c r="B12" s="6">
        <v>140</v>
      </c>
      <c r="C12" s="73">
        <f>'DOE25'!F13</f>
        <v>62541.84</v>
      </c>
      <c r="D12" s="73">
        <f>'DOE25'!G13</f>
        <v>30174.67</v>
      </c>
      <c r="E12" s="73">
        <f>'DOE25'!H13</f>
        <v>74019.37</v>
      </c>
      <c r="F12" s="73">
        <f>'DOE25'!I13</f>
        <v>0</v>
      </c>
      <c r="G12" s="73">
        <f>'DOE25'!J13</f>
        <v>0</v>
      </c>
      <c r="H12" s="13">
        <f t="shared" si="0"/>
        <v>166735.88</v>
      </c>
      <c r="I12" s="90"/>
    </row>
    <row r="13" spans="1:9" x14ac:dyDescent="0.2">
      <c r="A13" s="1" t="s">
        <v>144</v>
      </c>
      <c r="B13" s="6">
        <v>150</v>
      </c>
      <c r="C13" s="73">
        <f>'DOE25'!F14</f>
        <v>2249.4699999999998</v>
      </c>
      <c r="D13" s="73">
        <f>'DOE25'!G14</f>
        <v>0</v>
      </c>
      <c r="E13" s="73">
        <f>'DOE25'!H14</f>
        <v>0</v>
      </c>
      <c r="F13" s="73">
        <f>'DOE25'!I14</f>
        <v>0</v>
      </c>
      <c r="G13" s="73">
        <f>'DOE25'!J14</f>
        <v>0</v>
      </c>
      <c r="H13" s="13">
        <f t="shared" si="0"/>
        <v>2249.4699999999998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1931471.1800000002</v>
      </c>
      <c r="D18" s="38">
        <f>SUM(D8:D17)</f>
        <v>30174.67</v>
      </c>
      <c r="E18" s="38">
        <f>SUM(E8:E17)</f>
        <v>74019.37</v>
      </c>
      <c r="F18" s="38">
        <f>SUM(F8:F17)</f>
        <v>0</v>
      </c>
      <c r="G18" s="38">
        <f>SUM(G8:G17)</f>
        <v>1438824.1500000001</v>
      </c>
      <c r="H18" s="38">
        <f t="shared" si="0"/>
        <v>3474489.37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52483.22</v>
      </c>
      <c r="D21" s="73">
        <f>'DOE25'!G22</f>
        <v>-54842.09</v>
      </c>
      <c r="E21" s="73">
        <f>'DOE25'!H22</f>
        <v>79180.39</v>
      </c>
      <c r="F21" s="73">
        <f>'DOE25'!I22</f>
        <v>0</v>
      </c>
      <c r="G21" s="73">
        <f>'DOE25'!J22</f>
        <v>0</v>
      </c>
      <c r="H21" s="13">
        <f t="shared" ref="H21:H31" si="1">SUM(C21:G21)</f>
        <v>76821.52</v>
      </c>
      <c r="I21" s="90"/>
    </row>
    <row r="22" spans="1:9" x14ac:dyDescent="0.2">
      <c r="A22" s="1" t="s">
        <v>151</v>
      </c>
      <c r="B22" s="6">
        <v>410</v>
      </c>
      <c r="C22" s="73">
        <f>'DOE25'!F23</f>
        <v>87520.72</v>
      </c>
      <c r="D22" s="73">
        <f>'DOE25'!G23</f>
        <v>0</v>
      </c>
      <c r="E22" s="73">
        <f>'DOE25'!H23</f>
        <v>-5161.0200000000004</v>
      </c>
      <c r="F22" s="73">
        <f>'DOE25'!I23</f>
        <v>0</v>
      </c>
      <c r="G22" s="73">
        <f>'DOE25'!J23</f>
        <v>0</v>
      </c>
      <c r="H22" s="13">
        <f t="shared" si="1"/>
        <v>82359.7</v>
      </c>
      <c r="I22" s="90"/>
    </row>
    <row r="23" spans="1:9" x14ac:dyDescent="0.2">
      <c r="A23" s="1" t="s">
        <v>152</v>
      </c>
      <c r="B23" s="6">
        <v>420</v>
      </c>
      <c r="C23" s="73">
        <f>'DOE25'!F24</f>
        <v>289999.24000000005</v>
      </c>
      <c r="D23" s="73">
        <f>'DOE25'!G24</f>
        <v>16338.039999999999</v>
      </c>
      <c r="E23" s="73">
        <f>'DOE25'!H24</f>
        <v>0</v>
      </c>
      <c r="F23" s="73">
        <f>'DOE25'!I24</f>
        <v>0</v>
      </c>
      <c r="G23" s="73">
        <f>'DOE25'!J24</f>
        <v>0</v>
      </c>
      <c r="H23" s="13">
        <f t="shared" si="1"/>
        <v>306337.28000000003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430003.18000000005</v>
      </c>
      <c r="D31" s="38">
        <f>SUM(D21:D30)</f>
        <v>-38504.049999999996</v>
      </c>
      <c r="E31" s="38">
        <f>SUM(E21:E30)</f>
        <v>74019.37</v>
      </c>
      <c r="F31" s="38">
        <f>SUM(F21:F30)</f>
        <v>0</v>
      </c>
      <c r="G31" s="38">
        <f>SUM(G21:G30)</f>
        <v>0</v>
      </c>
      <c r="H31" s="38">
        <f t="shared" si="1"/>
        <v>465518.50000000006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23570.16</v>
      </c>
      <c r="H36" s="13">
        <f t="shared" si="2"/>
        <v>23570.16</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68678.720000000001</v>
      </c>
      <c r="E39" s="23" t="s">
        <v>288</v>
      </c>
      <c r="F39" s="23" t="s">
        <v>288</v>
      </c>
      <c r="G39" s="23" t="s">
        <v>288</v>
      </c>
      <c r="H39" s="13">
        <f t="shared" si="2"/>
        <v>68678.720000000001</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296338.40000000002</v>
      </c>
      <c r="D45" s="23" t="s">
        <v>288</v>
      </c>
      <c r="E45" s="23" t="s">
        <v>288</v>
      </c>
      <c r="F45" s="23" t="s">
        <v>288</v>
      </c>
      <c r="G45" s="23" t="s">
        <v>288</v>
      </c>
      <c r="H45" s="13">
        <f t="shared" si="2"/>
        <v>296338.40000000002</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1415253.99</v>
      </c>
      <c r="H47" s="13">
        <f t="shared" si="2"/>
        <v>1415253.99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1205129.6000000001</v>
      </c>
      <c r="D49" s="23" t="s">
        <v>288</v>
      </c>
      <c r="E49" s="23" t="s">
        <v>288</v>
      </c>
      <c r="F49" s="23" t="s">
        <v>288</v>
      </c>
      <c r="G49" s="23" t="s">
        <v>288</v>
      </c>
      <c r="H49" s="13">
        <f t="shared" si="2"/>
        <v>1205129.6000000001</v>
      </c>
      <c r="I49" s="90"/>
    </row>
    <row r="50" spans="1:9" ht="12.75" thickTop="1" thickBot="1" x14ac:dyDescent="0.25">
      <c r="A50" s="35" t="s">
        <v>880</v>
      </c>
      <c r="B50" s="44"/>
      <c r="C50" s="38">
        <f>SUM(C34:C49)</f>
        <v>1501468</v>
      </c>
      <c r="D50" s="38">
        <f>SUM(D34:D49)</f>
        <v>68678.720000000001</v>
      </c>
      <c r="E50" s="38">
        <f>SUM(E34:E49)</f>
        <v>0</v>
      </c>
      <c r="F50" s="38">
        <f>SUM(F34:F49)</f>
        <v>0</v>
      </c>
      <c r="G50" s="38">
        <f>SUM(G34:G49)</f>
        <v>1438824.15</v>
      </c>
      <c r="H50" s="38">
        <f t="shared" si="2"/>
        <v>3008970.87</v>
      </c>
      <c r="I50" s="90"/>
    </row>
    <row r="51" spans="1:9" ht="12" thickTop="1" x14ac:dyDescent="0.2">
      <c r="A51" s="35" t="s">
        <v>881</v>
      </c>
      <c r="B51" s="2"/>
      <c r="C51" s="38">
        <f>C50+C31</f>
        <v>1931471.1800000002</v>
      </c>
      <c r="D51" s="38">
        <f>D50+D31</f>
        <v>30174.670000000006</v>
      </c>
      <c r="E51" s="38">
        <f>E50+E31</f>
        <v>74019.37</v>
      </c>
      <c r="F51" s="38">
        <f>F50+F31</f>
        <v>0</v>
      </c>
      <c r="G51" s="38">
        <f>G50+G31</f>
        <v>1438824.15</v>
      </c>
      <c r="H51" s="38">
        <f t="shared" si="2"/>
        <v>3474489.37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5957429</v>
      </c>
      <c r="D56" s="73">
        <f>'DOE25'!G60</f>
        <v>0</v>
      </c>
      <c r="E56" s="73">
        <f>'DOE25'!H60</f>
        <v>0</v>
      </c>
      <c r="F56" s="73">
        <f>'DOE25'!I60</f>
        <v>0</v>
      </c>
      <c r="G56" s="73">
        <f>'DOE25'!J60</f>
        <v>0</v>
      </c>
      <c r="H56" s="13">
        <f t="shared" ref="H56:H63" si="3">SUM(C56:G56)</f>
        <v>5957429</v>
      </c>
      <c r="I56"/>
    </row>
    <row r="57" spans="1:9" x14ac:dyDescent="0.2">
      <c r="A57" s="1" t="s">
        <v>164</v>
      </c>
      <c r="B57" s="6" t="s">
        <v>165</v>
      </c>
      <c r="C57" s="73">
        <f>'DOE25'!F79</f>
        <v>212163.7</v>
      </c>
      <c r="D57" s="23" t="s">
        <v>288</v>
      </c>
      <c r="E57" s="73">
        <f>'DOE25'!H79</f>
        <v>0</v>
      </c>
      <c r="F57" s="23" t="s">
        <v>288</v>
      </c>
      <c r="G57" s="23" t="s">
        <v>288</v>
      </c>
      <c r="H57" s="13">
        <f t="shared" si="3"/>
        <v>212163.7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143129.60999999999</v>
      </c>
      <c r="D59" s="73">
        <f>'DOE25'!G96</f>
        <v>0</v>
      </c>
      <c r="E59" s="73">
        <f>'DOE25'!H96</f>
        <v>0</v>
      </c>
      <c r="F59" s="73">
        <f>'DOE25'!I96</f>
        <v>0</v>
      </c>
      <c r="G59" s="73">
        <f>'DOE25'!J96</f>
        <v>57826.8</v>
      </c>
      <c r="H59" s="13">
        <f t="shared" si="3"/>
        <v>200956.40999999997</v>
      </c>
      <c r="I59"/>
    </row>
    <row r="60" spans="1:9" x14ac:dyDescent="0.2">
      <c r="A60" s="1" t="s">
        <v>170</v>
      </c>
      <c r="B60" s="22" t="s">
        <v>171</v>
      </c>
      <c r="C60" s="23" t="s">
        <v>288</v>
      </c>
      <c r="D60" s="73">
        <f>'DOE25'!G97</f>
        <v>102952.33</v>
      </c>
      <c r="E60" s="23" t="s">
        <v>288</v>
      </c>
      <c r="F60" s="23" t="s">
        <v>288</v>
      </c>
      <c r="G60" s="23" t="s">
        <v>288</v>
      </c>
      <c r="H60" s="13">
        <f t="shared" si="3"/>
        <v>102952.33</v>
      </c>
      <c r="I60"/>
    </row>
    <row r="61" spans="1:9" ht="12" thickBot="1" x14ac:dyDescent="0.25">
      <c r="A61" s="1" t="s">
        <v>172</v>
      </c>
      <c r="B61" s="22" t="s">
        <v>173</v>
      </c>
      <c r="C61" s="73">
        <f>SUM('DOE25'!F98:F110)</f>
        <v>213265.11000000002</v>
      </c>
      <c r="D61" s="73">
        <f>SUM('DOE25'!G98:G110)</f>
        <v>0</v>
      </c>
      <c r="E61" s="73">
        <f>SUM('DOE25'!H98:H110)</f>
        <v>0</v>
      </c>
      <c r="F61" s="73">
        <f>SUM('DOE25'!I98:I110)</f>
        <v>0</v>
      </c>
      <c r="G61" s="73">
        <f>SUM('DOE25'!J98:J110)</f>
        <v>0</v>
      </c>
      <c r="H61" s="13">
        <f t="shared" si="3"/>
        <v>213265.11000000002</v>
      </c>
      <c r="I61"/>
    </row>
    <row r="62" spans="1:9" ht="12.75" thickTop="1" thickBot="1" x14ac:dyDescent="0.25">
      <c r="A62" s="28" t="s">
        <v>174</v>
      </c>
      <c r="B62" s="6"/>
      <c r="C62" s="93">
        <f>SUM(C57:C61)</f>
        <v>568558.42000000004</v>
      </c>
      <c r="D62" s="93">
        <f>SUM(D57:D61)</f>
        <v>102952.33</v>
      </c>
      <c r="E62" s="93">
        <f>SUM(E57:E61)</f>
        <v>0</v>
      </c>
      <c r="F62" s="93">
        <f>SUM(F57:F61)</f>
        <v>0</v>
      </c>
      <c r="G62" s="93">
        <f>SUM(G57:G61)</f>
        <v>57826.8</v>
      </c>
      <c r="H62" s="13">
        <f t="shared" si="3"/>
        <v>729337.55</v>
      </c>
      <c r="I62"/>
    </row>
    <row r="63" spans="1:9" ht="12" thickTop="1" x14ac:dyDescent="0.2">
      <c r="A63" s="28" t="s">
        <v>175</v>
      </c>
      <c r="B63" s="6"/>
      <c r="C63" s="21">
        <f>C56+C62</f>
        <v>6525987.4199999999</v>
      </c>
      <c r="D63" s="21">
        <f>D56+D62</f>
        <v>102952.33</v>
      </c>
      <c r="E63" s="21">
        <f>E56+E62</f>
        <v>0</v>
      </c>
      <c r="F63" s="21">
        <f>F56+F62</f>
        <v>0</v>
      </c>
      <c r="G63" s="21">
        <f>G56+G62</f>
        <v>57826.8</v>
      </c>
      <c r="H63" s="13">
        <f t="shared" si="3"/>
        <v>6686766.5499999998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2171743.61</v>
      </c>
      <c r="D66" s="23" t="s">
        <v>288</v>
      </c>
      <c r="E66" s="23" t="s">
        <v>288</v>
      </c>
      <c r="F66" s="23" t="s">
        <v>288</v>
      </c>
      <c r="G66" s="23" t="s">
        <v>288</v>
      </c>
      <c r="H66" s="13">
        <f t="shared" ref="H66:H81" si="4">SUM(C66:G66)</f>
        <v>2171743.61</v>
      </c>
      <c r="I66"/>
    </row>
    <row r="67" spans="1:9" x14ac:dyDescent="0.2">
      <c r="A67" s="1" t="s">
        <v>767</v>
      </c>
      <c r="B67" s="6">
        <v>3112</v>
      </c>
      <c r="C67" s="73">
        <f>'DOE25'!F118</f>
        <v>596688</v>
      </c>
      <c r="D67" s="23"/>
      <c r="E67" s="23"/>
      <c r="F67" s="23"/>
      <c r="G67" s="23"/>
      <c r="H67" s="13">
        <f t="shared" si="4"/>
        <v>596688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13688.79</v>
      </c>
      <c r="D69" s="73">
        <f>'DOE25'!G120</f>
        <v>0</v>
      </c>
      <c r="E69" s="73">
        <f>'DOE25'!H120</f>
        <v>0</v>
      </c>
      <c r="F69" s="73">
        <f>'DOE25'!I120</f>
        <v>0</v>
      </c>
      <c r="G69" s="73">
        <f>'DOE25'!J120</f>
        <v>0</v>
      </c>
      <c r="H69" s="13">
        <f t="shared" si="4"/>
        <v>13688.79</v>
      </c>
      <c r="I69"/>
    </row>
    <row r="70" spans="1:9" ht="12" thickTop="1" x14ac:dyDescent="0.2">
      <c r="A70" s="28" t="s">
        <v>252</v>
      </c>
      <c r="B70" s="2"/>
      <c r="C70" s="97">
        <f>SUM(C66:C69)</f>
        <v>2782120.4</v>
      </c>
      <c r="D70" s="97">
        <f>D69</f>
        <v>0</v>
      </c>
      <c r="E70" s="97">
        <f>E69</f>
        <v>0</v>
      </c>
      <c r="F70" s="97">
        <f>F69</f>
        <v>0</v>
      </c>
      <c r="G70" s="97">
        <f>G69</f>
        <v>0</v>
      </c>
      <c r="H70" s="13">
        <f t="shared" si="4"/>
        <v>2782120.4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470122.2</v>
      </c>
      <c r="D75" s="23" t="s">
        <v>288</v>
      </c>
      <c r="E75" s="23" t="s">
        <v>288</v>
      </c>
      <c r="F75" s="23" t="s">
        <v>288</v>
      </c>
      <c r="G75" s="23" t="s">
        <v>288</v>
      </c>
      <c r="H75" s="13">
        <f t="shared" si="4"/>
        <v>470122.2</v>
      </c>
      <c r="I75"/>
    </row>
    <row r="76" spans="1:9" x14ac:dyDescent="0.2">
      <c r="A76" s="1" t="s">
        <v>257</v>
      </c>
      <c r="B76" s="6" t="s">
        <v>179</v>
      </c>
      <c r="C76" s="73">
        <f>SUM('DOE25'!F127:F130)</f>
        <v>4076.8</v>
      </c>
      <c r="D76" s="23" t="s">
        <v>288</v>
      </c>
      <c r="E76" s="73">
        <f>SUM('DOE25'!H127:H130)</f>
        <v>0</v>
      </c>
      <c r="F76" s="73">
        <f>SUM('DOE25'!I127:I130)</f>
        <v>0</v>
      </c>
      <c r="G76" s="23" t="s">
        <v>288</v>
      </c>
      <c r="H76" s="13">
        <f t="shared" si="4"/>
        <v>4076.8</v>
      </c>
      <c r="I76"/>
    </row>
    <row r="77" spans="1:9" ht="12" thickBot="1" x14ac:dyDescent="0.25">
      <c r="A77" s="1" t="s">
        <v>258</v>
      </c>
      <c r="B77" s="6" t="s">
        <v>180</v>
      </c>
      <c r="C77" s="73">
        <f>SUM('DOE25'!F131:F135)</f>
        <v>0</v>
      </c>
      <c r="D77" s="73">
        <f>SUM('DOE25'!G131:G135)</f>
        <v>2449.29</v>
      </c>
      <c r="E77" s="73">
        <f>SUM('DOE25'!H131:H135)</f>
        <v>0</v>
      </c>
      <c r="F77" s="73">
        <f>SUM('DOE25'!I131:I135)</f>
        <v>0</v>
      </c>
      <c r="G77" s="73">
        <f>SUM('DOE25'!J131:J135)</f>
        <v>0</v>
      </c>
      <c r="H77" s="13">
        <f t="shared" si="4"/>
        <v>2449.29</v>
      </c>
      <c r="I77"/>
    </row>
    <row r="78" spans="1:9" ht="12.75" thickTop="1" thickBot="1" x14ac:dyDescent="0.25">
      <c r="A78" s="28" t="s">
        <v>259</v>
      </c>
      <c r="B78" s="6"/>
      <c r="C78" s="93">
        <f>SUM(C72:C77)</f>
        <v>474199</v>
      </c>
      <c r="D78" s="93">
        <f>SUM(D72:D77)</f>
        <v>2449.29</v>
      </c>
      <c r="E78" s="93">
        <f>SUM(E72:E77)</f>
        <v>0</v>
      </c>
      <c r="F78" s="93">
        <f>SUM(F72:F77)</f>
        <v>0</v>
      </c>
      <c r="G78" s="93">
        <f>SUM(G72:G77)</f>
        <v>0</v>
      </c>
      <c r="H78" s="13">
        <f t="shared" si="4"/>
        <v>476648.29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3256319.4</v>
      </c>
      <c r="D81" s="93">
        <f>SUM(D79:D80)+D78+D70</f>
        <v>2449.29</v>
      </c>
      <c r="E81" s="93">
        <f>SUM(E79:E80)+E78+E70</f>
        <v>0</v>
      </c>
      <c r="F81" s="93">
        <f>SUM(F79:F80)+F78+F70</f>
        <v>0</v>
      </c>
      <c r="G81" s="93">
        <f>SUM(G79:G80)+G78+G70</f>
        <v>0</v>
      </c>
      <c r="H81" s="93">
        <f t="shared" si="4"/>
        <v>3258768.69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61956.33</v>
      </c>
      <c r="E88" s="252">
        <f>SUM('DOE25'!H153:H162)</f>
        <v>256077.35</v>
      </c>
      <c r="F88" s="252">
        <f>SUM('DOE25'!I153:I162)</f>
        <v>0</v>
      </c>
      <c r="G88" s="23" t="s">
        <v>288</v>
      </c>
      <c r="H88" s="13">
        <f t="shared" si="5"/>
        <v>318033.68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31183.439999999999</v>
      </c>
      <c r="D90" s="23" t="s">
        <v>288</v>
      </c>
      <c r="E90" s="23" t="s">
        <v>288</v>
      </c>
      <c r="F90" s="23" t="s">
        <v>288</v>
      </c>
      <c r="G90" s="23" t="s">
        <v>288</v>
      </c>
      <c r="H90" s="13">
        <f t="shared" si="5"/>
        <v>31183.439999999999</v>
      </c>
    </row>
    <row r="91" spans="1:9" ht="12.75" thickTop="1" thickBot="1" x14ac:dyDescent="0.25">
      <c r="A91" s="32" t="s">
        <v>747</v>
      </c>
      <c r="C91" s="94">
        <f>SUM(C85:C90)</f>
        <v>31183.439999999999</v>
      </c>
      <c r="D91" s="94">
        <f>SUM(D85:D90)</f>
        <v>61956.33</v>
      </c>
      <c r="E91" s="94">
        <f>SUM(E85:E90)</f>
        <v>256077.35</v>
      </c>
      <c r="F91" s="94">
        <f>SUM(F85:F90)</f>
        <v>0</v>
      </c>
      <c r="G91" s="23" t="s">
        <v>288</v>
      </c>
      <c r="H91" s="13">
        <f t="shared" si="5"/>
        <v>349217.12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167814.01</v>
      </c>
      <c r="E96" s="73">
        <f>'DOE25'!H180</f>
        <v>0</v>
      </c>
      <c r="F96" s="73">
        <f>'DOE25'!I180</f>
        <v>0</v>
      </c>
      <c r="G96" s="73">
        <f>'DOE25'!J180</f>
        <v>200661</v>
      </c>
      <c r="H96" s="13">
        <f t="shared" si="5"/>
        <v>368475.01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167814.01</v>
      </c>
      <c r="E103" s="68">
        <f>SUM(E93:E102)</f>
        <v>0</v>
      </c>
      <c r="F103" s="68">
        <f>SUM(F93:F102)</f>
        <v>0</v>
      </c>
      <c r="G103" s="68">
        <f>SUM(G93:G102)</f>
        <v>200661</v>
      </c>
      <c r="H103" s="68">
        <f t="shared" si="5"/>
        <v>368475.01</v>
      </c>
    </row>
    <row r="104" spans="1:8" ht="12.75" thickTop="1" thickBot="1" x14ac:dyDescent="0.25">
      <c r="A104" s="32" t="s">
        <v>758</v>
      </c>
      <c r="C104" s="68">
        <f>C63+C81+C91+C103</f>
        <v>9813490.2599999998</v>
      </c>
      <c r="D104" s="68">
        <f>D63+D81+D91+D103</f>
        <v>335171.96000000002</v>
      </c>
      <c r="E104" s="68">
        <f>E63+E81+E91+E103</f>
        <v>256077.35</v>
      </c>
      <c r="F104" s="68">
        <f>F63+F81+F91+F103</f>
        <v>0</v>
      </c>
      <c r="G104" s="68">
        <f>G63+G81+G103</f>
        <v>258487.8</v>
      </c>
      <c r="H104" s="68">
        <f t="shared" si="5"/>
        <v>10663227.370000001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3228011.9000000004</v>
      </c>
      <c r="D109" s="23" t="s">
        <v>288</v>
      </c>
      <c r="E109" s="73">
        <f>('DOE25'!L277)+('DOE25'!L296)+('DOE25'!L315)</f>
        <v>120100.96999999999</v>
      </c>
      <c r="F109" s="23" t="s">
        <v>288</v>
      </c>
      <c r="G109" s="23" t="s">
        <v>288</v>
      </c>
      <c r="H109" s="13">
        <f t="shared" ref="H109:H115" si="6">SUM(C109:G109)</f>
        <v>3348112.8700000006</v>
      </c>
    </row>
    <row r="110" spans="1:8" x14ac:dyDescent="0.2">
      <c r="A110" t="s">
        <v>198</v>
      </c>
      <c r="B110" s="31" t="s">
        <v>199</v>
      </c>
      <c r="C110" s="73">
        <f>('DOE25'!L199)+('DOE25'!L217)+('DOE25'!L235)</f>
        <v>1858800.2100000002</v>
      </c>
      <c r="D110" s="23" t="s">
        <v>288</v>
      </c>
      <c r="E110" s="73">
        <f>('DOE25'!L278)+('DOE25'!L297)+('DOE25'!L316)</f>
        <v>38828.26</v>
      </c>
      <c r="F110" s="23" t="s">
        <v>288</v>
      </c>
      <c r="G110" s="23" t="s">
        <v>288</v>
      </c>
      <c r="H110" s="13">
        <f t="shared" si="6"/>
        <v>1897628.4700000002</v>
      </c>
    </row>
    <row r="111" spans="1:8" x14ac:dyDescent="0.2">
      <c r="A111" t="s">
        <v>200</v>
      </c>
      <c r="B111" s="31" t="s">
        <v>165</v>
      </c>
      <c r="C111" s="73">
        <f>('DOE25'!L200)+('DOE25'!L218)+('DOE25'!L236)</f>
        <v>53703.07</v>
      </c>
      <c r="D111" s="23" t="s">
        <v>288</v>
      </c>
      <c r="E111" s="73">
        <f>('DOE25'!L279)+('DOE25'!L298)+('DOE25'!L317)</f>
        <v>0</v>
      </c>
      <c r="F111" s="23" t="s">
        <v>288</v>
      </c>
      <c r="G111" s="23" t="s">
        <v>288</v>
      </c>
      <c r="H111" s="13">
        <f t="shared" si="6"/>
        <v>53703.07</v>
      </c>
    </row>
    <row r="112" spans="1:8" x14ac:dyDescent="0.2">
      <c r="A112" t="s">
        <v>201</v>
      </c>
      <c r="B112" s="31" t="s">
        <v>167</v>
      </c>
      <c r="C112" s="73">
        <f>('DOE25'!L201)+('DOE25'!L219)+('DOE25'!L237)</f>
        <v>241276.88999999998</v>
      </c>
      <c r="D112" s="23" t="s">
        <v>288</v>
      </c>
      <c r="E112" s="73">
        <f>+('DOE25'!L280)+('DOE25'!L299)+('DOE25'!L318)</f>
        <v>13120.080000000002</v>
      </c>
      <c r="F112" s="23" t="s">
        <v>288</v>
      </c>
      <c r="G112" s="23" t="s">
        <v>288</v>
      </c>
      <c r="H112" s="13">
        <f t="shared" si="6"/>
        <v>254396.96999999997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5381792.0700000003</v>
      </c>
      <c r="D115" s="68">
        <f>SUM(D109:D114)</f>
        <v>0</v>
      </c>
      <c r="E115" s="68">
        <f>SUM(E109:E114)</f>
        <v>172049.31</v>
      </c>
      <c r="F115" s="68">
        <f>SUM(F109:F114)</f>
        <v>0</v>
      </c>
      <c r="G115" s="68">
        <f>SUM(G109:G114)</f>
        <v>0</v>
      </c>
      <c r="H115" s="68">
        <f t="shared" si="6"/>
        <v>5553841.3799999999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881927.90999999992</v>
      </c>
      <c r="D118" s="23" t="s">
        <v>288</v>
      </c>
      <c r="E118" s="73">
        <f>+('DOE25'!L282)+('DOE25'!L301)+('DOE25'!L320)</f>
        <v>10806.84</v>
      </c>
      <c r="F118" s="23" t="s">
        <v>288</v>
      </c>
      <c r="G118" s="23" t="s">
        <v>288</v>
      </c>
      <c r="H118" s="13">
        <f t="shared" ref="H118:H145" si="7">SUM(C118:G118)</f>
        <v>892734.74999999988</v>
      </c>
    </row>
    <row r="119" spans="1:8" x14ac:dyDescent="0.2">
      <c r="A119" t="s">
        <v>208</v>
      </c>
      <c r="B119" s="31" t="s">
        <v>209</v>
      </c>
      <c r="C119" s="73">
        <f>('DOE25'!L204)+('DOE25'!L222)+('DOE25'!L240)</f>
        <v>376395.94999999995</v>
      </c>
      <c r="D119" s="23" t="s">
        <v>288</v>
      </c>
      <c r="E119" s="73">
        <f>+('DOE25'!L283)+('DOE25'!L302)+('DOE25'!L321)</f>
        <v>23779.49</v>
      </c>
      <c r="F119" s="23" t="s">
        <v>288</v>
      </c>
      <c r="G119" s="23" t="s">
        <v>288</v>
      </c>
      <c r="H119" s="13">
        <f t="shared" si="7"/>
        <v>400175.43999999994</v>
      </c>
    </row>
    <row r="120" spans="1:8" x14ac:dyDescent="0.2">
      <c r="A120" t="s">
        <v>210</v>
      </c>
      <c r="B120" s="31" t="s">
        <v>211</v>
      </c>
      <c r="C120" s="73">
        <f>('DOE25'!L205)+('DOE25'!L223)+('DOE25'!L241)</f>
        <v>644942.30000000005</v>
      </c>
      <c r="D120" s="23" t="s">
        <v>288</v>
      </c>
      <c r="E120" s="73">
        <f>+('DOE25'!L284)+('DOE25'!L303)+('DOE25'!L322)</f>
        <v>0</v>
      </c>
      <c r="F120" s="23" t="s">
        <v>288</v>
      </c>
      <c r="G120" s="23" t="s">
        <v>288</v>
      </c>
      <c r="H120" s="13">
        <f t="shared" si="7"/>
        <v>644942.30000000005</v>
      </c>
    </row>
    <row r="121" spans="1:8" x14ac:dyDescent="0.2">
      <c r="A121" t="s">
        <v>212</v>
      </c>
      <c r="B121" s="31" t="s">
        <v>213</v>
      </c>
      <c r="C121" s="73">
        <f>('DOE25'!L206)+('DOE25'!L224)+('DOE25'!L242)</f>
        <v>505702.81999999995</v>
      </c>
      <c r="D121" s="23" t="s">
        <v>288</v>
      </c>
      <c r="E121" s="73">
        <f>+('DOE25'!L285)+('DOE25'!L304)+('DOE25'!L323)</f>
        <v>0</v>
      </c>
      <c r="F121" s="23" t="s">
        <v>288</v>
      </c>
      <c r="G121" s="23" t="s">
        <v>288</v>
      </c>
      <c r="H121" s="13">
        <f t="shared" si="7"/>
        <v>505702.81999999995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748606.22</v>
      </c>
      <c r="D123" s="23" t="s">
        <v>288</v>
      </c>
      <c r="E123" s="73">
        <f>+('DOE25'!L287)+('DOE25'!L306)+('DOE25'!L325)</f>
        <v>36051</v>
      </c>
      <c r="F123" s="23" t="s">
        <v>288</v>
      </c>
      <c r="G123" s="23" t="s">
        <v>288</v>
      </c>
      <c r="H123" s="13">
        <f t="shared" si="7"/>
        <v>784657.22</v>
      </c>
    </row>
    <row r="124" spans="1:8" x14ac:dyDescent="0.2">
      <c r="A124" t="s">
        <v>218</v>
      </c>
      <c r="B124" s="31" t="s">
        <v>219</v>
      </c>
      <c r="C124" s="73">
        <f>('DOE25'!L209)+('DOE25'!L227)+('DOE25'!L245+'DOE25'!L255)</f>
        <v>332518.40000000002</v>
      </c>
      <c r="D124" s="23" t="s">
        <v>288</v>
      </c>
      <c r="E124" s="73">
        <f>+('DOE25'!L288)+('DOE25'!L307)+('DOE25'!L326)</f>
        <v>0</v>
      </c>
      <c r="F124" s="23" t="s">
        <v>288</v>
      </c>
      <c r="G124" s="23" t="s">
        <v>288</v>
      </c>
      <c r="H124" s="13">
        <f t="shared" si="7"/>
        <v>332518.40000000002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335171.95999999996</v>
      </c>
      <c r="E127" s="23" t="s">
        <v>288</v>
      </c>
      <c r="F127" s="23" t="s">
        <v>288</v>
      </c>
      <c r="G127" s="23" t="s">
        <v>288</v>
      </c>
      <c r="H127" s="13">
        <f t="shared" si="7"/>
        <v>335171.95999999996</v>
      </c>
    </row>
    <row r="128" spans="1:8" ht="12.75" thickTop="1" thickBot="1" x14ac:dyDescent="0.25">
      <c r="A128" s="32" t="s">
        <v>226</v>
      </c>
      <c r="C128" s="68">
        <f>SUM(C118:C127)</f>
        <v>3490093.6</v>
      </c>
      <c r="D128" s="68">
        <f>SUM(D118:D127)</f>
        <v>335171.95999999996</v>
      </c>
      <c r="E128" s="68">
        <f>SUM(E118:E127)</f>
        <v>70637.33</v>
      </c>
      <c r="F128" s="68">
        <f>SUM(F118:F127)</f>
        <v>0</v>
      </c>
      <c r="G128" s="68">
        <f>SUM(G118:G127)</f>
        <v>0</v>
      </c>
      <c r="H128" s="68">
        <f t="shared" si="7"/>
        <v>3895902.89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179046</v>
      </c>
      <c r="D130" s="23" t="s">
        <v>288</v>
      </c>
      <c r="E130" s="92">
        <f>'DOE25'!L337</f>
        <v>0</v>
      </c>
      <c r="F130" s="92">
        <f>SUM('DOE25'!L375:'DOE25'!L381)</f>
        <v>0</v>
      </c>
      <c r="G130" s="23" t="s">
        <v>288</v>
      </c>
      <c r="H130" s="13">
        <f t="shared" si="7"/>
        <v>179046</v>
      </c>
    </row>
    <row r="131" spans="1:8" x14ac:dyDescent="0.2">
      <c r="A131" t="s">
        <v>229</v>
      </c>
      <c r="B131" s="31">
        <v>5110</v>
      </c>
      <c r="C131" s="73">
        <f>'DOE25'!L261</f>
        <v>151387.54</v>
      </c>
      <c r="D131" s="23" t="s">
        <v>288</v>
      </c>
      <c r="E131" s="92">
        <f>'DOE25'!L342</f>
        <v>0</v>
      </c>
      <c r="F131" s="23" t="s">
        <v>288</v>
      </c>
      <c r="G131" s="23" t="s">
        <v>288</v>
      </c>
      <c r="H131" s="13">
        <f t="shared" si="7"/>
        <v>151387.54</v>
      </c>
    </row>
    <row r="132" spans="1:8" x14ac:dyDescent="0.2">
      <c r="A132" t="s">
        <v>230</v>
      </c>
      <c r="B132" s="31">
        <v>5120</v>
      </c>
      <c r="C132" s="73">
        <f>'DOE25'!L262</f>
        <v>5488.68</v>
      </c>
      <c r="D132" s="23" t="s">
        <v>288</v>
      </c>
      <c r="E132" s="92">
        <f>'DOE25'!L343</f>
        <v>0</v>
      </c>
      <c r="F132" s="23" t="s">
        <v>288</v>
      </c>
      <c r="G132" s="23" t="s">
        <v>288</v>
      </c>
      <c r="H132" s="13">
        <f t="shared" si="7"/>
        <v>5488.68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167814.01</v>
      </c>
      <c r="D135" s="23" t="s">
        <v>288</v>
      </c>
      <c r="E135" s="92">
        <f>'DOE25'!L346</f>
        <v>0</v>
      </c>
      <c r="F135" s="23" t="s">
        <v>288</v>
      </c>
      <c r="G135" s="23" t="s">
        <v>288</v>
      </c>
      <c r="H135" s="13">
        <f t="shared" si="7"/>
        <v>167814.01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230220.31</v>
      </c>
      <c r="D138" s="23" t="s">
        <v>288</v>
      </c>
      <c r="E138" s="23" t="s">
        <v>288</v>
      </c>
      <c r="F138" s="23" t="s">
        <v>288</v>
      </c>
      <c r="G138" s="23" t="s">
        <v>288</v>
      </c>
      <c r="H138" s="13">
        <f t="shared" si="7"/>
        <v>230220.31</v>
      </c>
    </row>
    <row r="139" spans="1:8" x14ac:dyDescent="0.2">
      <c r="A139" t="s">
        <v>239</v>
      </c>
      <c r="B139" s="31">
        <v>5252</v>
      </c>
      <c r="C139" s="73">
        <f>'DOE25'!L402</f>
        <v>28267.49</v>
      </c>
      <c r="D139" s="23" t="s">
        <v>288</v>
      </c>
      <c r="E139" s="23" t="s">
        <v>288</v>
      </c>
      <c r="F139" s="23" t="s">
        <v>288</v>
      </c>
      <c r="G139" s="23" t="s">
        <v>288</v>
      </c>
      <c r="H139" s="13">
        <f t="shared" si="7"/>
        <v>28267.49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-57826.799999999988</v>
      </c>
      <c r="D141" s="23" t="s">
        <v>288</v>
      </c>
      <c r="E141" s="23" t="s">
        <v>288</v>
      </c>
      <c r="F141" s="23" t="s">
        <v>288</v>
      </c>
      <c r="G141" s="23" t="s">
        <v>288</v>
      </c>
      <c r="H141" s="13">
        <f t="shared" si="7"/>
        <v>-57826.799999999988</v>
      </c>
    </row>
    <row r="142" spans="1:8" x14ac:dyDescent="0.2">
      <c r="A142" t="s">
        <v>241</v>
      </c>
      <c r="B142" s="31">
        <v>5310</v>
      </c>
      <c r="C142" s="92">
        <f>'DOE25'!L269</f>
        <v>6628.13</v>
      </c>
      <c r="D142" s="23" t="s">
        <v>288</v>
      </c>
      <c r="E142" s="92">
        <f>'DOE25'!L350</f>
        <v>0</v>
      </c>
      <c r="F142" s="23" t="s">
        <v>288</v>
      </c>
      <c r="G142" s="23" t="s">
        <v>288</v>
      </c>
      <c r="H142" s="13">
        <f t="shared" si="7"/>
        <v>6628.13</v>
      </c>
    </row>
    <row r="143" spans="1:8" ht="12" thickBot="1" x14ac:dyDescent="0.25">
      <c r="A143" t="s">
        <v>242</v>
      </c>
      <c r="B143" s="31">
        <v>5390</v>
      </c>
      <c r="C143" s="92">
        <f>'DOE25'!L270</f>
        <v>0</v>
      </c>
      <c r="D143" s="23" t="s">
        <v>288</v>
      </c>
      <c r="E143" s="92">
        <f>'DOE25'!L351</f>
        <v>13390.71</v>
      </c>
      <c r="F143" s="23" t="s">
        <v>288</v>
      </c>
      <c r="G143" s="23" t="s">
        <v>288</v>
      </c>
      <c r="H143" s="13">
        <f t="shared" si="7"/>
        <v>13390.71</v>
      </c>
    </row>
    <row r="144" spans="1:8" ht="12" thickBot="1" x14ac:dyDescent="0.25">
      <c r="A144" s="32" t="s">
        <v>243</v>
      </c>
      <c r="C144" s="98">
        <f>SUM(C130:C143)</f>
        <v>711025.36</v>
      </c>
      <c r="D144" s="98">
        <f>SUM(D130:D143)</f>
        <v>0</v>
      </c>
      <c r="E144" s="98">
        <f>SUM(E130:E143)</f>
        <v>13390.71</v>
      </c>
      <c r="F144" s="98">
        <f>SUM(F130:F143)</f>
        <v>0</v>
      </c>
      <c r="G144" s="98">
        <f>SUM(G130:G143)</f>
        <v>0</v>
      </c>
      <c r="H144" s="98">
        <f t="shared" si="7"/>
        <v>724416.07</v>
      </c>
    </row>
    <row r="145" spans="1:9" ht="12.75" thickTop="1" thickBot="1" x14ac:dyDescent="0.25">
      <c r="A145" s="32" t="s">
        <v>244</v>
      </c>
      <c r="C145" s="68">
        <f>(C115+C128+C144)</f>
        <v>9582911.0299999993</v>
      </c>
      <c r="D145" s="68">
        <f>(D115+D128+D144)</f>
        <v>335171.95999999996</v>
      </c>
      <c r="E145" s="68">
        <f>(E115+E128+E144)</f>
        <v>256077.35</v>
      </c>
      <c r="F145" s="68">
        <f>(F115+F128+F144)</f>
        <v>0</v>
      </c>
      <c r="G145" s="68">
        <f>(G115+G128+G144)</f>
        <v>0</v>
      </c>
      <c r="H145" s="68">
        <f t="shared" si="7"/>
        <v>10174160.339999998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03/2024</v>
      </c>
      <c r="C152" s="109">
        <f>'DOE25'!G492</f>
        <v>0</v>
      </c>
      <c r="D152" s="109">
        <f>'DOE25'!H492</f>
        <v>0</v>
      </c>
      <c r="E152" s="109">
        <f>'DOE25'!I492</f>
        <v>0</v>
      </c>
      <c r="F152" s="109">
        <f>'DOE25'!J492</f>
        <v>0</v>
      </c>
      <c r="G152" s="23" t="s">
        <v>288</v>
      </c>
    </row>
    <row r="153" spans="1:9" x14ac:dyDescent="0.2">
      <c r="A153" s="21" t="s">
        <v>29</v>
      </c>
      <c r="B153" s="109" t="str">
        <f>'DOE25'!F493</f>
        <v>06/2024</v>
      </c>
      <c r="C153" s="109">
        <f>'DOE25'!G493</f>
        <v>0</v>
      </c>
      <c r="D153" s="109">
        <f>'DOE25'!H493</f>
        <v>0</v>
      </c>
      <c r="E153" s="109">
        <f>'DOE25'!I493</f>
        <v>0</v>
      </c>
      <c r="F153" s="109">
        <f>'DOE25'!J493</f>
        <v>0</v>
      </c>
      <c r="G153" s="23" t="s">
        <v>288</v>
      </c>
    </row>
    <row r="154" spans="1:9" x14ac:dyDescent="0.2">
      <c r="A154" s="21" t="s">
        <v>30</v>
      </c>
      <c r="B154" s="19">
        <f>'DOE25'!F494</f>
        <v>151387.5</v>
      </c>
      <c r="C154" s="19">
        <f>'DOE25'!G494</f>
        <v>0</v>
      </c>
      <c r="D154" s="19">
        <f>'DOE25'!H494</f>
        <v>0</v>
      </c>
      <c r="E154" s="19">
        <f>'DOE25'!I494</f>
        <v>0</v>
      </c>
      <c r="F154" s="19">
        <f>'DOE25'!J494</f>
        <v>0</v>
      </c>
      <c r="G154" s="23" t="s">
        <v>288</v>
      </c>
    </row>
    <row r="155" spans="1:9" x14ac:dyDescent="0.2">
      <c r="A155" s="21" t="s">
        <v>31</v>
      </c>
      <c r="B155" s="19">
        <f>'DOE25'!F495</f>
        <v>3.2</v>
      </c>
      <c r="C155" s="19">
        <f>'DOE25'!G495</f>
        <v>0</v>
      </c>
      <c r="D155" s="19">
        <f>'DOE25'!H495</f>
        <v>0</v>
      </c>
      <c r="E155" s="19">
        <f>'DOE25'!I495</f>
        <v>0</v>
      </c>
      <c r="F155" s="19">
        <f>'DOE25'!J495</f>
        <v>0</v>
      </c>
      <c r="G155" s="23" t="s">
        <v>288</v>
      </c>
    </row>
    <row r="156" spans="1:9" x14ac:dyDescent="0.2">
      <c r="A156" s="21" t="s">
        <v>32</v>
      </c>
      <c r="B156" s="19">
        <f>'DOE25'!F496</f>
        <v>151387.5</v>
      </c>
      <c r="C156" s="19">
        <f>'DOE25'!G496</f>
        <v>0</v>
      </c>
      <c r="D156" s="19">
        <f>'DOE25'!H496</f>
        <v>0</v>
      </c>
      <c r="E156" s="19">
        <f>'DOE25'!I496</f>
        <v>0</v>
      </c>
      <c r="F156" s="19">
        <f>'DOE25'!J496</f>
        <v>0</v>
      </c>
      <c r="G156" s="96">
        <f>SUM(B156:F156)</f>
        <v>151387.5</v>
      </c>
    </row>
    <row r="157" spans="1:9" x14ac:dyDescent="0.2">
      <c r="A157" s="21" t="s">
        <v>33</v>
      </c>
      <c r="B157" s="19">
        <f>'DOE25'!F497</f>
        <v>5488.68</v>
      </c>
      <c r="C157" s="19">
        <f>'DOE25'!G497</f>
        <v>0</v>
      </c>
      <c r="D157" s="19">
        <f>'DOE25'!H497</f>
        <v>0</v>
      </c>
      <c r="E157" s="19">
        <f>'DOE25'!I497</f>
        <v>0</v>
      </c>
      <c r="F157" s="19">
        <f>'DOE25'!J497</f>
        <v>0</v>
      </c>
      <c r="G157" s="96">
        <f t="shared" ref="G157:G164" si="8">SUM(B157:F157)</f>
        <v>5488.68</v>
      </c>
    </row>
    <row r="158" spans="1:9" x14ac:dyDescent="0.2">
      <c r="A158" s="21" t="s">
        <v>34</v>
      </c>
      <c r="B158" s="19">
        <f>'DOE25'!F498</f>
        <v>156876.18</v>
      </c>
      <c r="C158" s="19">
        <f>'DOE25'!G498</f>
        <v>0</v>
      </c>
      <c r="D158" s="19">
        <f>'DOE25'!H498</f>
        <v>0</v>
      </c>
      <c r="E158" s="19">
        <f>'DOE25'!I498</f>
        <v>0</v>
      </c>
      <c r="F158" s="19">
        <f>'DOE25'!J498</f>
        <v>0</v>
      </c>
      <c r="G158" s="96">
        <f t="shared" si="8"/>
        <v>156876.18</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Gorham Randolph Shelburne Cooperative</v>
      </c>
    </row>
    <row r="3" spans="1:4" x14ac:dyDescent="0.2">
      <c r="B3" s="136" t="s">
        <v>1792</v>
      </c>
    </row>
    <row r="4" spans="1:4" x14ac:dyDescent="0.2">
      <c r="B4" t="s">
        <v>61</v>
      </c>
      <c r="C4" s="128">
        <f>IF('DOE25'!F666+'DOE25'!F671=0,0,ROUND('DOE25'!F673,0))</f>
        <v>23208</v>
      </c>
    </row>
    <row r="5" spans="1:4" x14ac:dyDescent="0.2">
      <c r="B5" t="s">
        <v>700</v>
      </c>
      <c r="C5" s="128">
        <f>IF('DOE25'!G666+'DOE25'!G671=0,0,ROUND('DOE25'!G673,0))</f>
        <v>20129</v>
      </c>
    </row>
    <row r="6" spans="1:4" x14ac:dyDescent="0.2">
      <c r="B6" t="s">
        <v>62</v>
      </c>
      <c r="C6" s="128">
        <f>IF('DOE25'!H666+'DOE25'!H671=0,0,ROUND('DOE25'!H673,0))</f>
        <v>22853</v>
      </c>
    </row>
    <row r="7" spans="1:4" x14ac:dyDescent="0.2">
      <c r="B7" t="s">
        <v>701</v>
      </c>
      <c r="C7" s="128">
        <f>IF('DOE25'!I666+'DOE25'!I671=0,0,ROUND('DOE25'!I673,0))</f>
        <v>22360</v>
      </c>
    </row>
    <row r="9" spans="1:4" x14ac:dyDescent="0.2">
      <c r="A9" s="135" t="s">
        <v>94</v>
      </c>
      <c r="B9" s="136" t="s">
        <v>1793</v>
      </c>
      <c r="C9" s="130" t="s">
        <v>720</v>
      </c>
      <c r="D9" s="130" t="s">
        <v>721</v>
      </c>
    </row>
    <row r="10" spans="1:4" x14ac:dyDescent="0.2">
      <c r="A10">
        <v>1100</v>
      </c>
      <c r="B10" t="s">
        <v>702</v>
      </c>
      <c r="C10" s="128">
        <f>ROUND('DOE25'!L198+'DOE25'!L216+'DOE25'!L234+'DOE25'!L277+'DOE25'!L296+'DOE25'!L315,0)</f>
        <v>3348113</v>
      </c>
      <c r="D10" s="131">
        <f>ROUND((C10/$C$28)*100,1)</f>
        <v>35.700000000000003</v>
      </c>
    </row>
    <row r="11" spans="1:4" x14ac:dyDescent="0.2">
      <c r="A11">
        <v>1200</v>
      </c>
      <c r="B11" t="s">
        <v>703</v>
      </c>
      <c r="C11" s="128">
        <f>ROUND('DOE25'!L199+'DOE25'!L217+'DOE25'!L235+'DOE25'!L278+'DOE25'!L297+'DOE25'!L316,0)</f>
        <v>1897628</v>
      </c>
      <c r="D11" s="131">
        <f>ROUND((C11/$C$28)*100,1)</f>
        <v>20.2</v>
      </c>
    </row>
    <row r="12" spans="1:4" x14ac:dyDescent="0.2">
      <c r="A12">
        <v>1300</v>
      </c>
      <c r="B12" t="s">
        <v>704</v>
      </c>
      <c r="C12" s="128">
        <f>ROUND('DOE25'!L200+'DOE25'!L218+'DOE25'!L236+'DOE25'!L279+'DOE25'!L298+'DOE25'!L317,0)</f>
        <v>53703</v>
      </c>
      <c r="D12" s="131">
        <f>ROUND((C12/$C$28)*100,1)</f>
        <v>0.6</v>
      </c>
    </row>
    <row r="13" spans="1:4" x14ac:dyDescent="0.2">
      <c r="A13">
        <v>1400</v>
      </c>
      <c r="B13" t="s">
        <v>705</v>
      </c>
      <c r="C13" s="128">
        <f>ROUND('DOE25'!L201+'DOE25'!L219+'DOE25'!L237+'DOE25'!L280+'DOE25'!L299+'DOE25'!L318,0)</f>
        <v>254397</v>
      </c>
      <c r="D13" s="131">
        <f>ROUND((C13/$C$28)*100,1)</f>
        <v>2.7</v>
      </c>
    </row>
    <row r="14" spans="1:4" x14ac:dyDescent="0.2">
      <c r="D14" s="131"/>
    </row>
    <row r="15" spans="1:4" x14ac:dyDescent="0.2">
      <c r="A15">
        <v>2100</v>
      </c>
      <c r="B15" t="s">
        <v>706</v>
      </c>
      <c r="C15" s="128">
        <f>ROUND('DOE25'!L203+'DOE25'!L221+'DOE25'!L239+'DOE25'!L282+'DOE25'!L301+'DOE25'!L320,0)</f>
        <v>892735</v>
      </c>
      <c r="D15" s="131">
        <f t="shared" ref="D15:D27" si="0">ROUND((C15/$C$28)*100,1)</f>
        <v>9.5</v>
      </c>
    </row>
    <row r="16" spans="1:4" x14ac:dyDescent="0.2">
      <c r="A16">
        <v>2200</v>
      </c>
      <c r="B16" t="s">
        <v>707</v>
      </c>
      <c r="C16" s="128">
        <f>ROUND('DOE25'!L204+'DOE25'!L222+'DOE25'!L240+'DOE25'!L283+'DOE25'!L302+'DOE25'!L321,0)</f>
        <v>400175</v>
      </c>
      <c r="D16" s="131">
        <f t="shared" si="0"/>
        <v>4.3</v>
      </c>
    </row>
    <row r="17" spans="1:4" x14ac:dyDescent="0.2">
      <c r="A17" s="132" t="s">
        <v>723</v>
      </c>
      <c r="B17" t="s">
        <v>738</v>
      </c>
      <c r="C17" s="128">
        <f>ROUND('DOE25'!L205+'DOE25'!L210+'DOE25'!L223+'DOE25'!L228+'DOE25'!L241+'DOE25'!L246+'DOE25'!L284+'DOE25'!L289+'DOE25'!L303+'DOE25'!L308+'DOE25'!L322+'DOE25'!L327,0)</f>
        <v>644942</v>
      </c>
      <c r="D17" s="131">
        <f t="shared" si="0"/>
        <v>6.9</v>
      </c>
    </row>
    <row r="18" spans="1:4" x14ac:dyDescent="0.2">
      <c r="A18">
        <v>2400</v>
      </c>
      <c r="B18" t="s">
        <v>711</v>
      </c>
      <c r="C18" s="128">
        <f>ROUND('DOE25'!L206+'DOE25'!L224+'DOE25'!L242+'DOE25'!L285+'DOE25'!L304+'DOE25'!L323,0)</f>
        <v>505703</v>
      </c>
      <c r="D18" s="131">
        <f t="shared" si="0"/>
        <v>5.4</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784657</v>
      </c>
      <c r="D20" s="131">
        <f t="shared" si="0"/>
        <v>8.4</v>
      </c>
    </row>
    <row r="21" spans="1:4" x14ac:dyDescent="0.2">
      <c r="A21">
        <v>2700</v>
      </c>
      <c r="B21" t="s">
        <v>710</v>
      </c>
      <c r="C21" s="128">
        <f>ROUND('DOE25'!L209+'DOE25'!L227+'DOE25'!L245+'DOE25'!L288+'DOE25'!L307+'DOE25'!L326,0)</f>
        <v>332518</v>
      </c>
      <c r="D21" s="131">
        <f t="shared" si="0"/>
        <v>3.5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5489</v>
      </c>
      <c r="D25" s="131">
        <f t="shared" si="0"/>
        <v>0.1</v>
      </c>
    </row>
    <row r="26" spans="1:4" x14ac:dyDescent="0.2">
      <c r="A26" s="132" t="s">
        <v>717</v>
      </c>
      <c r="B26" t="s">
        <v>718</v>
      </c>
      <c r="C26" s="128">
        <f>'DOE25'!L269+'DOE25'!L270+'DOE25'!L350+'DOE25'!L351</f>
        <v>20018.84</v>
      </c>
      <c r="D26" s="131">
        <f t="shared" si="0"/>
        <v>0.2</v>
      </c>
    </row>
    <row r="27" spans="1:4" x14ac:dyDescent="0.2">
      <c r="A27">
        <v>3100</v>
      </c>
      <c r="B27" t="s">
        <v>11</v>
      </c>
      <c r="C27" s="128">
        <f>ROUND('DOE25'!L363-'DOE25'!L362,0)-SUM('DOE25'!G97:G110)</f>
        <v>232219.66999999998</v>
      </c>
      <c r="D27" s="131">
        <f t="shared" si="0"/>
        <v>2.5</v>
      </c>
    </row>
    <row r="28" spans="1:4" x14ac:dyDescent="0.2">
      <c r="B28" s="135" t="s">
        <v>719</v>
      </c>
      <c r="C28" s="129">
        <f>SUM(C10:C27)</f>
        <v>9372298.5099999998</v>
      </c>
      <c r="D28" s="133">
        <f>ROUND(SUM(D10:D27),0)</f>
        <v>100</v>
      </c>
    </row>
    <row r="29" spans="1:4" x14ac:dyDescent="0.2">
      <c r="A29">
        <v>4000</v>
      </c>
      <c r="B29" t="s">
        <v>724</v>
      </c>
      <c r="C29" s="128">
        <f>ROUND('DOE25'!L256+'DOE25'!L337+'DOE25'!L375+'DOE25'!L376+'DOE25'!L377+'DOE25'!L378+'DOE25'!L379+'DOE25'!L380+'DOE25'!L381,0)</f>
        <v>179046</v>
      </c>
    </row>
    <row r="30" spans="1:4" x14ac:dyDescent="0.2">
      <c r="B30" s="135" t="s">
        <v>725</v>
      </c>
      <c r="C30" s="129">
        <f>SUM(C28:C29)</f>
        <v>9551344.5099999998</v>
      </c>
    </row>
    <row r="31" spans="1:4" x14ac:dyDescent="0.2">
      <c r="B31" s="32"/>
      <c r="C31" s="129"/>
    </row>
    <row r="32" spans="1:4" x14ac:dyDescent="0.2">
      <c r="A32">
        <v>5100</v>
      </c>
      <c r="B32" s="32" t="s">
        <v>726</v>
      </c>
      <c r="C32" s="129">
        <f>ROUND('DOE25'!L261+'DOE25'!L342,0)</f>
        <v>151388</v>
      </c>
    </row>
    <row r="34" spans="1:4" x14ac:dyDescent="0.2">
      <c r="A34" s="135" t="s">
        <v>94</v>
      </c>
      <c r="B34" s="136" t="s">
        <v>1794</v>
      </c>
      <c r="C34" s="130" t="s">
        <v>720</v>
      </c>
      <c r="D34" s="130" t="s">
        <v>721</v>
      </c>
    </row>
    <row r="35" spans="1:4" x14ac:dyDescent="0.2">
      <c r="A35">
        <v>1100</v>
      </c>
      <c r="B35" s="71" t="s">
        <v>727</v>
      </c>
      <c r="C35" s="128">
        <f>ROUND('DOE25'!F60+'DOE25'!G60+'DOE25'!H60+'DOE25'!I60+'DOE25'!J60,0)</f>
        <v>5957429</v>
      </c>
      <c r="D35" s="131">
        <f t="shared" ref="D35:D40" si="1">ROUND((C35/$C$41)*100,1)</f>
        <v>58.5</v>
      </c>
    </row>
    <row r="36" spans="1:4" x14ac:dyDescent="0.2">
      <c r="B36" s="71" t="s">
        <v>739</v>
      </c>
      <c r="C36" s="128">
        <f>SUM('DOE25'!F112:J112)-SUM('DOE25'!G97:G110)+('DOE25'!F175+'DOE25'!F176+'DOE25'!I175+'DOE25'!I176)-C35</f>
        <v>626385.21999999974</v>
      </c>
      <c r="D36" s="131">
        <f t="shared" si="1"/>
        <v>6.1</v>
      </c>
    </row>
    <row r="37" spans="1:4" x14ac:dyDescent="0.2">
      <c r="A37" s="132" t="s">
        <v>831</v>
      </c>
      <c r="B37" s="71" t="s">
        <v>728</v>
      </c>
      <c r="C37" s="128">
        <f>ROUND('DOE25'!F117+'DOE25'!F118,0)</f>
        <v>2768432</v>
      </c>
      <c r="D37" s="131">
        <f t="shared" si="1"/>
        <v>27.2</v>
      </c>
    </row>
    <row r="38" spans="1:4" x14ac:dyDescent="0.2">
      <c r="A38" s="132" t="s">
        <v>734</v>
      </c>
      <c r="B38" s="71" t="s">
        <v>729</v>
      </c>
      <c r="C38" s="128">
        <f>ROUND(SUM('DOE25'!F140:J140)-SUM('DOE25'!F117:F119),0)</f>
        <v>490337</v>
      </c>
      <c r="D38" s="131">
        <f t="shared" si="1"/>
        <v>4.8</v>
      </c>
    </row>
    <row r="39" spans="1:4" x14ac:dyDescent="0.2">
      <c r="A39">
        <v>4000</v>
      </c>
      <c r="B39" s="71" t="s">
        <v>730</v>
      </c>
      <c r="C39" s="128">
        <f>ROUND('DOE25'!F170+'DOE25'!G170+'DOE25'!H170+'DOE25'!I170,0)</f>
        <v>349217</v>
      </c>
      <c r="D39" s="131">
        <f t="shared" si="1"/>
        <v>3.4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10191800.219999999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S28" sqref="S28"/>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Gorham Randolph Shelburne Cooperative</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76</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21</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28</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f>IF('School Level Expenditures'!$B$2='School Tables'!L24,'School Tables'!S24,"")</f>
        <v>21</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f>IF('School Level Expenditures'!$B$2='School Tables'!W31,'School Tables'!AD31,"")</f>
        <v>28</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f>IF('School Level Expenditures'!$B$2=A79,'School Tables'!H79,"")</f>
        <v>76</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2024-08-19T20:36:39Z</cp:lastPrinted>
  <dcterms:created xsi:type="dcterms:W3CDTF">1997-12-04T19:04:30Z</dcterms:created>
  <dcterms:modified xsi:type="dcterms:W3CDTF">2024-12-20T18:47:33Z</dcterms:modified>
</cp:coreProperties>
</file>