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B2452A96-925F-4E52-8DC2-5DAFBA44B631}"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AF59" i="15" s="1"/>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61" i="15" l="1"/>
  <c r="AF99"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H125" i="2" s="1"/>
  <c r="L228" i="1"/>
  <c r="L246" i="1"/>
  <c r="G5" i="13"/>
  <c r="H5" i="13"/>
  <c r="L198" i="1"/>
  <c r="L199" i="1"/>
  <c r="L200" i="1"/>
  <c r="L201" i="1"/>
  <c r="C13" i="10"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E111" i="2" s="1"/>
  <c r="L280" i="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H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H80" i="2" s="1"/>
  <c r="E80" i="2"/>
  <c r="C85" i="2"/>
  <c r="F85" i="2"/>
  <c r="C87" i="2"/>
  <c r="E87" i="2"/>
  <c r="F87" i="2"/>
  <c r="C89" i="2"/>
  <c r="D89" i="2"/>
  <c r="E89" i="2"/>
  <c r="F89" i="2"/>
  <c r="C90" i="2"/>
  <c r="H90" i="2" s="1"/>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0"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I409" i="1" s="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51" i="1"/>
  <c r="G652" i="1"/>
  <c r="J652" i="1" s="1"/>
  <c r="H653" i="1"/>
  <c r="G654" i="1"/>
  <c r="H654" i="1"/>
  <c r="H655" i="1"/>
  <c r="H656" i="1"/>
  <c r="D144" i="2" l="1"/>
  <c r="H28" i="2"/>
  <c r="D29" i="13"/>
  <c r="G409" i="1"/>
  <c r="H646" i="1" s="1"/>
  <c r="H137" i="2"/>
  <c r="H102" i="2"/>
  <c r="H100" i="2"/>
  <c r="H98" i="2"/>
  <c r="H73" i="2"/>
  <c r="H15" i="2"/>
  <c r="H11" i="2"/>
  <c r="H143" i="2"/>
  <c r="H38" i="2"/>
  <c r="H43" i="2"/>
  <c r="H69" i="2"/>
  <c r="H30" i="2"/>
  <c r="H25" i="2"/>
  <c r="H17" i="2"/>
  <c r="H77" i="2"/>
  <c r="C119" i="2"/>
  <c r="H89" i="2"/>
  <c r="H59" i="2"/>
  <c r="H9" i="2"/>
  <c r="G477" i="1"/>
  <c r="C112" i="2"/>
  <c r="H112" i="2" s="1"/>
  <c r="H94" i="2"/>
  <c r="H29" i="2"/>
  <c r="H27" i="2"/>
  <c r="H24" i="2"/>
  <c r="H8" i="2"/>
  <c r="D15" i="13"/>
  <c r="C15" i="13" s="1"/>
  <c r="C12" i="10"/>
  <c r="H34" i="2"/>
  <c r="H101" i="2"/>
  <c r="H99" i="2"/>
  <c r="H79" i="2"/>
  <c r="H76" i="2"/>
  <c r="H58" i="2"/>
  <c r="H113" i="2"/>
  <c r="H132" i="2"/>
  <c r="G662" i="1"/>
  <c r="H36" i="2"/>
  <c r="H42" i="2"/>
  <c r="H44" i="2"/>
  <c r="H48" i="2"/>
  <c r="H97" i="2"/>
  <c r="H93" i="2"/>
  <c r="H87" i="2"/>
  <c r="H61" i="2"/>
  <c r="H26" i="2"/>
  <c r="H22" i="2"/>
  <c r="J112" i="1"/>
  <c r="G646" i="1"/>
  <c r="G62" i="2"/>
  <c r="G63" i="2" s="1"/>
  <c r="E13" i="13"/>
  <c r="C13" i="13" s="1"/>
  <c r="H23" i="2"/>
  <c r="H477" i="1"/>
  <c r="H625" i="1" s="1"/>
  <c r="J625" i="1" s="1"/>
  <c r="K36" i="14"/>
  <c r="K37" i="14" s="1"/>
  <c r="C120" i="2"/>
  <c r="H120" i="2" s="1"/>
  <c r="K2" i="14"/>
  <c r="K3" i="14" s="1"/>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J619" i="1"/>
  <c r="G42" i="2"/>
  <c r="G50" i="2" s="1"/>
  <c r="J51" i="1"/>
  <c r="G16" i="2"/>
  <c r="G18" i="2" s="1"/>
  <c r="J19" i="1"/>
  <c r="G622" i="1" s="1"/>
  <c r="F546" i="1"/>
  <c r="H435" i="1"/>
  <c r="D103" i="2"/>
  <c r="I140" i="1"/>
  <c r="A22" i="12"/>
  <c r="J653" i="1"/>
  <c r="G572" i="1"/>
  <c r="I435" i="1"/>
  <c r="G435" i="1"/>
  <c r="I664" i="1"/>
  <c r="H62" i="2" l="1"/>
  <c r="H122" i="2"/>
  <c r="D51" i="2"/>
  <c r="H103" i="2"/>
  <c r="D128" i="2"/>
  <c r="D145" i="2" s="1"/>
  <c r="H127" i="2"/>
  <c r="H78" i="2"/>
  <c r="H21" i="2"/>
  <c r="I662" i="1"/>
  <c r="H57" i="2"/>
  <c r="H16" i="2"/>
  <c r="H134" i="2"/>
  <c r="L572" i="1"/>
  <c r="H85" i="2"/>
  <c r="H50" i="2"/>
  <c r="H31" i="2"/>
  <c r="H91" i="2"/>
  <c r="E51" i="2"/>
  <c r="H18" i="2"/>
  <c r="C81" i="2"/>
  <c r="H81" i="2"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5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<sst xmlns="http://schemas.openxmlformats.org/spreadsheetml/2006/main" count="6638" uniqueCount="1841">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</sst>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N14" sqref="N14"/>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1749</v>
      </c>
      <c r="B2">
        <f>INDEX('School Tables'!$AH$3:$AH$213,MATCH('DOE25'!A2,'School Tables'!$AJ$3:$AJ$213,0))</f>
        <v>204</v>
      </c>
      <c r="C2">
        <f>INDEX('School Tables'!$AI$3:$AI$213,MATCH('DOE25'!A2,'School Tables'!$AJ$3:$AJ$213,0))</f>
        <v>203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475640.29</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548988.66</v>
      </c>
      <c r="K10" s="23" t="s">
        <v>288</v>
      </c>
      <c r="L10" s="23" t="s">
        <v>288</v>
      </c>
      <c r="M10" s="8"/>
      <c r="N10" s="164"/>
    </row>
    <row r="11" spans="1:14" s="3" customFormat="1" ht="12.2" customHeight="1" x14ac:dyDescent="0.15">
      <c r="A11" s="1" t="s">
        <v>563</v>
      </c>
      <c r="B11" s="2" t="s">
        <v>289</v>
      </c>
      <c r="C11" s="6">
        <v>3</v>
      </c>
      <c r="D11" s="2" t="s">
        <v>428</v>
      </c>
      <c r="E11" s="6">
        <v>120</v>
      </c>
      <c r="F11" s="18">
        <v>8410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8926.11</v>
      </c>
      <c r="G13" s="18"/>
      <c r="H13" s="18">
        <v>5821.09</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492976.39999999997</v>
      </c>
      <c r="G19" s="38">
        <f>SUM(G9:G18)</f>
        <v>0</v>
      </c>
      <c r="H19" s="38">
        <f>SUM(H9:H18)</f>
        <v>5821.09</v>
      </c>
      <c r="I19" s="38">
        <f>SUM(I9:I18)</f>
        <v>0</v>
      </c>
      <c r="J19" s="38">
        <f>SUM(J9:J18)</f>
        <v>548988.66</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0</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110230.69</v>
      </c>
      <c r="G24" s="18"/>
      <c r="H24" s="18">
        <v>5821.09</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110230.69</v>
      </c>
      <c r="G32" s="38">
        <f>SUM(G22:G31)</f>
        <v>0</v>
      </c>
      <c r="H32" s="38">
        <f>SUM(H22:H31)</f>
        <v>5821.09</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75000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36217.949999999997</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548988.66</v>
      </c>
      <c r="K48" s="23" t="s">
        <v>288</v>
      </c>
      <c r="L48" s="23" t="s">
        <v>288</v>
      </c>
      <c r="M48" s="8"/>
      <c r="N48" s="164"/>
    </row>
    <row r="49" spans="1:14" s="3" customFormat="1" ht="12.2" customHeight="1" x14ac:dyDescent="0.15">
      <c r="A49" s="1" t="s">
        <v>855</v>
      </c>
      <c r="B49" s="2" t="s">
        <v>289</v>
      </c>
      <c r="C49" s="6">
        <v>34</v>
      </c>
      <c r="D49" s="2"/>
      <c r="E49" s="6">
        <v>753</v>
      </c>
      <c r="F49" s="18">
        <v>0</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271527.76</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382745.71</v>
      </c>
      <c r="G51" s="38">
        <f>SUM(G35:G50)</f>
        <v>0</v>
      </c>
      <c r="H51" s="38">
        <f>SUM(H35:H50)</f>
        <v>0</v>
      </c>
      <c r="I51" s="38">
        <f>SUM(I35:I50)</f>
        <v>0</v>
      </c>
      <c r="J51" s="38">
        <f>SUM(J35:J50)</f>
        <v>548988.66</v>
      </c>
      <c r="K51" s="42" t="s">
        <v>288</v>
      </c>
      <c r="L51" s="42" t="s">
        <v>288</v>
      </c>
      <c r="N51" s="130"/>
    </row>
    <row r="52" spans="1:14" s="3" customFormat="1" ht="12.2" customHeight="1" thickTop="1" x14ac:dyDescent="0.15">
      <c r="A52" s="35" t="s">
        <v>455</v>
      </c>
      <c r="B52" s="36" t="s">
        <v>289</v>
      </c>
      <c r="C52" s="6">
        <v>37</v>
      </c>
      <c r="D52" s="36" t="s">
        <v>653</v>
      </c>
      <c r="E52" s="36"/>
      <c r="F52" s="38">
        <f>F51+F32</f>
        <v>492976.4</v>
      </c>
      <c r="G52" s="38">
        <f>G51+G32</f>
        <v>0</v>
      </c>
      <c r="H52" s="38">
        <f>H51+H32</f>
        <v>5821.09</v>
      </c>
      <c r="I52" s="38">
        <f>I51+I32</f>
        <v>0</v>
      </c>
      <c r="J52" s="38">
        <f>J51+J32</f>
        <v>548988.66</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577609</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577609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3374.87</v>
      </c>
      <c r="G96" s="18"/>
      <c r="H96" s="18"/>
      <c r="I96" s="18"/>
      <c r="J96" s="18">
        <v>23136.080000000002</v>
      </c>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39.15</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3414.02</v>
      </c>
      <c r="G111" s="38">
        <f>SUM(G96:G110)</f>
        <v>0</v>
      </c>
      <c r="H111" s="38">
        <f>SUM(H96:H110)</f>
        <v>0</v>
      </c>
      <c r="I111" s="38">
        <f>SUM(I96:I110)</f>
        <v>0</v>
      </c>
      <c r="J111" s="38">
        <f>SUM(J96:J110)</f>
        <v>23136.080000000002</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581023.02</v>
      </c>
      <c r="G112" s="38">
        <f>G60+G111</f>
        <v>0</v>
      </c>
      <c r="H112" s="38">
        <f>H60+H79+H94+H111</f>
        <v>0</v>
      </c>
      <c r="I112" s="38">
        <f>I60+I111</f>
        <v>0</v>
      </c>
      <c r="J112" s="38">
        <f>J60+J111</f>
        <v>23136.080000000002</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458817.28000000003</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146750</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605567.28</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605567.28</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371.6</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23775.16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9797.14</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9797.14</v>
      </c>
      <c r="G163" s="38">
        <f>SUM(G150:G162)</f>
        <v>0</v>
      </c>
      <c r="H163" s="38">
        <f>SUM(H150:H162)</f>
        <v>24146.76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9797.14</v>
      </c>
      <c r="G170" s="38">
        <f>G147+G163+SUM(G164:G169)</f>
        <v>0</v>
      </c>
      <c r="H170" s="38">
        <f>H147+H163+SUM(H164:H169)</f>
        <v>24146.76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65000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65000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65000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1196387.44</v>
      </c>
      <c r="G194" s="38">
        <f>G112+G140+G170+G193</f>
        <v>0</v>
      </c>
      <c r="H194" s="38">
        <f>H112+H140+H170+H193</f>
        <v>24146.76</v>
      </c>
      <c r="I194" s="38">
        <f>I112+I140+I170+I193</f>
        <v>0</v>
      </c>
      <c r="J194" s="38">
        <f>J112+J140+J193</f>
        <v>88136.08</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v>659958.86</v>
      </c>
      <c r="I198" s="18"/>
      <c r="J198" s="18"/>
      <c r="K198" s="18"/>
      <c r="L198" s="13">
        <f>SUM(F198:K198)</f>
        <v>659958.86</v>
      </c>
      <c r="M198" s="8"/>
      <c r="N198" s="164"/>
    </row>
    <row r="199" spans="1:14" s="3" customFormat="1" ht="12.2" customHeight="1" x14ac:dyDescent="0.15">
      <c r="A199" s="1" t="s">
        <v>439</v>
      </c>
      <c r="B199" s="2" t="s">
        <v>341</v>
      </c>
      <c r="C199" s="2" t="s">
        <v>291</v>
      </c>
      <c r="D199" s="2" t="s">
        <v>431</v>
      </c>
      <c r="E199" s="6">
        <v>1200</v>
      </c>
      <c r="F199" s="18"/>
      <c r="G199" s="18"/>
      <c r="H199" s="18">
        <v>25440.080000000002</v>
      </c>
      <c r="I199" s="18"/>
      <c r="J199" s="18"/>
      <c r="K199" s="18"/>
      <c r="L199" s="13">
        <f>SUM(F199:K199)</f>
        <v>25440.080000000002</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v>4110.4799999999996</v>
      </c>
      <c r="I203" s="18"/>
      <c r="J203" s="18"/>
      <c r="K203" s="18"/>
      <c r="L203" s="13">
        <f t="shared" ref="L203:L209" si="0">SUM(F203:K203)</f>
        <v>4110.4799999999996</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v>612.5</v>
      </c>
      <c r="G205" s="18">
        <v>446.86</v>
      </c>
      <c r="H205" s="18">
        <v>13513.05</v>
      </c>
      <c r="I205" s="18"/>
      <c r="J205" s="18"/>
      <c r="K205" s="18">
        <v>2738.48</v>
      </c>
      <c r="L205" s="13">
        <f t="shared" si="0"/>
        <v>17310.89</v>
      </c>
      <c r="M205" s="8"/>
      <c r="N205" s="164"/>
    </row>
    <row r="206" spans="1:14" s="3" customFormat="1" ht="12.2" customHeight="1" x14ac:dyDescent="0.15">
      <c r="A206" s="1" t="s">
        <v>445</v>
      </c>
      <c r="B206" s="2" t="s">
        <v>341</v>
      </c>
      <c r="C206" s="2" t="s">
        <v>297</v>
      </c>
      <c r="D206" s="2" t="s">
        <v>431</v>
      </c>
      <c r="E206" s="6">
        <v>2400</v>
      </c>
      <c r="F206" s="18">
        <v>52116.9</v>
      </c>
      <c r="G206" s="18">
        <v>3986.96</v>
      </c>
      <c r="H206" s="18">
        <v>1914.93</v>
      </c>
      <c r="I206" s="18">
        <v>811.44</v>
      </c>
      <c r="J206" s="18"/>
      <c r="K206" s="18">
        <v>736.13</v>
      </c>
      <c r="L206" s="13">
        <f t="shared" si="0"/>
        <v>59566.36</v>
      </c>
      <c r="M206" s="8"/>
      <c r="N206" s="164"/>
    </row>
    <row r="207" spans="1:14" s="3" customFormat="1" ht="12.2" customHeight="1" x14ac:dyDescent="0.15">
      <c r="A207" s="1" t="s">
        <v>446</v>
      </c>
      <c r="B207" s="2" t="s">
        <v>341</v>
      </c>
      <c r="C207" s="2" t="s">
        <v>298</v>
      </c>
      <c r="D207" s="2" t="s">
        <v>431</v>
      </c>
      <c r="E207" s="6">
        <v>2500</v>
      </c>
      <c r="F207" s="18">
        <v>5411.1</v>
      </c>
      <c r="G207" s="18">
        <v>413.98</v>
      </c>
      <c r="H207" s="18"/>
      <c r="I207" s="18">
        <v>549.95000000000005</v>
      </c>
      <c r="J207" s="18"/>
      <c r="K207" s="18"/>
      <c r="L207" s="13">
        <f t="shared" si="0"/>
        <v>6375.03</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58140.5</v>
      </c>
      <c r="G212" s="38">
        <f t="shared" si="1"/>
        <v>4847.7999999999993</v>
      </c>
      <c r="H212" s="38">
        <f t="shared" si="1"/>
        <v>704937.4</v>
      </c>
      <c r="I212" s="38">
        <f t="shared" si="1"/>
        <v>1361.39</v>
      </c>
      <c r="J212" s="38">
        <f t="shared" si="1"/>
        <v>0</v>
      </c>
      <c r="K212" s="38">
        <f t="shared" si="1"/>
        <v>3474.61</v>
      </c>
      <c r="L212" s="38">
        <f t="shared" si="1"/>
        <v>772761.7</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383699.24</v>
      </c>
      <c r="I234" s="18"/>
      <c r="J234" s="18"/>
      <c r="K234" s="18"/>
      <c r="L234" s="13">
        <f>SUM(F234:K234)</f>
        <v>383699.24</v>
      </c>
      <c r="M234" s="8"/>
      <c r="N234" s="164"/>
    </row>
    <row r="235" spans="1:14" s="3" customFormat="1" ht="12.2" customHeight="1" x14ac:dyDescent="0.15">
      <c r="A235" s="1" t="s">
        <v>439</v>
      </c>
      <c r="B235" s="2" t="s">
        <v>350</v>
      </c>
      <c r="C235" s="2" t="s">
        <v>291</v>
      </c>
      <c r="D235" s="2" t="s">
        <v>431</v>
      </c>
      <c r="E235" s="6">
        <v>1200</v>
      </c>
      <c r="F235" s="18"/>
      <c r="G235" s="18"/>
      <c r="H235" s="18">
        <v>8480.0300000000007</v>
      </c>
      <c r="I235" s="18"/>
      <c r="J235" s="18"/>
      <c r="K235" s="18"/>
      <c r="L235" s="13">
        <f>SUM(F235:K235)</f>
        <v>8480.0300000000007</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v>1370.16</v>
      </c>
      <c r="I239" s="18"/>
      <c r="J239" s="18"/>
      <c r="K239" s="18"/>
      <c r="L239" s="13">
        <f t="shared" ref="L239:L245" si="4">SUM(F239:K239)</f>
        <v>1370.16</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v>24525.599999999999</v>
      </c>
      <c r="G242" s="18">
        <v>1876.21</v>
      </c>
      <c r="H242" s="18">
        <v>901.14</v>
      </c>
      <c r="I242" s="18">
        <v>381.86</v>
      </c>
      <c r="J242" s="18"/>
      <c r="K242" s="18">
        <v>346.44</v>
      </c>
      <c r="L242" s="13">
        <f t="shared" si="4"/>
        <v>28031.249999999996</v>
      </c>
      <c r="M242" s="8"/>
      <c r="N242" s="164"/>
    </row>
    <row r="243" spans="1:14" s="3" customFormat="1" ht="12.2" customHeight="1" x14ac:dyDescent="0.15">
      <c r="A243" s="1" t="s">
        <v>446</v>
      </c>
      <c r="B243" s="2" t="s">
        <v>350</v>
      </c>
      <c r="C243" s="2" t="s">
        <v>298</v>
      </c>
      <c r="D243" s="2" t="s">
        <v>431</v>
      </c>
      <c r="E243" s="6">
        <v>2500</v>
      </c>
      <c r="F243" s="18">
        <v>2546.4</v>
      </c>
      <c r="G243" s="18">
        <v>194.81</v>
      </c>
      <c r="H243" s="18"/>
      <c r="I243" s="18">
        <v>258.8</v>
      </c>
      <c r="J243" s="18"/>
      <c r="K243" s="18"/>
      <c r="L243" s="13">
        <f t="shared" si="4"/>
        <v>3000.01</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27072</v>
      </c>
      <c r="G248" s="38">
        <f t="shared" si="5"/>
        <v>2071.02</v>
      </c>
      <c r="H248" s="38">
        <f t="shared" si="5"/>
        <v>394450.57</v>
      </c>
      <c r="I248" s="38">
        <f t="shared" si="5"/>
        <v>640.66000000000008</v>
      </c>
      <c r="J248" s="38">
        <f t="shared" si="5"/>
        <v>0</v>
      </c>
      <c r="K248" s="38">
        <f t="shared" si="5"/>
        <v>346.44</v>
      </c>
      <c r="L248" s="38">
        <f t="shared" si="5"/>
        <v>424580.69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85212.5</v>
      </c>
      <c r="G258" s="38">
        <f t="shared" si="8"/>
        <v>6918.82</v>
      </c>
      <c r="H258" s="38">
        <f t="shared" si="8"/>
        <v>1099387.97</v>
      </c>
      <c r="I258" s="38">
        <f t="shared" si="8"/>
        <v>2002.0500000000002</v>
      </c>
      <c r="J258" s="38">
        <f t="shared" si="8"/>
        <v>0</v>
      </c>
      <c r="K258" s="38">
        <f t="shared" si="8"/>
        <v>3821.05</v>
      </c>
      <c r="L258" s="38">
        <f t="shared" si="8"/>
        <v>1197342.3899999999</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65000</v>
      </c>
      <c r="L267" s="13">
        <f t="shared" si="9"/>
        <v>65000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65000</v>
      </c>
      <c r="L271" s="38">
        <f t="shared" si="9"/>
        <v>65000</v>
      </c>
      <c r="M271" s="8"/>
      <c r="N271" s="164"/>
    </row>
    <row r="272" spans="1:14" s="33" customFormat="1" ht="12.2" customHeight="1" thickTop="1" x14ac:dyDescent="0.2">
      <c r="A272" s="40" t="s">
        <v>464</v>
      </c>
      <c r="B272" s="37">
        <v>10</v>
      </c>
      <c r="C272" s="37">
        <v>18</v>
      </c>
      <c r="D272" s="36" t="s">
        <v>431</v>
      </c>
      <c r="E272" s="37"/>
      <c r="F272" s="39">
        <f t="shared" ref="F272:L272" si="11">F258+F271</f>
        <v>85212.5</v>
      </c>
      <c r="G272" s="39">
        <f t="shared" si="11"/>
        <v>6918.82</v>
      </c>
      <c r="H272" s="39">
        <f t="shared" si="11"/>
        <v>1099387.97</v>
      </c>
      <c r="I272" s="39">
        <f t="shared" si="11"/>
        <v>2002.0500000000002</v>
      </c>
      <c r="J272" s="39">
        <f t="shared" si="11"/>
        <v>0</v>
      </c>
      <c r="K272" s="39">
        <f t="shared" si="11"/>
        <v>68821.05</v>
      </c>
      <c r="L272" s="39">
        <f t="shared" si="11"/>
        <v>1262342.3899999999</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v>17931.189999999999</v>
      </c>
      <c r="I278" s="18">
        <v>178.88</v>
      </c>
      <c r="J278" s="18"/>
      <c r="K278" s="18"/>
      <c r="L278" s="13">
        <f>SUM(F278:K278)</f>
        <v>18110.07</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17931.189999999999</v>
      </c>
      <c r="I291" s="39">
        <f t="shared" si="13"/>
        <v>178.88</v>
      </c>
      <c r="J291" s="39">
        <f t="shared" si="13"/>
        <v>0</v>
      </c>
      <c r="K291" s="39">
        <f t="shared" si="13"/>
        <v>0</v>
      </c>
      <c r="L291" s="38">
        <f t="shared" si="13"/>
        <v>18110.07</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v>6036.69</v>
      </c>
      <c r="I316" s="18"/>
      <c r="J316" s="18"/>
      <c r="K316" s="18"/>
      <c r="L316" s="13">
        <f>SUM(F316:K316)</f>
        <v>6036.69</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6036.69</v>
      </c>
      <c r="I329" s="39">
        <f t="shared" si="17"/>
        <v>0</v>
      </c>
      <c r="J329" s="39">
        <f t="shared" si="17"/>
        <v>0</v>
      </c>
      <c r="K329" s="39">
        <f t="shared" si="17"/>
        <v>0</v>
      </c>
      <c r="L329" s="38">
        <f t="shared" si="17"/>
        <v>6036.69</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23967.879999999997</v>
      </c>
      <c r="I339" s="38">
        <f t="shared" si="20"/>
        <v>178.88</v>
      </c>
      <c r="J339" s="38">
        <f t="shared" si="20"/>
        <v>0</v>
      </c>
      <c r="K339" s="38">
        <f t="shared" si="20"/>
        <v>0</v>
      </c>
      <c r="L339" s="38">
        <f t="shared" si="20"/>
        <v>24146.76</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23967.879999999997</v>
      </c>
      <c r="I353" s="38">
        <f>I339</f>
        <v>178.88</v>
      </c>
      <c r="J353" s="38">
        <f>J339</f>
        <v>0</v>
      </c>
      <c r="K353" s="38">
        <f>K339+K352</f>
        <v>0</v>
      </c>
      <c r="L353" s="38">
        <f>L339+L352</f>
        <v>24146.76</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v>40000</v>
      </c>
      <c r="H398" s="18">
        <v>14263.51</v>
      </c>
      <c r="I398" s="18"/>
      <c r="J398" s="23" t="s">
        <v>288</v>
      </c>
      <c r="K398" s="23" t="s">
        <v>288</v>
      </c>
      <c r="L398" s="13">
        <f t="shared" si="26"/>
        <v>54263.51</v>
      </c>
      <c r="M398" s="8"/>
      <c r="N398" s="164"/>
    </row>
    <row r="399" spans="1:14" s="3" customFormat="1" ht="12.2" customHeight="1" x14ac:dyDescent="0.15">
      <c r="A399" s="62" t="s">
        <v>558</v>
      </c>
      <c r="B399" s="2" t="s">
        <v>381</v>
      </c>
      <c r="C399" s="6">
        <v>11</v>
      </c>
      <c r="D399" s="2" t="s">
        <v>432</v>
      </c>
      <c r="E399" s="6"/>
      <c r="F399" s="18"/>
      <c r="G399" s="18">
        <v>25000</v>
      </c>
      <c r="H399" s="18">
        <v>8872.57</v>
      </c>
      <c r="I399" s="18"/>
      <c r="J399" s="23" t="s">
        <v>288</v>
      </c>
      <c r="K399" s="23" t="s">
        <v>288</v>
      </c>
      <c r="L399" s="13">
        <f t="shared" si="26"/>
        <v>33872.57</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65000</v>
      </c>
      <c r="H402" s="38">
        <f>SUM(H396:H401)</f>
        <v>23136.080000000002</v>
      </c>
      <c r="I402" s="38">
        <f>SUM(I396:I401)</f>
        <v>0</v>
      </c>
      <c r="J402" s="42" t="s">
        <v>288</v>
      </c>
      <c r="K402" s="42" t="s">
        <v>288</v>
      </c>
      <c r="L402" s="38">
        <f>SUM(L396:L401)</f>
        <v>88136.08</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65000</v>
      </c>
      <c r="H409" s="38">
        <f>H394+H402+H408</f>
        <v>23136.080000000002</v>
      </c>
      <c r="I409" s="38">
        <f>I394+I402+I408</f>
        <v>0</v>
      </c>
      <c r="J409" s="23" t="s">
        <v>288</v>
      </c>
      <c r="K409" s="23" t="s">
        <v>288</v>
      </c>
      <c r="L409" s="38">
        <f>L394+L402+L408</f>
        <v>88136.08</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v>548988.66</v>
      </c>
      <c r="H441" s="18"/>
      <c r="I441" s="13">
        <f t="shared" si="33"/>
        <v>548988.66</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548988.66</v>
      </c>
      <c r="H447" s="13">
        <f>SUM(H440:H446)</f>
        <v>0</v>
      </c>
      <c r="I447" s="13">
        <f>SUM(I440:I446)</f>
        <v>548988.66</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548988.66</v>
      </c>
      <c r="H460" s="18"/>
      <c r="I460" s="13">
        <f t="shared" si="34"/>
        <v>548988.66</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548988.66</v>
      </c>
      <c r="H461" s="65">
        <f>SUM(H455:H460)</f>
        <v>0</v>
      </c>
      <c r="I461" s="65">
        <f>SUM(I455:I460)</f>
        <v>548988.66</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548988.66</v>
      </c>
      <c r="H462" s="39">
        <f>H453+H461</f>
        <v>0</v>
      </c>
      <c r="I462" s="39">
        <f>I453+I461</f>
        <v>548988.66</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448700.66</v>
      </c>
      <c r="G466" s="18"/>
      <c r="H466" s="18">
        <v>0</v>
      </c>
      <c r="I466" s="18"/>
      <c r="J466" s="18">
        <v>460852.58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1196387.44</v>
      </c>
      <c r="G469" s="18"/>
      <c r="H469" s="18">
        <v>24146.76</v>
      </c>
      <c r="I469" s="18"/>
      <c r="J469" s="18">
        <v>88136.08</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1196387.44</v>
      </c>
      <c r="G471" s="19">
        <f>SUM(G469:G470)</f>
        <v>0</v>
      </c>
      <c r="H471" s="19">
        <f>SUM(H469:H470)</f>
        <v>24146.76</v>
      </c>
      <c r="I471" s="19">
        <f>SUM(I469:I470)</f>
        <v>0</v>
      </c>
      <c r="J471" s="19">
        <f>SUM(J469:J470)</f>
        <v>88136.08</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1262342.3899999999</v>
      </c>
      <c r="G473" s="18"/>
      <c r="H473" s="18">
        <v>24146.76</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1262342.3899999999</v>
      </c>
      <c r="G475" s="19">
        <f>SUM(G473:G474)</f>
        <v>0</v>
      </c>
      <c r="H475" s="19">
        <f>SUM(H473:H474)</f>
        <v>24146.76</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382745.70999999996</v>
      </c>
      <c r="G477" s="19">
        <f>(G466+G471)- G475</f>
        <v>0</v>
      </c>
      <c r="H477" s="19">
        <f>(H466+H471)- H475</f>
        <v>0</v>
      </c>
      <c r="I477" s="19">
        <f>(I466+I471)- I475</f>
        <v>0</v>
      </c>
      <c r="J477" s="19">
        <f>(J466+J471)- J475</f>
        <v>548988.66</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v>43371.27</v>
      </c>
      <c r="I522" s="18">
        <v>178.88</v>
      </c>
      <c r="J522" s="18"/>
      <c r="K522" s="18"/>
      <c r="L522" s="69">
        <f>SUM(F522:K522)</f>
        <v>43550.149999999994</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v>14516.72</v>
      </c>
      <c r="I524" s="18"/>
      <c r="J524" s="18"/>
      <c r="K524" s="18"/>
      <c r="L524" s="69">
        <f>SUM(F524:K524)</f>
        <v>14516.72</v>
      </c>
      <c r="N524" s="130"/>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57887.99</v>
      </c>
      <c r="I525" s="81">
        <f t="shared" si="36"/>
        <v>178.88</v>
      </c>
      <c r="J525" s="81">
        <f t="shared" si="36"/>
        <v>0</v>
      </c>
      <c r="K525" s="81">
        <f t="shared" si="36"/>
        <v>0</v>
      </c>
      <c r="L525" s="70">
        <f t="shared" si="36"/>
        <v>58066.869999999995</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12075.52</v>
      </c>
      <c r="G527" s="18">
        <v>860.18</v>
      </c>
      <c r="H527" s="18"/>
      <c r="I527" s="18"/>
      <c r="J527" s="18"/>
      <c r="K527" s="18"/>
      <c r="L527" s="69">
        <f>SUM(F527:K527)</f>
        <v>12935.7</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v>7091.98</v>
      </c>
      <c r="G529" s="18">
        <v>505.2</v>
      </c>
      <c r="H529" s="18"/>
      <c r="I529" s="18"/>
      <c r="J529" s="18"/>
      <c r="K529" s="18"/>
      <c r="L529" s="69">
        <f>SUM(F529:K529)</f>
        <v>7597.1799999999994</v>
      </c>
      <c r="M529" s="8"/>
      <c r="N529" s="164"/>
    </row>
    <row r="530" spans="1:14" s="3" customFormat="1" ht="12.2" customHeight="1" thickTop="1" x14ac:dyDescent="0.15">
      <c r="A530" s="97" t="s">
        <v>65</v>
      </c>
      <c r="B530" s="41">
        <v>21</v>
      </c>
      <c r="C530" s="41">
        <v>8</v>
      </c>
      <c r="D530" s="115" t="s">
        <v>432</v>
      </c>
      <c r="E530" s="41"/>
      <c r="F530" s="70">
        <f>SUM(F527:F529)</f>
        <v>19167.5</v>
      </c>
      <c r="G530" s="70">
        <f t="shared" ref="G530:L530" si="37">SUM(G527:G529)</f>
        <v>1365.3799999999999</v>
      </c>
      <c r="H530" s="70">
        <f t="shared" si="37"/>
        <v>0</v>
      </c>
      <c r="I530" s="70">
        <f t="shared" si="37"/>
        <v>0</v>
      </c>
      <c r="J530" s="70">
        <f t="shared" si="37"/>
        <v>0</v>
      </c>
      <c r="K530" s="70">
        <f t="shared" si="37"/>
        <v>0</v>
      </c>
      <c r="L530" s="70">
        <f t="shared" si="37"/>
        <v>20532.88</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19167.5</v>
      </c>
      <c r="G546" s="70">
        <f t="shared" ref="G546:L546" si="41">G525+G530+G535+G540+G545</f>
        <v>1365.3799999999999</v>
      </c>
      <c r="H546" s="70">
        <f t="shared" si="41"/>
        <v>57887.99</v>
      </c>
      <c r="I546" s="70">
        <f t="shared" si="41"/>
        <v>178.88</v>
      </c>
      <c r="J546" s="70">
        <f t="shared" si="41"/>
        <v>0</v>
      </c>
      <c r="K546" s="70">
        <f t="shared" si="41"/>
        <v>0</v>
      </c>
      <c r="L546" s="70">
        <f t="shared" si="41"/>
        <v>78599.75</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43550.149999999994</v>
      </c>
      <c r="G550" s="69">
        <f>L527</f>
        <v>12935.7</v>
      </c>
      <c r="H550" s="69">
        <f>L532</f>
        <v>0</v>
      </c>
      <c r="I550" s="69">
        <f>L537</f>
        <v>0</v>
      </c>
      <c r="J550" s="69">
        <f>L542</f>
        <v>0</v>
      </c>
      <c r="K550" s="69">
        <f>SUM(F550:J550)</f>
        <v>56485.849999999991</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14516.72</v>
      </c>
      <c r="G552" s="69">
        <f>L529</f>
        <v>7597.1799999999994</v>
      </c>
      <c r="H552" s="69">
        <f>L534</f>
        <v>0</v>
      </c>
      <c r="I552" s="69">
        <f>L539</f>
        <v>0</v>
      </c>
      <c r="J552" s="69">
        <f>L544</f>
        <v>0</v>
      </c>
      <c r="K552" s="69">
        <f>SUM(F552:J552)</f>
        <v>22113.899999999998</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58066.869999999995</v>
      </c>
      <c r="G553" s="70">
        <f t="shared" si="42"/>
        <v>20532.88</v>
      </c>
      <c r="H553" s="70">
        <f t="shared" si="42"/>
        <v>0</v>
      </c>
      <c r="I553" s="70">
        <f t="shared" si="42"/>
        <v>0</v>
      </c>
      <c r="J553" s="70">
        <f t="shared" si="42"/>
        <v>0</v>
      </c>
      <c r="K553" s="70">
        <f t="shared" si="42"/>
        <v>78599.749999999985</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0</v>
      </c>
      <c r="I589" s="79">
        <f t="shared" si="48"/>
        <v>0</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c r="I592" s="18"/>
      <c r="J592" s="18"/>
      <c r="K592" s="80">
        <f t="shared" ref="K592:K598" si="49">SUM(H592:J592)</f>
        <v>0</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0</v>
      </c>
      <c r="J599" s="81">
        <f>SUM(J592:J598)</f>
        <v>0</v>
      </c>
      <c r="K599" s="81">
        <f>SUM(K592:K598)</f>
        <v>0</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492976.39999999997</v>
      </c>
      <c r="H618" s="80">
        <f>SUM(F52)</f>
        <v>492976.4</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5821.09</v>
      </c>
      <c r="H620" s="80">
        <f>SUM(H52)</f>
        <v>5821.09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548988.66</v>
      </c>
      <c r="H622" s="80">
        <f>SUM(J52)</f>
        <v>548988.66</v>
      </c>
      <c r="I622" s="87" t="s">
        <v>875</v>
      </c>
      <c r="J622" s="80">
        <f>G622-H622</f>
        <v>0</v>
      </c>
      <c r="K622" s="80"/>
      <c r="L622" s="80"/>
      <c r="M622" s="8"/>
    </row>
    <row r="623" spans="1:14" s="3" customFormat="1" ht="12.2" customHeight="1" x14ac:dyDescent="0.15">
      <c r="A623" s="74"/>
      <c r="B623" s="22"/>
      <c r="C623" s="22"/>
      <c r="D623" s="22"/>
      <c r="E623" s="22"/>
      <c r="F623" s="87" t="s">
        <v>861</v>
      </c>
      <c r="G623" s="80">
        <f>F51</f>
        <v>382745.71</v>
      </c>
      <c r="H623" s="80">
        <f>F477</f>
        <v>382745.70999999996</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548988.66</v>
      </c>
      <c r="H627" s="80">
        <f>J477</f>
        <v>548988.66</v>
      </c>
      <c r="I627" s="87" t="s">
        <v>105</v>
      </c>
      <c r="J627" s="80">
        <f t="shared" si="51"/>
        <v>0</v>
      </c>
      <c r="K627" s="67"/>
      <c r="L627" s="69"/>
      <c r="M627" s="8"/>
    </row>
    <row r="628" spans="1:13" s="3" customFormat="1" ht="12.2" customHeight="1" x14ac:dyDescent="0.15">
      <c r="A628" s="21"/>
      <c r="B628" s="22"/>
      <c r="C628" s="22"/>
      <c r="D628" s="22"/>
      <c r="E628" s="22"/>
      <c r="F628" s="86" t="s">
        <v>658</v>
      </c>
      <c r="G628" s="80">
        <f>F194</f>
        <v>1196387.44</v>
      </c>
      <c r="H628" s="80">
        <f>SUM(F469)</f>
        <v>1196387.44</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24146.76</v>
      </c>
      <c r="H630" s="80">
        <f>SUM(H469)</f>
        <v>24146.76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88136.08</v>
      </c>
      <c r="H632" s="80">
        <f>SUM(J469)</f>
        <v>88136.08</v>
      </c>
      <c r="I632" s="87" t="s">
        <v>110</v>
      </c>
      <c r="J632" s="80">
        <f>G632-H632</f>
        <v>0</v>
      </c>
      <c r="K632" s="67"/>
      <c r="L632" s="69"/>
      <c r="M632" s="8"/>
    </row>
    <row r="633" spans="1:13" s="3" customFormat="1" ht="12.2" customHeight="1" x14ac:dyDescent="0.15">
      <c r="A633" s="21"/>
      <c r="B633" s="22"/>
      <c r="C633" s="22"/>
      <c r="D633" s="22"/>
      <c r="E633" s="22"/>
      <c r="F633" s="86" t="s">
        <v>394</v>
      </c>
      <c r="G633" s="80">
        <f>SUM(L272)</f>
        <v>1262342.3899999999</v>
      </c>
      <c r="H633" s="80">
        <f>SUM(F473)</f>
        <v>1262342.3899999999</v>
      </c>
      <c r="I633" s="87" t="s">
        <v>111</v>
      </c>
      <c r="J633" s="80">
        <f t="shared" si="51"/>
        <v>0</v>
      </c>
      <c r="K633" s="67"/>
      <c r="L633" s="69"/>
      <c r="M633" s="8"/>
    </row>
    <row r="634" spans="1:13" s="3" customFormat="1" ht="12.2" customHeight="1" x14ac:dyDescent="0.15">
      <c r="A634" s="21"/>
      <c r="B634" s="22"/>
      <c r="C634" s="22"/>
      <c r="D634" s="22"/>
      <c r="E634" s="22"/>
      <c r="F634" s="86" t="s">
        <v>395</v>
      </c>
      <c r="G634" s="80">
        <f>SUM(L353)</f>
        <v>24146.76</v>
      </c>
      <c r="H634" s="80">
        <f>SUM(H473)</f>
        <v>24146.76</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88136.08</v>
      </c>
      <c r="H638" s="108">
        <f>SUM(J469)</f>
        <v>88136.08</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548988.66</v>
      </c>
      <c r="H641" s="80">
        <f>SUM(G462)</f>
        <v>548988.66</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548988.66</v>
      </c>
      <c r="H643" s="80">
        <f>SUM(I462)</f>
        <v>548988.66</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23136.080000000002</v>
      </c>
      <c r="H645" s="80">
        <f>H409</f>
        <v>23136.080000000002</v>
      </c>
      <c r="I645" s="87" t="s">
        <v>480</v>
      </c>
      <c r="J645" s="80">
        <f t="shared" si="51"/>
        <v>0</v>
      </c>
      <c r="K645" s="67"/>
      <c r="L645" s="69"/>
      <c r="M645" s="8"/>
    </row>
    <row r="646" spans="1:13" s="3" customFormat="1" ht="12.2" customHeight="1" x14ac:dyDescent="0.15">
      <c r="A646" s="21"/>
      <c r="B646" s="22"/>
      <c r="C646" s="22"/>
      <c r="D646" s="22"/>
      <c r="E646" s="22"/>
      <c r="F646" s="86" t="s">
        <v>664</v>
      </c>
      <c r="G646" s="80">
        <f>J184</f>
        <v>65000</v>
      </c>
      <c r="H646" s="80">
        <f>G409</f>
        <v>65000</v>
      </c>
      <c r="I646" s="87" t="s">
        <v>481</v>
      </c>
      <c r="J646" s="80">
        <f t="shared" si="51"/>
        <v>0</v>
      </c>
      <c r="K646" s="67"/>
      <c r="L646" s="69"/>
      <c r="M646" s="8"/>
    </row>
    <row r="647" spans="1:13" s="3" customFormat="1" ht="12.2" customHeight="1" x14ac:dyDescent="0.15">
      <c r="A647" s="21"/>
      <c r="B647" s="22"/>
      <c r="C647" s="22"/>
      <c r="D647" s="22"/>
      <c r="E647" s="22"/>
      <c r="F647" s="86" t="s">
        <v>662</v>
      </c>
      <c r="G647" s="80">
        <f>J194</f>
        <v>88136.08</v>
      </c>
      <c r="H647" s="80">
        <f>L409</f>
        <v>88136.08</v>
      </c>
      <c r="I647" s="87" t="s">
        <v>477</v>
      </c>
      <c r="J647" s="80">
        <f t="shared" si="51"/>
        <v>0</v>
      </c>
      <c r="K647" s="67"/>
      <c r="L647" s="69"/>
      <c r="M647" s="8"/>
    </row>
    <row r="648" spans="1:13" s="3" customFormat="1" ht="12.2" customHeight="1" x14ac:dyDescent="0.15">
      <c r="A648" s="21"/>
      <c r="B648" s="22"/>
      <c r="C648" s="22"/>
      <c r="D648" s="22"/>
      <c r="E648" s="22"/>
      <c r="F648" s="86" t="s">
        <v>51</v>
      </c>
      <c r="G648" s="80">
        <f>K599</f>
        <v>0</v>
      </c>
      <c r="H648" s="80">
        <f>L209+L227+L245</f>
        <v>0</v>
      </c>
      <c r="I648" s="87" t="s">
        <v>396</v>
      </c>
      <c r="J648" s="80">
        <f t="shared" si="51"/>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1"/>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65000</v>
      </c>
      <c r="H656" s="80">
        <f>K267+K348</f>
        <v>65000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790871.7699999999</v>
      </c>
      <c r="G661" s="13">
        <f>(L230+L310+L360)</f>
        <v>0</v>
      </c>
      <c r="H661" s="13">
        <f>(L248+L329+L361)</f>
        <v>430617.38</v>
      </c>
      <c r="I661" s="13">
        <f>SUM(F661:H661)</f>
        <v>1221489.1499999999</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0</v>
      </c>
      <c r="G663" s="13">
        <f>(L227+L307)-(J227+J307)</f>
        <v>0</v>
      </c>
      <c r="H663" s="13">
        <f>(L245+L326)-(J245+J326)</f>
        <v>0</v>
      </c>
      <c r="I663" s="13">
        <f>SUM(F663:H663)</f>
        <v>0</v>
      </c>
      <c r="J663"/>
      <c r="K663" s="13"/>
      <c r="L663" s="13"/>
      <c r="M663" s="9"/>
    </row>
    <row r="664" spans="1:13" s="3" customFormat="1" ht="12.2" customHeight="1" x14ac:dyDescent="0.15">
      <c r="A664" s="141" t="s">
        <v>129</v>
      </c>
      <c r="B664" s="124"/>
      <c r="C664" s="124"/>
      <c r="D664" s="124"/>
      <c r="E664" s="124"/>
      <c r="F664" s="142">
        <f>SUM(F576:F588)+SUM(H603:H605)+SUM(L612)</f>
        <v>0</v>
      </c>
      <c r="G664" s="142">
        <f>SUM(G576:G588)+SUM(I603:I605)+L613</f>
        <v>0</v>
      </c>
      <c r="H664" s="142">
        <f>SUM(H576:H588)+SUM(J603:J605)+L614</f>
        <v>0</v>
      </c>
      <c r="I664" s="13">
        <f>SUM(F664:H664)</f>
        <v>0</v>
      </c>
      <c r="J664" s="13"/>
      <c r="K664" s="13"/>
      <c r="L664" s="13"/>
      <c r="M664" s="9"/>
    </row>
    <row r="665" spans="1:13" s="3" customFormat="1" ht="12.2" customHeight="1" x14ac:dyDescent="0.15">
      <c r="A665" s="1" t="s">
        <v>130</v>
      </c>
      <c r="F665" s="13">
        <f>F661-SUM(F662:F664)</f>
        <v>790871.7699999999</v>
      </c>
      <c r="G665" s="13">
        <f>G661-SUM(G662:G664)</f>
        <v>0</v>
      </c>
      <c r="H665" s="13">
        <f>H661-SUM(H662:H664)</f>
        <v>430617.38</v>
      </c>
      <c r="I665" s="13">
        <f>I661-SUM(I662:I664)</f>
        <v>1221489.1499999999</v>
      </c>
      <c r="J665" s="13"/>
      <c r="K665" s="13"/>
      <c r="L665" s="13"/>
      <c r="M665" s="8"/>
    </row>
    <row r="666" spans="1:13" s="3" customFormat="1" ht="12.2" customHeight="1" x14ac:dyDescent="0.2">
      <c r="A666" s="1" t="s">
        <v>131</v>
      </c>
      <c r="F666" s="182"/>
      <c r="G666" s="183"/>
      <c r="H666" s="183"/>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2">IF(AND(F666=0,F665&gt;0),F665*-1,"")</f>
        <v>-790871.7699999999</v>
      </c>
      <c r="G670" s="73" t="str">
        <f t="shared" si="52"/>
        <v/>
      </c>
      <c r="H670" s="73">
        <f t="shared" si="52"/>
        <v>-430617.38</v>
      </c>
      <c r="I670" s="13">
        <f>SUM(F670:H670)</f>
        <v>-1221489.1499999999</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3" manualBreakCount="23">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7" sqref="E7"/>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0</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c r="C3" s="242"/>
      <c r="D3" s="242"/>
      <c r="E3" s="242"/>
      <c r="F3" s="242"/>
      <c r="G3" s="242"/>
      <c r="H3" s="242"/>
      <c r="I3" t="s">
        <v>1593</v>
      </c>
    </row>
    <row r="4" spans="1:9" x14ac:dyDescent="0.2">
      <c r="I4" t="s">
        <v>1594</v>
      </c>
    </row>
    <row r="5" spans="1:9" ht="15.75" x14ac:dyDescent="0.25">
      <c r="A5" s="238" t="s">
        <v>897</v>
      </c>
      <c r="B5" s="320" t="str">
        <f>'DOE25'!A2</f>
        <v>Goshen</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0</v>
      </c>
      <c r="F17" s="237" t="s">
        <v>1568</v>
      </c>
    </row>
    <row r="18" spans="1:6" ht="15" x14ac:dyDescent="0.2">
      <c r="A18" s="237" t="s">
        <v>1555</v>
      </c>
      <c r="B18" s="250"/>
      <c r="F18" s="246" t="s">
        <v>1592</v>
      </c>
    </row>
    <row r="19" spans="1:6" ht="18" x14ac:dyDescent="0.25">
      <c r="A19" s="239" t="s">
        <v>725</v>
      </c>
      <c r="B19" s="241">
        <f>SUM(B17:B18)</f>
        <v>0</v>
      </c>
    </row>
    <row r="21" spans="1:6" ht="18.75" thickBot="1" x14ac:dyDescent="0.3">
      <c r="A21" s="239" t="s">
        <v>1556</v>
      </c>
    </row>
    <row r="22" spans="1:6" ht="18.75" thickTop="1" x14ac:dyDescent="0.25">
      <c r="A22" s="239" t="s">
        <v>1557</v>
      </c>
      <c r="B22" s="245">
        <f>B14-B19</f>
        <v>0</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8" sqref="C1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Goshen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0</v>
      </c>
      <c r="C9" s="166">
        <f>'DOE25'!G198+'DOE25'!G216+'DOE25'!G234+'DOE25'!G277+'DOE25'!G296+'DOE25'!G315</f>
        <v>0</v>
      </c>
    </row>
    <row r="10" spans="1:3" x14ac:dyDescent="0.2">
      <c r="A10" t="s">
        <v>772</v>
      </c>
      <c r="B10" s="176"/>
      <c r="C10" s="176"/>
    </row>
    <row r="11" spans="1:3" x14ac:dyDescent="0.2">
      <c r="A11" t="s">
        <v>773</v>
      </c>
      <c r="B11" s="176"/>
      <c r="C11" s="176"/>
    </row>
    <row r="12" spans="1:3" x14ac:dyDescent="0.2">
      <c r="A12" t="s">
        <v>774</v>
      </c>
      <c r="B12" s="176"/>
      <c r="C12" s="176"/>
    </row>
    <row r="13" spans="1:3" x14ac:dyDescent="0.2">
      <c r="A13" t="str">
        <f>IF(B9=B13,IF(C9=C13,"Check Total OK","Check Total Error"),"Check Total Error")</f>
        <v>Check Total OK</v>
      </c>
      <c r="B13" s="168">
        <f>SUM(B10:B12)</f>
        <v>0</v>
      </c>
      <c r="C13" s="168">
        <f>SUM(C10:C12)</f>
        <v>0</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0</v>
      </c>
      <c r="C18" s="166">
        <f>'DOE25'!G199+'DOE25'!G217+'DOE25'!G235+'DOE25'!G278+'DOE25'!G297+'DOE25'!G316</f>
        <v>0</v>
      </c>
    </row>
    <row r="19" spans="1:3" x14ac:dyDescent="0.2">
      <c r="A19" t="s">
        <v>772</v>
      </c>
      <c r="B19" s="176"/>
      <c r="C19" s="176"/>
    </row>
    <row r="20" spans="1:3" x14ac:dyDescent="0.2">
      <c r="A20" t="s">
        <v>773</v>
      </c>
      <c r="B20" s="176"/>
      <c r="C20" s="176"/>
    </row>
    <row r="21" spans="1:3" x14ac:dyDescent="0.2">
      <c r="A21" t="s">
        <v>774</v>
      </c>
      <c r="B21" s="176"/>
      <c r="C21" s="176"/>
    </row>
    <row r="22" spans="1:3" x14ac:dyDescent="0.2">
      <c r="A22" t="str">
        <f>IF(B18=B22,IF(C18=C22,"Check Total OK","Check Total Error"),"Check Total Error")</f>
        <v>Check Total OK</v>
      </c>
      <c r="B22" s="168">
        <f>SUM(B19:B21)</f>
        <v>0</v>
      </c>
      <c r="C22" s="168">
        <f>SUM(C19:C21)</f>
        <v>0</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13" activePane="bottomLeft" state="frozen"/>
      <selection activeCell="F46" sqref="F46"/>
      <selection pane="bottomLeft" activeCell="O50" sqref="O5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Goshen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1077578.21</v>
      </c>
      <c r="D5" s="19">
        <f>SUM('DOE25'!L198:L201)+SUM('DOE25'!L216:L219)+SUM('DOE25'!L234:L237)-F5-G5-H5</f>
        <v>1077578.21</v>
      </c>
      <c r="E5" s="179"/>
      <c r="F5" s="180"/>
      <c r="G5" s="19">
        <f>SUM('DOE25'!J198:J201)+SUM('DOE25'!J216:J219)+SUM('DOE25'!J234:J237)</f>
        <v>0</v>
      </c>
      <c r="H5" s="19">
        <f>SUM('DOE25'!K198:K201)+SUM('DOE25'!K216:K219)+SUM('DOE25'!K234:K237)</f>
        <v>0</v>
      </c>
      <c r="I5" s="191"/>
    </row>
    <row r="6" spans="1:9" x14ac:dyDescent="0.2">
      <c r="A6" s="31">
        <v>2100</v>
      </c>
      <c r="B6" t="s">
        <v>793</v>
      </c>
      <c r="C6" s="205">
        <f t="shared" si="0"/>
        <v>5480.6399999999994</v>
      </c>
      <c r="D6" s="19">
        <f>'DOE25'!L203+'DOE25'!L221+'DOE25'!L239-F6-G6-H6</f>
        <v>5480.6399999999994</v>
      </c>
      <c r="E6" s="179"/>
      <c r="F6" s="180"/>
      <c r="G6" s="19">
        <f>'DOE25'!J203+'DOE25'!J221+'DOE25'!J239</f>
        <v>0</v>
      </c>
      <c r="H6" s="19">
        <f>'DOE25'!K203+'DOE25'!K221+'DOE25'!K239</f>
        <v>0</v>
      </c>
      <c r="I6" s="191"/>
    </row>
    <row r="7" spans="1:9" x14ac:dyDescent="0.2">
      <c r="A7" s="31">
        <v>2200</v>
      </c>
      <c r="B7" t="s">
        <v>817</v>
      </c>
      <c r="C7" s="205">
        <f t="shared" si="0"/>
        <v>0</v>
      </c>
      <c r="D7" s="19">
        <f>'DOE25'!L204+'DOE25'!L222+'DOE25'!L240-F7-G7-H7</f>
        <v>0</v>
      </c>
      <c r="E7" s="179"/>
      <c r="F7" s="180"/>
      <c r="G7" s="19">
        <f>'DOE25'!J204+'DOE25'!J222+'DOE25'!J240</f>
        <v>0</v>
      </c>
      <c r="H7" s="19">
        <f>'DOE25'!K204+'DOE25'!K222+'DOE25'!K240</f>
        <v>0</v>
      </c>
      <c r="I7" s="191"/>
    </row>
    <row r="8" spans="1:9" x14ac:dyDescent="0.2">
      <c r="A8" s="31">
        <v>2300</v>
      </c>
      <c r="B8" t="s">
        <v>794</v>
      </c>
      <c r="C8" s="205">
        <f t="shared" si="0"/>
        <v>17310.89</v>
      </c>
      <c r="D8" s="179"/>
      <c r="E8" s="19">
        <f>'DOE25'!L205+'DOE25'!L223+'DOE25'!L241-F8-G8-H8-D9-D11</f>
        <v>14572.41</v>
      </c>
      <c r="F8" s="180"/>
      <c r="G8" s="19">
        <f>'DOE25'!J205+'DOE25'!J223+'DOE25'!J241</f>
        <v>0</v>
      </c>
      <c r="H8" s="19">
        <f>'DOE25'!K205+'DOE25'!K223+'DOE25'!K241</f>
        <v>2738.48</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87597.61</v>
      </c>
      <c r="D12" s="19">
        <f>'DOE25'!L206+'DOE25'!L224+'DOE25'!L242-F12-G12-H12</f>
        <v>86515.04</v>
      </c>
      <c r="E12" s="179"/>
      <c r="F12" s="180"/>
      <c r="G12" s="19">
        <f>'DOE25'!J206+'DOE25'!J224+'DOE25'!J242</f>
        <v>0</v>
      </c>
      <c r="H12" s="19">
        <f>'DOE25'!K206+'DOE25'!K224+'DOE25'!K242</f>
        <v>1082.57</v>
      </c>
      <c r="I12" s="191"/>
    </row>
    <row r="13" spans="1:9" x14ac:dyDescent="0.2">
      <c r="A13" s="31">
        <v>2500</v>
      </c>
      <c r="B13" t="s">
        <v>795</v>
      </c>
      <c r="C13" s="205">
        <f t="shared" si="0"/>
        <v>9375.0400000000009</v>
      </c>
      <c r="D13" s="179"/>
      <c r="E13" s="19">
        <f>'DOE25'!L207+'DOE25'!L225+'DOE25'!L243-F13-G13-H13</f>
        <v>9375.0400000000009</v>
      </c>
      <c r="F13" s="180"/>
      <c r="G13" s="19">
        <f>'DOE25'!J207+'DOE25'!J225+'DOE25'!J243</f>
        <v>0</v>
      </c>
      <c r="H13" s="19">
        <f>'DOE25'!K207+'DOE25'!K225+'DOE25'!K243</f>
        <v>0</v>
      </c>
      <c r="I13" s="191"/>
    </row>
    <row r="14" spans="1:9" x14ac:dyDescent="0.2">
      <c r="A14" s="31">
        <v>2600</v>
      </c>
      <c r="B14" t="s">
        <v>815</v>
      </c>
      <c r="C14" s="205">
        <f t="shared" si="0"/>
        <v>0</v>
      </c>
      <c r="D14" s="19">
        <f>'DOE25'!L208+'DOE25'!L226+'DOE25'!L244-F14-G14-H14</f>
        <v>0</v>
      </c>
      <c r="E14" s="179"/>
      <c r="F14" s="180"/>
      <c r="G14" s="19">
        <f>'DOE25'!J208+'DOE25'!J226+'DOE25'!J244</f>
        <v>0</v>
      </c>
      <c r="H14" s="19">
        <f>'DOE25'!K208+'DOE25'!K226+'DOE25'!K244</f>
        <v>0</v>
      </c>
      <c r="I14" s="191"/>
    </row>
    <row r="15" spans="1:9" x14ac:dyDescent="0.2">
      <c r="A15" s="31">
        <v>2700</v>
      </c>
      <c r="B15" t="s">
        <v>796</v>
      </c>
      <c r="C15" s="205">
        <f t="shared" si="0"/>
        <v>0</v>
      </c>
      <c r="D15" s="19">
        <f>'DOE25'!L209+'DOE25'!L227+'DOE25'!L245-F15-G15-H15</f>
        <v>0</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24146.76</v>
      </c>
      <c r="D31" s="19">
        <f>'DOE25'!L291+'DOE25'!L310+'DOE25'!L329+'DOE25'!L334+'DOE25'!L335+'DOE25'!L336-F31-G31-H31</f>
        <v>24146.76</v>
      </c>
      <c r="E31" s="179"/>
      <c r="F31" s="180"/>
      <c r="G31" s="19">
        <f>'DOE25'!J291+'DOE25'!J310+'DOE25'!J329+'DOE25'!J334+'DOE25'!J335+'DOE25'!J336</f>
        <v>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1193720.6499999999</v>
      </c>
      <c r="E33" s="181">
        <f t="shared" si="1"/>
        <v>23947.45</v>
      </c>
      <c r="F33" s="181">
        <f t="shared" si="1"/>
        <v>0</v>
      </c>
      <c r="G33" s="181">
        <f t="shared" si="1"/>
        <v>0</v>
      </c>
      <c r="H33" s="181">
        <f t="shared" si="1"/>
        <v>3821.05</v>
      </c>
      <c r="I33" s="181">
        <f t="shared" si="1"/>
        <v>0</v>
      </c>
    </row>
    <row r="34" spans="1:9" ht="12" thickBot="1" x14ac:dyDescent="0.25"/>
    <row r="35" spans="1:9" ht="12" thickBot="1" x14ac:dyDescent="0.25">
      <c r="B35" s="187" t="s">
        <v>827</v>
      </c>
      <c r="D35" s="188">
        <f>E33</f>
        <v>23947.45</v>
      </c>
      <c r="E35" s="184"/>
      <c r="F35" s="294" t="s">
        <v>1596</v>
      </c>
      <c r="G35" s="295"/>
      <c r="H35" s="295"/>
      <c r="I35" s="296"/>
    </row>
    <row r="36" spans="1:9" ht="12" thickTop="1" x14ac:dyDescent="0.2">
      <c r="B36" t="s">
        <v>807</v>
      </c>
      <c r="D36" s="19">
        <f>D33</f>
        <v>1193720.6499999999</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5" zoomScale="90" zoomScaleNormal="90" workbookViewId="0">
      <selection activeCell="A15" sqref="A15"/>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Goshen</v>
      </c>
      <c r="B2">
        <f>'DOE25'!B2</f>
        <v>204</v>
      </c>
      <c r="J2" s="223" t="s">
        <v>1799</v>
      </c>
      <c r="K2" s="308">
        <f>SUM('DOE25'!L198:L201)+SUM('DOE25'!L277:L280)</f>
        <v>703509.00999999989</v>
      </c>
      <c r="L2" s="308">
        <f>'DOE25'!L203+'DOE25'!L282</f>
        <v>4110.4799999999996</v>
      </c>
      <c r="M2" s="308">
        <f>'DOE25'!L204+'DOE25'!L283</f>
        <v>0</v>
      </c>
      <c r="N2" s="308">
        <f>'DOE25'!L206+'DOE25'!L285</f>
        <v>59566.36</v>
      </c>
      <c r="O2" s="316">
        <f>'Salaries-Benefits'!B10+'Salaries-Benefits'!B12+'Salaries-Benefits'!B19+'Salaries-Benefits'!B21+'Salaries-Benefits'!B28+'Salaries-Benefits'!B30+'Salaries-Benefits'!B37+'Salaries-Benefits'!B39</f>
        <v>0</v>
      </c>
      <c r="P2" s="316">
        <f>'Salaries-Benefits'!B11+'Salaries-Benefits'!B20+'Salaries-Benefits'!B29+'Salaries-Benefits'!B38</f>
        <v>0</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790871.7699999999</v>
      </c>
      <c r="G4" s="228">
        <f>'DOE25'!L212+'DOE25'!L291</f>
        <v>790871.7699999999</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772761.7</v>
      </c>
      <c r="E5" s="219">
        <v>18110.07</v>
      </c>
      <c r="F5" s="231">
        <f>D5+E5</f>
        <v>790871.7699999999</v>
      </c>
      <c r="G5" s="222"/>
      <c r="H5" s="222"/>
      <c r="J5" s="71" t="s">
        <v>1840</v>
      </c>
      <c r="K5" s="20">
        <v>703509.01</v>
      </c>
      <c r="L5" s="20">
        <v>4110.4799999999996</v>
      </c>
      <c r="M5" s="20"/>
      <c r="N5" s="20">
        <v>59566.36</v>
      </c>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772761.7</v>
      </c>
      <c r="E21" s="261">
        <f>SUM(E5:E20)</f>
        <v>18110.07</v>
      </c>
      <c r="F21" s="216"/>
      <c r="G21" s="216"/>
      <c r="H21" s="216"/>
      <c r="K21" s="262">
        <f t="shared" ref="K21:Q21" si="4">SUM(K5:K20)</f>
        <v>703509.01</v>
      </c>
      <c r="L21" s="262">
        <f t="shared" si="4"/>
        <v>4110.4799999999996</v>
      </c>
      <c r="M21" s="262">
        <f t="shared" si="4"/>
        <v>0</v>
      </c>
      <c r="N21" s="262">
        <f t="shared" si="4"/>
        <v>59566.36</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398215.96</v>
      </c>
      <c r="L36" s="19">
        <f>'DOE25'!L239+'DOE25'!L320</f>
        <v>1370.16</v>
      </c>
      <c r="M36" s="19">
        <f>'DOE25'!L240+'DOE25'!L321</f>
        <v>0</v>
      </c>
      <c r="N36" s="19">
        <f>'DOE25'!L242+'DOE25'!L323</f>
        <v>28031.249999999996</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430617.38</v>
      </c>
      <c r="G38" s="228">
        <f>'DOE25'!L248+'DOE25'!L329</f>
        <v>430617.38</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424580.69</v>
      </c>
      <c r="E39" s="219">
        <v>6036.69</v>
      </c>
      <c r="F39" s="231">
        <f t="shared" ref="F39:F44" si="10">D39+E39</f>
        <v>430617.38</v>
      </c>
      <c r="G39" s="222"/>
      <c r="H39" s="222"/>
      <c r="J39" s="71" t="s">
        <v>1840</v>
      </c>
      <c r="K39" s="315">
        <v>398215.96</v>
      </c>
      <c r="L39" s="315">
        <v>1370.16</v>
      </c>
      <c r="M39" s="315"/>
      <c r="N39" s="315">
        <v>28031.25</v>
      </c>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424580.69</v>
      </c>
      <c r="E45" s="262">
        <f>SUM(E39:E44)</f>
        <v>6036.69</v>
      </c>
      <c r="K45" s="262">
        <f t="shared" ref="K45:Q45" si="11">SUM(K39:K44)</f>
        <v>398215.96</v>
      </c>
      <c r="L45" s="262">
        <f t="shared" si="11"/>
        <v>1370.16</v>
      </c>
      <c r="M45" s="262">
        <f t="shared" si="11"/>
        <v>0</v>
      </c>
      <c r="N45" s="262">
        <f t="shared" si="11"/>
        <v>28031.25</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90" zoomScaleNormal="90" workbookViewId="0">
      <selection activeCell="I148" sqref="I14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Goshen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475640.29</v>
      </c>
      <c r="D8" s="73">
        <f>'DOE25'!G9</f>
        <v>0</v>
      </c>
      <c r="E8" s="73">
        <f>'DOE25'!H9</f>
        <v>0</v>
      </c>
      <c r="F8" s="73">
        <f>'DOE25'!I9</f>
        <v>0</v>
      </c>
      <c r="G8" s="73">
        <f>'DOE25'!J9</f>
        <v>0</v>
      </c>
      <c r="H8" s="13">
        <f>SUM(C8:G8)</f>
        <v>475640.29</v>
      </c>
      <c r="I8" s="90"/>
    </row>
    <row r="9" spans="1:9" x14ac:dyDescent="0.2">
      <c r="A9" s="1" t="s">
        <v>140</v>
      </c>
      <c r="B9" s="6">
        <v>110</v>
      </c>
      <c r="C9" s="73">
        <f>'DOE25'!F10</f>
        <v>0</v>
      </c>
      <c r="D9" s="73">
        <f>'DOE25'!G10</f>
        <v>0</v>
      </c>
      <c r="E9" s="73">
        <f>'DOE25'!H10</f>
        <v>0</v>
      </c>
      <c r="F9" s="73">
        <f>'DOE25'!I10</f>
        <v>0</v>
      </c>
      <c r="G9" s="73">
        <f>'DOE25'!J10</f>
        <v>548988.66</v>
      </c>
      <c r="H9" s="13">
        <f t="shared" ref="H9:H18" si="0">SUM(C9:G9)</f>
        <v>548988.66</v>
      </c>
      <c r="I9" s="90"/>
    </row>
    <row r="10" spans="1:9" x14ac:dyDescent="0.2">
      <c r="A10" s="1" t="s">
        <v>141</v>
      </c>
      <c r="B10" s="6">
        <v>120</v>
      </c>
      <c r="C10" s="73">
        <f>'DOE25'!F11</f>
        <v>8410</v>
      </c>
      <c r="D10" s="23" t="s">
        <v>288</v>
      </c>
      <c r="E10" s="23" t="s">
        <v>288</v>
      </c>
      <c r="F10" s="23" t="s">
        <v>288</v>
      </c>
      <c r="G10" s="23" t="s">
        <v>288</v>
      </c>
      <c r="H10" s="13">
        <f t="shared" si="0"/>
        <v>8410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8926.11</v>
      </c>
      <c r="D12" s="73">
        <f>'DOE25'!G13</f>
        <v>0</v>
      </c>
      <c r="E12" s="73">
        <f>'DOE25'!H13</f>
        <v>5821.09</v>
      </c>
      <c r="F12" s="73">
        <f>'DOE25'!I13</f>
        <v>0</v>
      </c>
      <c r="G12" s="73">
        <f>'DOE25'!J13</f>
        <v>0</v>
      </c>
      <c r="H12" s="13">
        <f t="shared" si="0"/>
        <v>14747.2</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492976.39999999997</v>
      </c>
      <c r="D18" s="38">
        <f>SUM(D8:D17)</f>
        <v>0</v>
      </c>
      <c r="E18" s="38">
        <f>SUM(E8:E17)</f>
        <v>5821.09</v>
      </c>
      <c r="F18" s="38">
        <f>SUM(F8:F17)</f>
        <v>0</v>
      </c>
      <c r="G18" s="38">
        <f>SUM(G8:G17)</f>
        <v>548988.66</v>
      </c>
      <c r="H18" s="38">
        <f t="shared" si="0"/>
        <v>1047786.15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110230.69</v>
      </c>
      <c r="D23" s="73">
        <f>'DOE25'!G24</f>
        <v>0</v>
      </c>
      <c r="E23" s="73">
        <f>'DOE25'!H24</f>
        <v>5821.09</v>
      </c>
      <c r="F23" s="73">
        <f>'DOE25'!I24</f>
        <v>0</v>
      </c>
      <c r="G23" s="73">
        <f>'DOE25'!J24</f>
        <v>0</v>
      </c>
      <c r="H23" s="13">
        <f t="shared" si="1"/>
        <v>116051.78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110230.69</v>
      </c>
      <c r="D31" s="38">
        <f>SUM(D21:D30)</f>
        <v>0</v>
      </c>
      <c r="E31" s="38">
        <f>SUM(E21:E30)</f>
        <v>5821.09</v>
      </c>
      <c r="F31" s="38">
        <f>SUM(F21:F30)</f>
        <v>0</v>
      </c>
      <c r="G31" s="38">
        <f>SUM(G21:G30)</f>
        <v>0</v>
      </c>
      <c r="H31" s="38">
        <f t="shared" si="1"/>
        <v>116051.78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75000</v>
      </c>
      <c r="D43" s="73">
        <f>'DOE25'!G44</f>
        <v>0</v>
      </c>
      <c r="E43" s="73">
        <f>'DOE25'!H44</f>
        <v>0</v>
      </c>
      <c r="F43" s="73">
        <f>'DOE25'!I44</f>
        <v>0</v>
      </c>
      <c r="G43" s="23" t="s">
        <v>288</v>
      </c>
      <c r="H43" s="13">
        <f t="shared" si="2"/>
        <v>75000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36217.949999999997</v>
      </c>
      <c r="D45" s="23" t="s">
        <v>288</v>
      </c>
      <c r="E45" s="23" t="s">
        <v>288</v>
      </c>
      <c r="F45" s="23" t="s">
        <v>288</v>
      </c>
      <c r="G45" s="23" t="s">
        <v>288</v>
      </c>
      <c r="H45" s="13">
        <f t="shared" si="2"/>
        <v>36217.949999999997</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548988.66</v>
      </c>
      <c r="H47" s="13">
        <f t="shared" si="2"/>
        <v>548988.66</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271527.76</v>
      </c>
      <c r="D49" s="23" t="s">
        <v>288</v>
      </c>
      <c r="E49" s="23" t="s">
        <v>288</v>
      </c>
      <c r="F49" s="23" t="s">
        <v>288</v>
      </c>
      <c r="G49" s="23" t="s">
        <v>288</v>
      </c>
      <c r="H49" s="13">
        <f t="shared" si="2"/>
        <v>271527.76</v>
      </c>
      <c r="I49" s="90"/>
    </row>
    <row r="50" spans="1:9" ht="12.75" thickTop="1" thickBot="1" x14ac:dyDescent="0.25">
      <c r="A50" s="35" t="s">
        <v>880</v>
      </c>
      <c r="B50" s="44"/>
      <c r="C50" s="38">
        <f>SUM(C34:C49)</f>
        <v>382745.71</v>
      </c>
      <c r="D50" s="38">
        <f>SUM(D34:D49)</f>
        <v>0</v>
      </c>
      <c r="E50" s="38">
        <f>SUM(E34:E49)</f>
        <v>0</v>
      </c>
      <c r="F50" s="38">
        <f>SUM(F34:F49)</f>
        <v>0</v>
      </c>
      <c r="G50" s="38">
        <f>SUM(G34:G49)</f>
        <v>548988.66</v>
      </c>
      <c r="H50" s="38">
        <f t="shared" si="2"/>
        <v>931734.37000000011</v>
      </c>
      <c r="I50" s="90"/>
    </row>
    <row r="51" spans="1:9" ht="12" thickTop="1" x14ac:dyDescent="0.2">
      <c r="A51" s="35" t="s">
        <v>881</v>
      </c>
      <c r="B51" s="2"/>
      <c r="C51" s="38">
        <f>C50+C31</f>
        <v>492976.4</v>
      </c>
      <c r="D51" s="38">
        <f>D50+D31</f>
        <v>0</v>
      </c>
      <c r="E51" s="38">
        <f>E50+E31</f>
        <v>5821.09</v>
      </c>
      <c r="F51" s="38">
        <f>F50+F31</f>
        <v>0</v>
      </c>
      <c r="G51" s="38">
        <f>G50+G31</f>
        <v>548988.66</v>
      </c>
      <c r="H51" s="38">
        <f t="shared" si="2"/>
        <v>1047786.1500000001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577609</v>
      </c>
      <c r="D56" s="73">
        <f>'DOE25'!G60</f>
        <v>0</v>
      </c>
      <c r="E56" s="73">
        <f>'DOE25'!H60</f>
        <v>0</v>
      </c>
      <c r="F56" s="73">
        <f>'DOE25'!I60</f>
        <v>0</v>
      </c>
      <c r="G56" s="73">
        <f>'DOE25'!J60</f>
        <v>0</v>
      </c>
      <c r="H56" s="13">
        <f t="shared" ref="H56:H63" si="3">SUM(C56:G56)</f>
        <v>577609</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3374.87</v>
      </c>
      <c r="D59" s="73">
        <f>'DOE25'!G96</f>
        <v>0</v>
      </c>
      <c r="E59" s="73">
        <f>'DOE25'!H96</f>
        <v>0</v>
      </c>
      <c r="F59" s="73">
        <f>'DOE25'!I96</f>
        <v>0</v>
      </c>
      <c r="G59" s="73">
        <f>'DOE25'!J96</f>
        <v>23136.080000000002</v>
      </c>
      <c r="H59" s="13">
        <f t="shared" si="3"/>
        <v>26510.95</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39.15</v>
      </c>
      <c r="D61" s="73">
        <f>SUM('DOE25'!G98:G110)</f>
        <v>0</v>
      </c>
      <c r="E61" s="73">
        <f>SUM('DOE25'!H98:H110)</f>
        <v>0</v>
      </c>
      <c r="F61" s="73">
        <f>SUM('DOE25'!I98:I110)</f>
        <v>0</v>
      </c>
      <c r="G61" s="73">
        <f>SUM('DOE25'!J98:J110)</f>
        <v>0</v>
      </c>
      <c r="H61" s="13">
        <f t="shared" si="3"/>
        <v>39.15</v>
      </c>
      <c r="I61"/>
    </row>
    <row r="62" spans="1:9" ht="12.75" thickTop="1" thickBot="1" x14ac:dyDescent="0.25">
      <c r="A62" s="28" t="s">
        <v>174</v>
      </c>
      <c r="B62" s="6"/>
      <c r="C62" s="93">
        <f>SUM(C57:C61)</f>
        <v>3414.02</v>
      </c>
      <c r="D62" s="93">
        <f>SUM(D57:D61)</f>
        <v>0</v>
      </c>
      <c r="E62" s="93">
        <f>SUM(E57:E61)</f>
        <v>0</v>
      </c>
      <c r="F62" s="93">
        <f>SUM(F57:F61)</f>
        <v>0</v>
      </c>
      <c r="G62" s="93">
        <f>SUM(G57:G61)</f>
        <v>23136.080000000002</v>
      </c>
      <c r="H62" s="13">
        <f t="shared" si="3"/>
        <v>26550.100000000002</v>
      </c>
      <c r="I62"/>
    </row>
    <row r="63" spans="1:9" ht="12" thickTop="1" x14ac:dyDescent="0.2">
      <c r="A63" s="28" t="s">
        <v>175</v>
      </c>
      <c r="B63" s="6"/>
      <c r="C63" s="21">
        <f>C56+C62</f>
        <v>581023.02</v>
      </c>
      <c r="D63" s="21">
        <f>D56+D62</f>
        <v>0</v>
      </c>
      <c r="E63" s="21">
        <f>E56+E62</f>
        <v>0</v>
      </c>
      <c r="F63" s="21">
        <f>F56+F62</f>
        <v>0</v>
      </c>
      <c r="G63" s="21">
        <f>G56+G62</f>
        <v>23136.080000000002</v>
      </c>
      <c r="H63" s="13">
        <f t="shared" si="3"/>
        <v>604159.1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458817.28000000003</v>
      </c>
      <c r="D66" s="23" t="s">
        <v>288</v>
      </c>
      <c r="E66" s="23" t="s">
        <v>288</v>
      </c>
      <c r="F66" s="23" t="s">
        <v>288</v>
      </c>
      <c r="G66" s="23" t="s">
        <v>288</v>
      </c>
      <c r="H66" s="13">
        <f t="shared" ref="H66:H81" si="4">SUM(C66:G66)</f>
        <v>458817.28000000003</v>
      </c>
      <c r="I66"/>
    </row>
    <row r="67" spans="1:9" x14ac:dyDescent="0.2">
      <c r="A67" s="1" t="s">
        <v>767</v>
      </c>
      <c r="B67" s="6">
        <v>3112</v>
      </c>
      <c r="C67" s="73">
        <f>'DOE25'!F118</f>
        <v>146750</v>
      </c>
      <c r="D67" s="23"/>
      <c r="E67" s="23"/>
      <c r="F67" s="23"/>
      <c r="G67" s="23"/>
      <c r="H67" s="13">
        <f t="shared" si="4"/>
        <v>146750</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605567.28</v>
      </c>
      <c r="D70" s="97">
        <f>D69</f>
        <v>0</v>
      </c>
      <c r="E70" s="97">
        <f>E69</f>
        <v>0</v>
      </c>
      <c r="F70" s="97">
        <f>F69</f>
        <v>0</v>
      </c>
      <c r="G70" s="97">
        <f>G69</f>
        <v>0</v>
      </c>
      <c r="H70" s="13">
        <f t="shared" si="4"/>
        <v>605567.28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605567.28</v>
      </c>
      <c r="D81" s="93">
        <f>SUM(D79:D80)+D78+D70</f>
        <v>0</v>
      </c>
      <c r="E81" s="93">
        <f>SUM(E79:E80)+E78+E70</f>
        <v>0</v>
      </c>
      <c r="F81" s="93">
        <f>SUM(F79:F80)+F78+F70</f>
        <v>0</v>
      </c>
      <c r="G81" s="93">
        <f>SUM(G79:G80)+G78+G70</f>
        <v>0</v>
      </c>
      <c r="H81" s="93">
        <f t="shared" si="4"/>
        <v>605567.28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9797.14</v>
      </c>
      <c r="D88" s="252">
        <f>SUM('DOE25'!G153:G162)</f>
        <v>0</v>
      </c>
      <c r="E88" s="252">
        <f>SUM('DOE25'!H153:H162)</f>
        <v>24146.76</v>
      </c>
      <c r="F88" s="252">
        <f>SUM('DOE25'!I153:I162)</f>
        <v>0</v>
      </c>
      <c r="G88" s="23" t="s">
        <v>288</v>
      </c>
      <c r="H88" s="13">
        <f t="shared" si="5"/>
        <v>33943.899999999994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9797.14</v>
      </c>
      <c r="D91" s="94">
        <f>SUM(D85:D90)</f>
        <v>0</v>
      </c>
      <c r="E91" s="94">
        <f>SUM(E85:E90)</f>
        <v>24146.76</v>
      </c>
      <c r="F91" s="94">
        <f>SUM(F85:F90)</f>
        <v>0</v>
      </c>
      <c r="G91" s="23" t="s">
        <v>288</v>
      </c>
      <c r="H91" s="13">
        <f t="shared" si="5"/>
        <v>33943.899999999994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65000</v>
      </c>
      <c r="H96" s="13">
        <f t="shared" si="5"/>
        <v>65000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65000</v>
      </c>
      <c r="H103" s="68">
        <f t="shared" si="5"/>
        <v>65000</v>
      </c>
    </row>
    <row r="104" spans="1:8" ht="12.75" thickTop="1" thickBot="1" x14ac:dyDescent="0.25">
      <c r="A104" s="32" t="s">
        <v>758</v>
      </c>
      <c r="C104" s="68">
        <f>C63+C81+C91+C103</f>
        <v>1196387.44</v>
      </c>
      <c r="D104" s="68">
        <f>D63+D81+D91+D103</f>
        <v>0</v>
      </c>
      <c r="E104" s="68">
        <f>E63+E81+E91+E103</f>
        <v>24146.76</v>
      </c>
      <c r="F104" s="68">
        <f>F63+F81+F91+F103</f>
        <v>0</v>
      </c>
      <c r="G104" s="68">
        <f>G63+G81+G103</f>
        <v>88136.08</v>
      </c>
      <c r="H104" s="68">
        <f t="shared" si="5"/>
        <v>1308670.28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1043658.1</v>
      </c>
      <c r="D109" s="23" t="s">
        <v>288</v>
      </c>
      <c r="E109" s="73">
        <f>('DOE25'!L277)+('DOE25'!L296)+('DOE25'!L315)</f>
        <v>0</v>
      </c>
      <c r="F109" s="23" t="s">
        <v>288</v>
      </c>
      <c r="G109" s="23" t="s">
        <v>288</v>
      </c>
      <c r="H109" s="13">
        <f t="shared" ref="H109:H115" si="6">SUM(C109:G109)</f>
        <v>1043658.1</v>
      </c>
    </row>
    <row r="110" spans="1:8" x14ac:dyDescent="0.2">
      <c r="A110" t="s">
        <v>198</v>
      </c>
      <c r="B110" s="31" t="s">
        <v>199</v>
      </c>
      <c r="C110" s="73">
        <f>('DOE25'!L199)+('DOE25'!L217)+('DOE25'!L235)</f>
        <v>33920.11</v>
      </c>
      <c r="D110" s="23" t="s">
        <v>288</v>
      </c>
      <c r="E110" s="73">
        <f>('DOE25'!L278)+('DOE25'!L297)+('DOE25'!L316)</f>
        <v>24146.76</v>
      </c>
      <c r="F110" s="23" t="s">
        <v>288</v>
      </c>
      <c r="G110" s="23" t="s">
        <v>288</v>
      </c>
      <c r="H110" s="13">
        <f t="shared" si="6"/>
        <v>58066.869999999995</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1077578.21</v>
      </c>
      <c r="D115" s="68">
        <f>SUM(D109:D114)</f>
        <v>0</v>
      </c>
      <c r="E115" s="68">
        <f>SUM(E109:E114)</f>
        <v>24146.76</v>
      </c>
      <c r="F115" s="68">
        <f>SUM(F109:F114)</f>
        <v>0</v>
      </c>
      <c r="G115" s="68">
        <f>SUM(G109:G114)</f>
        <v>0</v>
      </c>
      <c r="H115" s="68">
        <f t="shared" si="6"/>
        <v>1101724.97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5480.6399999999994</v>
      </c>
      <c r="D118" s="23" t="s">
        <v>288</v>
      </c>
      <c r="E118" s="73">
        <f>+('DOE25'!L282)+('DOE25'!L301)+('DOE25'!L320)</f>
        <v>0</v>
      </c>
      <c r="F118" s="23" t="s">
        <v>288</v>
      </c>
      <c r="G118" s="23" t="s">
        <v>288</v>
      </c>
      <c r="H118" s="13">
        <f t="shared" ref="H118:H145" si="7">SUM(C118:G118)</f>
        <v>5480.6399999999994</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17310.89</v>
      </c>
      <c r="D120" s="23" t="s">
        <v>288</v>
      </c>
      <c r="E120" s="73">
        <f>+('DOE25'!L284)+('DOE25'!L303)+('DOE25'!L322)</f>
        <v>0</v>
      </c>
      <c r="F120" s="23" t="s">
        <v>288</v>
      </c>
      <c r="G120" s="23" t="s">
        <v>288</v>
      </c>
      <c r="H120" s="13">
        <f t="shared" si="7"/>
        <v>17310.89</v>
      </c>
    </row>
    <row r="121" spans="1:8" x14ac:dyDescent="0.2">
      <c r="A121" t="s">
        <v>212</v>
      </c>
      <c r="B121" s="31" t="s">
        <v>213</v>
      </c>
      <c r="C121" s="73">
        <f>('DOE25'!L206)+('DOE25'!L224)+('DOE25'!L242)</f>
        <v>87597.61</v>
      </c>
      <c r="D121" s="23" t="s">
        <v>288</v>
      </c>
      <c r="E121" s="73">
        <f>+('DOE25'!L285)+('DOE25'!L304)+('DOE25'!L323)</f>
        <v>0</v>
      </c>
      <c r="F121" s="23" t="s">
        <v>288</v>
      </c>
      <c r="G121" s="23" t="s">
        <v>288</v>
      </c>
      <c r="H121" s="13">
        <f t="shared" si="7"/>
        <v>87597.61</v>
      </c>
    </row>
    <row r="122" spans="1:8" x14ac:dyDescent="0.2">
      <c r="A122" t="s">
        <v>214</v>
      </c>
      <c r="B122" s="31" t="s">
        <v>215</v>
      </c>
      <c r="C122" s="73">
        <f>('DOE25'!L207)+('DOE25'!L225)+('DOE25'!L243)</f>
        <v>9375.0400000000009</v>
      </c>
      <c r="D122" s="23" t="s">
        <v>288</v>
      </c>
      <c r="E122" s="73">
        <f>+('DOE25'!L286)+('DOE25'!L305)+('DOE25'!L324)</f>
        <v>0</v>
      </c>
      <c r="F122" s="23" t="s">
        <v>288</v>
      </c>
      <c r="G122" s="23" t="s">
        <v>288</v>
      </c>
      <c r="H122" s="13">
        <f t="shared" si="7"/>
        <v>9375.0400000000009</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0</v>
      </c>
      <c r="D124" s="23" t="s">
        <v>288</v>
      </c>
      <c r="E124" s="73">
        <f>+('DOE25'!L288)+('DOE25'!L307)+('DOE25'!L326)</f>
        <v>0</v>
      </c>
      <c r="F124" s="23" t="s">
        <v>288</v>
      </c>
      <c r="G124" s="23" t="s">
        <v>288</v>
      </c>
      <c r="H124" s="13">
        <f t="shared" si="7"/>
        <v>0</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119764.18</v>
      </c>
      <c r="D128" s="68">
        <f>SUM(D118:D127)</f>
        <v>0</v>
      </c>
      <c r="E128" s="68">
        <f>SUM(E118:E127)</f>
        <v>0</v>
      </c>
      <c r="F128" s="68">
        <f>SUM(F118:F127)</f>
        <v>0</v>
      </c>
      <c r="G128" s="68">
        <f>SUM(G118:G127)</f>
        <v>0</v>
      </c>
      <c r="H128" s="68">
        <f t="shared" si="7"/>
        <v>119764.18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88136.08</v>
      </c>
      <c r="D139" s="23" t="s">
        <v>288</v>
      </c>
      <c r="E139" s="23" t="s">
        <v>288</v>
      </c>
      <c r="F139" s="23" t="s">
        <v>288</v>
      </c>
      <c r="G139" s="23" t="s">
        <v>288</v>
      </c>
      <c r="H139" s="13">
        <f t="shared" si="7"/>
        <v>88136.08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-23136.080000000002</v>
      </c>
      <c r="D141" s="23" t="s">
        <v>288</v>
      </c>
      <c r="E141" s="23" t="s">
        <v>288</v>
      </c>
      <c r="F141" s="23" t="s">
        <v>288</v>
      </c>
      <c r="G141" s="23" t="s">
        <v>288</v>
      </c>
      <c r="H141" s="13">
        <f t="shared" si="7"/>
        <v>-23136.080000000002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65000</v>
      </c>
      <c r="D144" s="98">
        <f>SUM(D130:D143)</f>
        <v>0</v>
      </c>
      <c r="E144" s="98">
        <f>SUM(E130:E143)</f>
        <v>0</v>
      </c>
      <c r="F144" s="98">
        <f>SUM(F130:F143)</f>
        <v>0</v>
      </c>
      <c r="G144" s="98">
        <f>SUM(G130:G143)</f>
        <v>0</v>
      </c>
      <c r="H144" s="98">
        <f t="shared" si="7"/>
        <v>65000</v>
      </c>
    </row>
    <row r="145" spans="1:9" ht="12.75" thickTop="1" thickBot="1" x14ac:dyDescent="0.25">
      <c r="A145" s="32" t="s">
        <v>244</v>
      </c>
      <c r="C145" s="68">
        <f>(C115+C128+C144)</f>
        <v>1262342.3899999999</v>
      </c>
      <c r="D145" s="68">
        <f>(D115+D128+D144)</f>
        <v>0</v>
      </c>
      <c r="E145" s="68">
        <f>(E115+E128+E144)</f>
        <v>24146.76</v>
      </c>
      <c r="F145" s="68">
        <f>(F115+F128+F144)</f>
        <v>0</v>
      </c>
      <c r="G145" s="68">
        <f>(G115+G128+G144)</f>
        <v>0</v>
      </c>
      <c r="H145" s="68">
        <f t="shared" si="7"/>
        <v>1286489.1499999999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Goshen</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0</v>
      </c>
    </row>
    <row r="9" spans="1:4" x14ac:dyDescent="0.2">
      <c r="A9" s="135" t="s">
        <v>94</v>
      </c>
      <c r="B9" s="136" t="s">
        <v>1793</v>
      </c>
      <c r="C9" s="130" t="s">
        <v>720</v>
      </c>
      <c r="D9" s="130" t="s">
        <v>721</v>
      </c>
    </row>
    <row r="10" spans="1:4" x14ac:dyDescent="0.2">
      <c r="A10">
        <v>1100</v>
      </c>
      <c r="B10" t="s">
        <v>702</v>
      </c>
      <c r="C10" s="128">
        <f>ROUND('DOE25'!L198+'DOE25'!L216+'DOE25'!L234+'DOE25'!L277+'DOE25'!L296+'DOE25'!L315,0)</f>
        <v>1043658</v>
      </c>
      <c r="D10" s="131">
        <f>ROUND((C10/$C$28)*100,1)</f>
        <v>85.4</v>
      </c>
    </row>
    <row r="11" spans="1:4" x14ac:dyDescent="0.2">
      <c r="A11">
        <v>1200</v>
      </c>
      <c r="B11" t="s">
        <v>703</v>
      </c>
      <c r="C11" s="128">
        <f>ROUND('DOE25'!L199+'DOE25'!L217+'DOE25'!L235+'DOE25'!L278+'DOE25'!L297+'DOE25'!L316,0)</f>
        <v>58067</v>
      </c>
      <c r="D11" s="131">
        <f>ROUND((C11/$C$28)*100,1)</f>
        <v>4.8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5481</v>
      </c>
      <c r="D15" s="131">
        <f t="shared" ref="D15:D27" si="0">ROUND((C15/$C$28)*100,1)</f>
        <v>0.4</v>
      </c>
    </row>
    <row r="16" spans="1:4" x14ac:dyDescent="0.2">
      <c r="A16">
        <v>2200</v>
      </c>
      <c r="B16" t="s">
        <v>707</v>
      </c>
      <c r="C16" s="128">
        <f>ROUND('DOE25'!L204+'DOE25'!L222+'DOE25'!L240+'DOE25'!L283+'DOE25'!L302+'DOE25'!L321,0)</f>
        <v>0</v>
      </c>
      <c r="D16" s="131">
        <f t="shared" si="0"/>
        <v>0</v>
      </c>
    </row>
    <row r="17" spans="1:4" x14ac:dyDescent="0.2">
      <c r="A17" s="132" t="s">
        <v>723</v>
      </c>
      <c r="B17" t="s">
        <v>738</v>
      </c>
      <c r="C17" s="128">
        <f>ROUND('DOE25'!L205+'DOE25'!L210+'DOE25'!L223+'DOE25'!L228+'DOE25'!L241+'DOE25'!L246+'DOE25'!L284+'DOE25'!L289+'DOE25'!L303+'DOE25'!L308+'DOE25'!L322+'DOE25'!L327,0)</f>
        <v>17311</v>
      </c>
      <c r="D17" s="131">
        <f t="shared" si="0"/>
        <v>1.4</v>
      </c>
    </row>
    <row r="18" spans="1:4" x14ac:dyDescent="0.2">
      <c r="A18">
        <v>2400</v>
      </c>
      <c r="B18" t="s">
        <v>711</v>
      </c>
      <c r="C18" s="128">
        <f>ROUND('DOE25'!L206+'DOE25'!L224+'DOE25'!L242+'DOE25'!L285+'DOE25'!L304+'DOE25'!L323,0)</f>
        <v>87598</v>
      </c>
      <c r="D18" s="131">
        <f t="shared" si="0"/>
        <v>7.2</v>
      </c>
    </row>
    <row r="19" spans="1:4" x14ac:dyDescent="0.2">
      <c r="A19">
        <v>2500</v>
      </c>
      <c r="B19" t="s">
        <v>708</v>
      </c>
      <c r="C19" s="128">
        <f>ROUND('DOE25'!L207+'DOE25'!L225+'DOE25'!L243+'DOE25'!L286+'DOE25'!L305+'DOE25'!L324,0)</f>
        <v>9375</v>
      </c>
      <c r="D19" s="131">
        <f t="shared" si="0"/>
        <v>0.8</v>
      </c>
    </row>
    <row r="20" spans="1:4" x14ac:dyDescent="0.2">
      <c r="A20">
        <v>2600</v>
      </c>
      <c r="B20" t="s">
        <v>709</v>
      </c>
      <c r="C20" s="128">
        <f>ROUND('DOE25'!L208+'DOE25'!L226+'DOE25'!L244+'DOE25'!L287+'DOE25'!L306+'DOE25'!L325,0)</f>
        <v>0</v>
      </c>
      <c r="D20" s="131">
        <f t="shared" si="0"/>
        <v>0</v>
      </c>
    </row>
    <row r="21" spans="1:4" x14ac:dyDescent="0.2">
      <c r="A21">
        <v>2700</v>
      </c>
      <c r="B21" t="s">
        <v>710</v>
      </c>
      <c r="C21" s="128">
        <f>ROUND('DOE25'!L209+'DOE25'!L227+'DOE25'!L245+'DOE25'!L288+'DOE25'!L307+'DOE25'!L326,0)</f>
        <v>0</v>
      </c>
      <c r="D21" s="131">
        <f t="shared" si="0"/>
        <v>0</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0</v>
      </c>
      <c r="D27" s="131">
        <f t="shared" si="0"/>
        <v>0</v>
      </c>
    </row>
    <row r="28" spans="1:4" x14ac:dyDescent="0.2">
      <c r="B28" s="135" t="s">
        <v>719</v>
      </c>
      <c r="C28" s="129">
        <f>SUM(C10:C27)</f>
        <v>1221490</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1221490</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577609</v>
      </c>
      <c r="D35" s="131">
        <f t="shared" ref="D35:D40" si="1">ROUND((C35/$C$41)*100,1)</f>
        <v>46.4</v>
      </c>
    </row>
    <row r="36" spans="1:4" x14ac:dyDescent="0.2">
      <c r="B36" s="71" t="s">
        <v>739</v>
      </c>
      <c r="C36" s="128">
        <f>SUM('DOE25'!F112:J112)-SUM('DOE25'!G97:G110)+('DOE25'!F175+'DOE25'!F176+'DOE25'!I175+'DOE25'!I176)-C35</f>
        <v>26550.099999999977</v>
      </c>
      <c r="D36" s="131">
        <f t="shared" si="1"/>
        <v>2.1</v>
      </c>
    </row>
    <row r="37" spans="1:4" x14ac:dyDescent="0.2">
      <c r="A37" s="132" t="s">
        <v>831</v>
      </c>
      <c r="B37" s="71" t="s">
        <v>728</v>
      </c>
      <c r="C37" s="128">
        <f>ROUND('DOE25'!F117+'DOE25'!F118,0)</f>
        <v>605567</v>
      </c>
      <c r="D37" s="131">
        <f t="shared" si="1"/>
        <v>48.7</v>
      </c>
    </row>
    <row r="38" spans="1:4" x14ac:dyDescent="0.2">
      <c r="A38" s="132" t="s">
        <v>734</v>
      </c>
      <c r="B38" s="71" t="s">
        <v>729</v>
      </c>
      <c r="C38" s="128">
        <f>ROUND(SUM('DOE25'!F140:J140)-SUM('DOE25'!F117:F119),0)</f>
        <v>0</v>
      </c>
      <c r="D38" s="131">
        <f t="shared" si="1"/>
        <v>0</v>
      </c>
    </row>
    <row r="39" spans="1:4" x14ac:dyDescent="0.2">
      <c r="A39">
        <v>4000</v>
      </c>
      <c r="B39" s="71" t="s">
        <v>730</v>
      </c>
      <c r="C39" s="128">
        <f>ROUND('DOE25'!F170+'DOE25'!G170+'DOE25'!H170+'DOE25'!I170,0)</f>
        <v>33944</v>
      </c>
      <c r="D39" s="131">
        <f t="shared" si="1"/>
        <v>2.7</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1243670.1000000001</v>
      </c>
      <c r="D41" s="133">
        <f>SUM(D35:D40)</f>
        <v>99.9</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Goshen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IFERROR(SMALL($I$4:$I$385,ROWS($I$4:I4)),"")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2024-10-25T14:54:23Z</dcterms:modified>
</cp:coreProperties>
</file>