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https://nhgov-my.sharepoint.com/personal/brian_e_eaton_doe_nh_gov/Documents/Finance/DOE-25 (my review)/FY24/Hampstead/"/>
    </mc:Choice>
  </mc:AlternateContent>
  <xr:revisionPtr revIDLastSave="1" documentId="8_{FEDB28D6-BB39-4334-B62B-94117BA42601}" xr6:coauthVersionLast="47" xr6:coauthVersionMax="47" xr10:uidLastSave="{3ED5E59B-E0D6-4969-8445-9F8ED9A12CE8}"/>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99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7" i="14" l="1"/>
  <c r="L27" i="14"/>
  <c r="K27" i="14"/>
  <c r="D27" i="14"/>
  <c r="D26" i="14"/>
  <c r="M6" i="14"/>
  <c r="L6" i="14"/>
  <c r="K6" i="14"/>
  <c r="D6" i="14"/>
  <c r="D5" i="14"/>
  <c r="K39" i="14"/>
  <c r="F110" i="1" l="1"/>
  <c r="F63" i="1"/>
  <c r="F532" i="1" l="1"/>
  <c r="F50" i="1" l="1"/>
  <c r="F29" i="1"/>
  <c r="F9"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9" i="15" l="1"/>
  <c r="AF5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E124" i="2" s="1"/>
  <c r="L289" i="1"/>
  <c r="L296" i="1"/>
  <c r="L297" i="1"/>
  <c r="L298" i="1"/>
  <c r="L299" i="1"/>
  <c r="L301" i="1"/>
  <c r="L302" i="1"/>
  <c r="L303" i="1"/>
  <c r="L304" i="1"/>
  <c r="L305" i="1"/>
  <c r="L306" i="1"/>
  <c r="L307" i="1"/>
  <c r="G663" i="1" s="1"/>
  <c r="L308" i="1"/>
  <c r="L315" i="1"/>
  <c r="L316" i="1"/>
  <c r="K36" i="14" s="1"/>
  <c r="K37" i="14" s="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J112" i="1" s="1"/>
  <c r="F121" i="1"/>
  <c r="F136" i="1"/>
  <c r="G121" i="1"/>
  <c r="G136" i="1"/>
  <c r="H121" i="1"/>
  <c r="H136" i="1"/>
  <c r="I121" i="1"/>
  <c r="I136" i="1"/>
  <c r="J121" i="1"/>
  <c r="J136" i="1"/>
  <c r="J140" i="1" s="1"/>
  <c r="F147" i="1"/>
  <c r="C85" i="2" s="1"/>
  <c r="F170" i="1"/>
  <c r="G147" i="1"/>
  <c r="D85" i="2" s="1"/>
  <c r="H147" i="1"/>
  <c r="H170" i="1" s="1"/>
  <c r="I147" i="1"/>
  <c r="F85" i="2" s="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H11" i="2" s="1"/>
  <c r="D11" i="2"/>
  <c r="E11" i="2"/>
  <c r="F11" i="2"/>
  <c r="I442" i="1"/>
  <c r="J12" i="1" s="1"/>
  <c r="G11" i="2" s="1"/>
  <c r="C12" i="2"/>
  <c r="D12" i="2"/>
  <c r="E12" i="2"/>
  <c r="F12" i="2"/>
  <c r="I443" i="1"/>
  <c r="J13" i="1" s="1"/>
  <c r="G12" i="2" s="1"/>
  <c r="C13" i="2"/>
  <c r="D13" i="2"/>
  <c r="E13" i="2"/>
  <c r="F13" i="2"/>
  <c r="I444" i="1"/>
  <c r="J14" i="1" s="1"/>
  <c r="G13" i="2" s="1"/>
  <c r="F14" i="2"/>
  <c r="H14" i="2" s="1"/>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H26" i="2" s="1"/>
  <c r="F26" i="2"/>
  <c r="C27" i="2"/>
  <c r="H27" i="2" s="1"/>
  <c r="D27" i="2"/>
  <c r="E27" i="2"/>
  <c r="F27" i="2"/>
  <c r="C28" i="2"/>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H76" i="2" s="1"/>
  <c r="E76" i="2"/>
  <c r="F76" i="2"/>
  <c r="C77" i="2"/>
  <c r="D77" i="2"/>
  <c r="E77" i="2"/>
  <c r="F77" i="2"/>
  <c r="G77" i="2"/>
  <c r="G78" i="2" s="1"/>
  <c r="C79" i="2"/>
  <c r="D79" i="2"/>
  <c r="E79" i="2"/>
  <c r="C80" i="2"/>
  <c r="E80" i="2"/>
  <c r="C87" i="2"/>
  <c r="H87" i="2" s="1"/>
  <c r="E87" i="2"/>
  <c r="F87" i="2"/>
  <c r="C89" i="2"/>
  <c r="H89" i="2" s="1"/>
  <c r="D89" i="2"/>
  <c r="E89" i="2"/>
  <c r="F89" i="2"/>
  <c r="C90" i="2"/>
  <c r="H90" i="2" s="1"/>
  <c r="C93" i="2"/>
  <c r="F93" i="2"/>
  <c r="C94" i="2"/>
  <c r="H94" i="2" s="1"/>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5" i="2"/>
  <c r="F128" i="2"/>
  <c r="G128"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51" i="1"/>
  <c r="G652" i="1"/>
  <c r="J652" i="1" s="1"/>
  <c r="H653" i="1"/>
  <c r="G654" i="1"/>
  <c r="H654" i="1"/>
  <c r="H655" i="1"/>
  <c r="H656" i="1"/>
  <c r="H80" i="2" l="1"/>
  <c r="H28" i="2"/>
  <c r="H24" i="2"/>
  <c r="H101" i="2"/>
  <c r="H47" i="2"/>
  <c r="H79" i="2"/>
  <c r="H73" i="2"/>
  <c r="H85" i="2"/>
  <c r="I112" i="1"/>
  <c r="E120" i="2"/>
  <c r="H98" i="2"/>
  <c r="I409" i="1"/>
  <c r="H100" i="2"/>
  <c r="C32" i="10"/>
  <c r="H93" i="2"/>
  <c r="H97" i="2"/>
  <c r="H72" i="2"/>
  <c r="H132" i="2"/>
  <c r="H36" i="2"/>
  <c r="H43" i="2"/>
  <c r="H48" i="2"/>
  <c r="C19" i="12"/>
  <c r="C37" i="12"/>
  <c r="C40" i="12" s="1"/>
  <c r="C39" i="12"/>
  <c r="H477" i="1"/>
  <c r="H625" i="1" s="1"/>
  <c r="I170" i="1"/>
  <c r="H102" i="2"/>
  <c r="H99" i="2"/>
  <c r="H140" i="1"/>
  <c r="H13" i="2"/>
  <c r="D144" i="2"/>
  <c r="H35" i="2"/>
  <c r="H8" i="2"/>
  <c r="C10" i="12"/>
  <c r="H38" i="2"/>
  <c r="H44" i="2"/>
  <c r="H34" i="2"/>
  <c r="H22" i="2"/>
  <c r="G409" i="1"/>
  <c r="H646" i="1" s="1"/>
  <c r="H69" i="2"/>
  <c r="H17" i="2"/>
  <c r="H113" i="2"/>
  <c r="H59" i="2"/>
  <c r="D18" i="13"/>
  <c r="C18" i="13" s="1"/>
  <c r="D15" i="13"/>
  <c r="C15" i="13" s="1"/>
  <c r="E13" i="13"/>
  <c r="C13" i="13" s="1"/>
  <c r="C120" i="2"/>
  <c r="H112" i="2"/>
  <c r="H125" i="2"/>
  <c r="C119" i="2"/>
  <c r="H23" i="2"/>
  <c r="E111" i="2"/>
  <c r="C13" i="10"/>
  <c r="C12" i="10"/>
  <c r="K2" i="14"/>
  <c r="K3" i="14" s="1"/>
  <c r="H61" i="2"/>
  <c r="H29" i="2"/>
  <c r="H12" i="2"/>
  <c r="H9" i="2"/>
  <c r="G477" i="1"/>
  <c r="H624" i="1" s="1"/>
  <c r="J624" i="1" s="1"/>
  <c r="G662" i="1"/>
  <c r="D29" i="13"/>
  <c r="D78" i="2"/>
  <c r="D81" i="2" s="1"/>
  <c r="H77" i="2"/>
  <c r="G646" i="1"/>
  <c r="G6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H123" i="2" s="1"/>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662" i="1"/>
  <c r="C15" i="10"/>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J653" i="1"/>
  <c r="G572" i="1"/>
  <c r="I435" i="1"/>
  <c r="G435" i="1"/>
  <c r="I664" i="1"/>
  <c r="H57" i="2" l="1"/>
  <c r="H134" i="2"/>
  <c r="H16" i="2"/>
  <c r="H120" i="2"/>
  <c r="H42" i="2"/>
  <c r="H21" i="2"/>
  <c r="C11" i="12"/>
  <c r="C12" i="12" s="1"/>
  <c r="L572" i="1"/>
  <c r="E51" i="2"/>
  <c r="C20" i="12"/>
  <c r="C21" i="12" s="1"/>
  <c r="C22" i="12"/>
  <c r="A22" i="12" s="1"/>
  <c r="H103" i="2"/>
  <c r="F194" i="1"/>
  <c r="H91" i="2"/>
  <c r="H78" i="2"/>
  <c r="C81" i="2"/>
  <c r="H114" i="2"/>
  <c r="H119" i="2"/>
  <c r="H122" i="2"/>
  <c r="H111" i="2"/>
  <c r="H81" i="2"/>
  <c r="H18" i="2"/>
  <c r="D128" i="2"/>
  <c r="D145" i="2" s="1"/>
  <c r="H127" i="2"/>
  <c r="I662" i="1"/>
  <c r="H62" i="2"/>
  <c r="H50" i="2"/>
  <c r="D51" i="2"/>
  <c r="H31" i="2"/>
  <c r="G63" i="2"/>
  <c r="G104" i="2"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3" i="12" l="1"/>
  <c r="A13" i="12" s="1"/>
  <c r="H63" i="2"/>
  <c r="H51" i="2"/>
  <c r="H104" i="2"/>
  <c r="C144" i="2"/>
  <c r="H144" i="2" s="1"/>
  <c r="H141" i="2"/>
  <c r="H128" i="2"/>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<sst xmlns="http://schemas.openxmlformats.org/spreadsheetml/2006/main" count="6641" uniqueCount="1842">
  <si>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</si>
  <si>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</si>
  <si>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</si>
  <si>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</si>
  <si>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</si>
  <si>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</si>
  <si>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</si>
  <si>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</si>
  <si>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</si>
  <si>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</si>
  <si>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</si>
  <si>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</si>
  <si>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</si>
  <si>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</si>
  <si>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</si>
  <si>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</si>
  <si>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</si>
  <si>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</si>
  <si>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</si>
  <si>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</si>
  <si>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</si>
  <si>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</si>
  <si>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</si>
  <si>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</si>
  <si>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</si>
  <si>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</si>
  <si>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</si>
  <si>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</si>
  <si>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</si>
  <si>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</si>
  <si>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</si>
  <si>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</si>
  <si>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</si>
  <si>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</si>
  <si>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</si>
  <si>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</si>
  <si>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</si>
  <si>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</si>
  <si>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</si>
  <si>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</si>
  <si>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</si>
  <si>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</si>
  <si>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</si>
  <si>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</si>
  <si>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</si>
  <si>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</si>
  <si>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</si>
  <si>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</si>
  <si>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</si>
  <si>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</si>
  <si>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</si>
  <si>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</si>
  <si>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</si>
  <si>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</si>
  <si>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</si>
  <si>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</si>
  <si>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</si>
  <si>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</si>
  <si>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</si>
  <si>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</si>
  <si>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</si>
  <si>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</si>
  <si>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</si>
  <si>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</si>
  <si>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</si>
  <si>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</si>
  <si>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</si>
  <si>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</si>
  <si>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</si>
  <si>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</si>
  <si>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</si>
  <si>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</si>
  <si>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</si>
  <si>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</si>
  <si>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</si>
  <si>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</si>
  <si>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</si>
  <si>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</si>
  <si>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</si>
  <si>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</si>
  <si>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</si>
  <si>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</si>
  <si>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</si>
  <si>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</si>
  <si>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</si>
  <si>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</si>
  <si>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</si>
  <si>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</si>
  <si>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</si>
  <si>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</si>
  <si>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</si>
  <si>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</si>
  <si>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</si>
  <si>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</si>
  <si>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</si>
  <si>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</si>
  <si>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</si>
  <si>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</si>
  <si>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</si>
  <si>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</si>
  <si>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</si>
  <si>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</si>
  <si>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</si>
  <si>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</si>
  <si>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</si>
  <si>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</si>
  <si>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</si>
  <si>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</si>
  <si>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</si>
  <si>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</si>
  <si>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</si>
  <si>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</si>
  <si>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</si>
  <si>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</si>
  <si>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</si>
  <si>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</si>
  <si>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</si>
  <si>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</si>
  <si>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</si>
  <si>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</si>
  <si>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</si>
  <si>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</si>
  <si>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</si>
  <si>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</si>
  <si>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</si>
  <si>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</si>
  <si>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</si>
  <si>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</si>
  <si>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</si>
  <si>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</si>
  <si>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</si>
  <si>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</si>
  <si>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</si>
  <si>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</si>
  <si>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</si>
  <si>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</si>
  <si>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</si>
  <si>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</si>
  <si>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</si>
  <si>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</si>
  <si>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</si>
  <si>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</si>
  <si>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</si>
  <si>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</si>
  <si>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</si>
  <si>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</si>
  <si>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</si>
  <si>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</si>
  <si>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</si>
  <si>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</si>
  <si>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</si>
  <si>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</si>
  <si>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</si>
  <si>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</si>
  <si>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</si>
  <si>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</si>
  <si>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</si>
  <si>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</si>
  <si>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</si>
  <si>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</si>
  <si>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</si>
  <si>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</si>
  <si>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</si>
  <si>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</si>
  <si>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</si>
  <si>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</si>
  <si>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</si>
  <si>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</si>
  <si>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</si>
  <si>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</si>
  <si>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</si>
  <si>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</si>
  <si>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</si>
  <si>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</si>
  <si>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</si>
  <si>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</si>
  <si>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</si>
  <si>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</si>
  <si>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</si>
  <si>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</si>
  <si>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</si>
  <si>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</si>
  <si>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</si>
  <si>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</si>
  <si>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</si>
  <si>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</si>
  <si>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</si>
  <si>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</si>
  <si>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</si>
  <si>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</si>
  <si>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</si>
  <si>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</si>
  <si>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</si>
  <si>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</si>
  <si>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</si>
  <si>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</si>
  <si>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</si>
  <si>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</si>
  <si>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</si>
  <si>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</si>
  <si>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</si>
  <si>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</si>
  <si>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</si>
  <si>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</si>
  <si>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</si>
  <si>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</si>
  <si>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</si>
  <si>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</si>
  <si>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</si>
  <si>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</si>
  <si>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</si>
  <si>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</si>
  <si>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</si>
  <si>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</si>
  <si>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</si>
  <si>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</si>
  <si>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</si>
  <si>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</si>
  <si>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</si>
  <si>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</si>
  <si>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</si>
  <si>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</si>
  <si>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</si>
  <si>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</si>
  <si>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</si>
  <si>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</si>
  <si>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</si>
  <si>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</si>
  <si>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</si>
  <si>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</si>
  <si>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</si>
  <si>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</si>
  <si>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</si>
  <si>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</si>
  <si>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</si>
  <si>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</si>
  <si>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</si>
  <si>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</si>
  <si>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</si>
  <si>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</si>
  <si>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</si>
  <si>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</si>
  <si>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</si>
  <si>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</si>
  <si>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</si>
  <si>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</si>
  <si>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</si>
  <si>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</si>
  <si>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</si>
  <si>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</si>
  <si>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</si>
  <si>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</si>
  <si>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</si>
  <si>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</si>
  <si>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</si>
  <si>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</si>
  <si>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</si>
  <si>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</si>
  <si>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</si>
  <si>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</si>
  <si>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</si>
  <si>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</si>
  <si>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</si>
  <si>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</si>
  <si>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</si>
  <si>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</si>
  <si>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</si>
  <si>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</si>
  <si>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</si>
  <si>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</si>
  <si>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</si>
  <si>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</si>
  <si>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</si>
  <si>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</si>
  <si>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</si>
  <si>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</si>
  <si>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</si>
  <si>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</si>
  <si>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</si>
  <si>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</si>
  <si>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</si>
  <si>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</si>
  <si>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</si>
  <si>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</si>
  <si>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</si>
  <si>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</si>
  <si>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</si>
  <si>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</si>
  <si>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</si>
  <si>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</si>
  <si>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</si>
  <si>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</si>
  <si>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</si>
  <si>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</si>
  <si>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</si>
  <si>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</si>
  <si>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</si>
  <si>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</si>
  <si>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</si>
  <si>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</si>
  <si>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</si>
  <si>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</si>
  <si>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</si>
  <si>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</si>
  <si>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</si>
  <si>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</si>
  <si>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</si>
  <si>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</si>
  <si>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</si>
  <si>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</si>
  <si>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</si>
  <si>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</si>
  <si>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</si>
  <si>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</si>
  <si>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</si>
  <si>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</si>
  <si>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</si>
  <si>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</si>
  <si>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</si>
  <si>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</si>
  <si>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</si>
  <si>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</si>
  <si>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</si>
  <si>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</si>
  <si>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</si>
  <si>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</si>
  <si>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</si>
  <si>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</si>
  <si>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</si>
  <si>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</si>
  <si>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</si>
  <si>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</si>
  <si>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</si>
  <si>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</si>
  <si>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</si>
  <si>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</si>
  <si>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</si>
  <si>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</si>
  <si>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</si>
  <si>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</si>
  <si>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</si>
  <si>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</si>
  <si>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</si>
  <si>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</si>
  <si>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</si>
  <si>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</si>
  <si>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</si>
  <si>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</si>
  <si>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</si>
  <si>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</si>
  <si>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</si>
  <si>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</si>
  <si>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</si>
  <si>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</si>
  <si>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</si>
  <si>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</si>
  <si>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</si>
  <si>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</si>
  <si>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</si>
  <si>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</si>
  <si>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</si>
  <si>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</si>
  <si>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</si>
  <si>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</si>
  <si>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</si>
  <si>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</si>
  <si>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</si>
  <si>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</si>
  <si>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</si>
  <si>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</si>
  <si>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</si>
  <si>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</si>
  <si>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</si>
  <si>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</si>
  <si>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</si>
  <si>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</si>
  <si>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</si>
  <si>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</si>
  <si>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</si>
  <si>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</si>
  <si>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</si>
  <si>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</si>
  <si>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</si>
  <si>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</si>
  <si>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</si>
  <si>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</si>
  <si>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</si>
  <si>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</si>
  <si>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</si>
  <si>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</si>
  <si>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</si>
  <si>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</si>
  <si>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</si>
  <si>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</si>
  <si>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</si>
  <si>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</si>
  <si>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</si>
  <si>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</si>
  <si>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</si>
  <si>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</si>
  <si>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</si>
  <si>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</si>
  <si>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</si>
  <si>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</si>
  <si>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</si>
  <si>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</si>
  <si>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</si>
  <si>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</si>
  <si>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</si>
  <si>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</si>
  <si>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</si>
  <si>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</si>
  <si>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</si>
  <si>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</si>
  <si>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</si>
  <si>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</si>
  <si>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</si>
  <si>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</si>
  <si>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</si>
  <si>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</si>
  <si>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</si>
  <si>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</si>
  <si>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</si>
  <si>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</si>
  <si>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</si>
  <si>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</si>
  <si>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</si>
  <si>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</si>
  <si>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</si>
  <si>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</si>
  <si>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</si>
  <si>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</si>
  <si>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</si>
  <si>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</si>
  <si>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</si>
  <si>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</si>
  <si>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</si>
  <si>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</si>
  <si>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</si>
  <si>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</si>
  <si>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</si>
  <si>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</si>
  <si>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</si>
  <si>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</si>
  <si>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</si>
  <si>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</si>
  <si>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</si>
  <si>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</si>
  <si>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</si>
  <si>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</si>
  <si>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</si>
  <si>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</si>
  <si>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</si>
  <si>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</si>
  <si>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</si>
  <si>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</si>
  <si>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</si>
  <si>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</si>
  <si>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</si>
  <si>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</si>
  <si>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</si>
  <si>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</si>
  <si>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</si>
  <si>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</si>
  <si>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</si>
  <si>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</si>
  <si>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</si>
  <si>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</si>
  <si>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</si>
  <si>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</si>
  <si>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</si>
  <si>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</si>
  <si>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</si>
  <si>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</si>
  <si>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</si>
  <si>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</si>
  <si>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</si>
  <si>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</si>
  <si>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</si>
  <si>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</si>
  <si>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</si>
  <si>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</si>
  <si>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</si>
  <si>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</si>
  <si>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</si>
  <si>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</si>
  <si>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</si>
  <si>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</si>
  <si>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</si>
  <si>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</si>
  <si>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</si>
  <si>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</si>
  <si>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</si>
  <si>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</si>
  <si>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</si>
  <si>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</si>
  <si>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</si>
  <si>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</si>
  <si>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</si>
  <si>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</si>
  <si>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</si>
  <si>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</si>
  <si>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</si>
  <si>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</si>
  <si>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</si>
  <si>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</si>
  <si>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</si>
  <si>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</si>
  <si>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</si>
  <si>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</si>
  <si>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</si>
  <si>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</si>
  <si>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</si>
  <si>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</si>
  <si>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</si>
  <si>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</si>
  <si>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</si>
  <si>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</si>
  <si>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</si>
  <si>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</si>
  <si>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</si>
  <si>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</si>
  <si>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</si>
  <si>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</si>
  <si>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</si>
  <si>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</si>
  <si>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</si>
  <si>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</si>
  <si>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</si>
  <si>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</si>
  <si>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</si>
  <si>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</si>
  <si>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</si>
  <si>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</si>
  <si>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</si>
  <si>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</si>
  <si>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</si>
  <si>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</si>
  <si>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</si>
  <si>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</si>
  <si>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</si>
  <si>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</si>
  <si>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</si>
  <si>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</si>
  <si>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</si>
  <si>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</si>
  <si>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</si>
  <si>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</si>
  <si>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</si>
  <si>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</si>
  <si>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</si>
  <si>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</si>
  <si>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</si>
  <si>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</si>
  <si>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</si>
  <si>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</si>
  <si>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</si>
  <si>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</si>
  <si>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</si>
  <si>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</si>
  <si>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</si>
  <si>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</si>
  <si>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</si>
  <si>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</si>
  <si>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</si>
  <si>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</si>
  <si>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</si>
  <si>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</si>
  <si>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</si>
  <si>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</si>
  <si>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</si>
  <si>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</si>
  <si>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</si>
  <si>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</si>
  <si>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</si>
  <si>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</si>
  <si>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</si>
  <si>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</si>
  <si>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</si>
  <si>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</si>
  <si>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</si>
  <si>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</si>
  <si>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</si>
  <si>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</si>
  <si>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</si>
  <si>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</si>
  <si>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</si>
  <si>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</si>
  <si>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</si>
  <si>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</si>
  <si>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</si>
  <si>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</si>
  <si>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</si>
  <si>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</si>
  <si>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</si>
  <si>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</si>
  <si>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</si>
  <si>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</si>
  <si>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</si>
  <si>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</si>
  <si>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</si>
  <si>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</si>
  <si>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</si>
  <si>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</si>
  <si>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</si>
  <si>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</si>
  <si>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</si>
  <si>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</si>
  <si>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</si>
  <si>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</si>
  <si>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</si>
  <si>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</si>
  <si>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</si>
  <si>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</si>
  <si>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</si>
  <si>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</si>
  <si>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</si>
  <si>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</si>
  <si>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</si>
  <si>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</si>
  <si>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</si>
  <si>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</si>
  <si>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</si>
  <si>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</si>
  <si>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</si>
  <si>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</si>
  <si>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</si>
  <si>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</si>
  <si>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</si>
  <si>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</si>
  <si>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</si>
  <si>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</si>
  <si>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</si>
  <si>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</si>
  <si>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</si>
  <si>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</si>
  <si>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</si>
  <si>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</si>
  <si>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</si>
  <si>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</si>
  <si>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</si>
  <si>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</si>
  <si>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</si>
  <si>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</si>
  <si>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</si>
  <si>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</si>
  <si>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</si>
  <si>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</si>
  <si>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</si>
  <si>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</si>
  <si>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</si>
  <si>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</si>
  <si>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</si>
  <si>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</si>
  <si>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</si>
  <si>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</si>
  <si>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</si>
  <si>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</si>
  <si>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</si>
  <si>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</si>
  <si>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</si>
  <si>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</si>
  <si>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</si>
  <si>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</si>
  <si>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</si>
  <si>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</si>
  <si>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</si>
  <si>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</si>
  <si>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</si>
  <si>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</si>
  <si>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</si>
  <si>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</si>
  <si>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</si>
  <si>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</si>
  <si>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</si>
  <si>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</si>
  <si>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</si>
  <si>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</si>
  <si>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</si>
  <si>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</si>
  <si>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</si>
  <si>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</si>
  <si>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</si>
  <si>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</si>
  <si>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</si>
  <si>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</si>
  <si>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</si>
  <si>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</si>
  <si>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</si>
  <si>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</si>
  <si>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</si>
  <si>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</si>
  <si>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</si>
  <si>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</si>
  <si>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</si>
  <si>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</si>
  <si>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</si>
  <si>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</si>
  <si>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</si>
  <si>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</si>
  <si>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</si>
  <si>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</si>
  <si>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</si>
  <si>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</si>
  <si>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</si>
  <si>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</si>
  <si>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</si>
  <si>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</si>
  <si>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</si>
  <si>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</si>
  <si>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</si>
  <si>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</si>
  <si>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</si>
  <si>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</si>
  <si>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</si>
  <si>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</si>
  <si>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</si>
  <si>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</si>
  <si>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</si>
  <si>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</si>
  <si>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</si>
  <si>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</si>
  <si>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</si>
  <si>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</si>
  <si>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</si>
  <si>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</si>
  <si>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</si>
  <si>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</si>
  <si>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</si>
  <si>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</si>
  <si>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</si>
  <si>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</si>
  <si>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</si>
  <si>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</si>
  <si>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</si>
  <si>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</si>
  <si>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</si>
  <si>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</si>
  <si>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</si>
  <si>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</si>
  <si>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</si>
  <si>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</si>
  <si>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</si>
  <si>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</si>
  <si>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</si>
  <si>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</si>
  <si>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</si>
  <si>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</si>
  <si>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</si>
  <si>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</si>
  <si>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</si>
  <si>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</si>
  <si>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</si>
  <si>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</si>
  <si>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</si>
  <si>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</si>
  <si>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</si>
  <si>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</si>
  <si>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</si>
  <si>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</si>
  <si>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</si>
  <si>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</si>
  <si>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</si>
  <si>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</si>
  <si>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</si>
  <si>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</si>
  <si>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</si>
  <si>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</si>
  <si>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</si>
  <si>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</si>
  <si>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</si>
  <si>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</si>
  <si>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</si>
  <si>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</si>
  <si>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</si>
  <si>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</si>
  <si>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</si>
  <si>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</si>
  <si>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</si>
  <si>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</si>
  <si>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</si>
  <si>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</si>
  <si>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</si>
  <si>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</si>
  <si>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</si>
  <si>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</si>
  <si>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</si>
  <si>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</si>
  <si>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</si>
  <si>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</si>
  <si>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</si>
  <si>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</si>
  <si>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</si>
  <si>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</si>
  <si>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</si>
  <si>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</si>
  <si>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</si>
  <si>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</si>
  <si>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</si>
  <si>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</si>
  <si>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</si>
  <si>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</si>
  <si>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</si>
  <si>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</si>
  <si>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</si>
  <si>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</si>
  <si>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</si>
  <si>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</si>
  <si>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</si>
  <si>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</si>
  <si>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</si>
  <si>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</si>
  <si>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</si>
  <si>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</si>
  <si>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</si>
  <si>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</si>
  <si>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</si>
  <si>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</si>
  <si>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</si>
  <si>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</si>
  <si>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</si>
  <si>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</si>
  <si>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</si>
  <si>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</si>
  <si>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</si>
  <si>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</si>
  <si>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</si>
  <si>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</si>
  <si>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</si>
  <si>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</si>
  <si>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</si>
  <si>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</si>
  <si>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</si>
  <si>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</si>
  <si>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</si>
  <si>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</si>
  <si>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</si>
  <si>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</si>
  <si>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</si>
  <si>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</si>
  <si>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</si>
  <si>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</si>
  <si>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</si>
  <si>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</si>
  <si>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</si>
  <si>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</si>
  <si>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</si>
  <si>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</si>
  <si>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</si>
  <si>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</si>
  <si>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</si>
  <si>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</si>
  <si>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</si>
  <si>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</si>
  <si>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</si>
  <si>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</si>
  <si>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</si>
  <si>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</si>
  <si>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</si>
  <si>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</si>
  <si>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</si>
  <si>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</si>
  <si>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</si>
  <si>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</si>
  <si>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</si>
  <si>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</si>
  <si>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</si>
  <si>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</si>
  <si>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</si>
  <si>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</si>
  <si>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</si>
  <si>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</si>
  <si>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</si>
  <si>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</si>
  <si>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</si>
  <si>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</si>
  <si>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</si>
  <si>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</si>
  <si>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</si>
  <si>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</si>
  <si>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</si>
  <si>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</si>
  <si>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</si>
  <si>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</si>
  <si>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</si>
  <si>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</si>
  <si>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</si>
  <si>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</si>
  <si>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</si>
  <si>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</si>
  <si>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</si>
  <si>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</si>
  <si>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</si>
  <si>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</si>
  <si>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</si>
  <si>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</si>
  <si>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</si>
  <si>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</si>
  <si>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</si>
  <si>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</si>
  <si>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</si>
  <si>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</si>
  <si>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</si>
  <si>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</si>
  <si>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</si>
  <si>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</si>
  <si>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</si>
  <si>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</si>
  <si>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</si>
  <si>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</si>
  <si>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</si>
  <si>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</si>
  <si>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</si>
  <si>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</si>
  <si>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</si>
  <si>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</si>
  <si>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</si>
  <si>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</si>
  <si>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</si>
  <si>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</si>
  <si>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</si>
  <si>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</si>
  <si>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</si>
  <si>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</si>
  <si>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</si>
  <si>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</si>
  <si>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</si>
  <si>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</si>
  <si>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</si>
  <si>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</si>
  <si>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</si>
  <si>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</si>
  <si>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</si>
  <si>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</si>
  <si>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</si>
  <si>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</si>
  <si>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</si>
  <si>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</si>
  <si>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</si>
  <si>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</si>
  <si>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</si>
  <si>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</si>
  <si>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</si>
  <si>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</si>
  <si>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</si>
  <si>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</si>
  <si>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</si>
  <si>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</si>
  <si>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</si>
  <si>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</si>
  <si>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</si>
  <si>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</si>
  <si>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</si>
  <si>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</si>
  <si>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</si>
  <si>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</si>
  <si>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</si>
  <si>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</si>
  <si>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</si>
  <si>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</si>
  <si>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</si>
  <si>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</si>
  <si>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</si>
  <si>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</si>
  <si>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</si>
  <si>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</si>
  <si>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</si>
  <si>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</si>
  <si>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</si>
  <si>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</si>
  <si>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</si>
  <si>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</si>
  <si>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</si>
  <si>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</si>
  <si>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</si>
  <si>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</si>
  <si>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</si>
  <si>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</si>
  <si>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</si>
  <si>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</si>
  <si>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</si>
  <si>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</si>
  <si>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</si>
  <si>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</si>
  <si>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</si>
  <si>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</si>
  <si>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</si>
  <si>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</si>
  <si>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</si>
  <si>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</si>
  <si>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</si>
  <si>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</si>
  <si>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</si>
  <si>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</si>
  <si>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</si>
  <si>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</si>
  <si>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</si>
  <si>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</si>
  <si>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</si>
  <si>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</si>
  <si>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</si>
  <si>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</si>
  <si>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</si>
  <si>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</si>
  <si>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</si>
  <si>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</si>
  <si>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</si>
  <si>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</si>
  <si>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</si>
  <si>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</si>
  <si>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</si>
  <si>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</si>
  <si>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</si>
  <si>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</si>
  <si>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</si>
  <si>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</si>
  <si>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</si>
  <si>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</si>
  <si>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</si>
  <si>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</si>
  <si>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</si>
  <si>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</si>
  <si>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</si>
  <si>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</si>
  <si>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</si>
  <si>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</si>
  <si>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</si>
  <si>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</si>
  <si>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</si>
  <si>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</si>
  <si>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</si>
  <si>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</si>
  <si>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</si>
  <si>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</si>
  <si>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</si>
  <si>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</si>
  <si>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</si>
  <si>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</si>
  <si>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</si>
  <si>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</si>
  <si>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</si>
  <si>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</si>
  <si>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</si>
  <si>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</si>
  <si>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</si>
  <si>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</si>
  <si>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</si>
  <si>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</si>
  <si>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</si>
  <si>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</si>
  <si>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</si>
  <si>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</si>
  <si>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</si>
  <si>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</si>
  <si>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</si>
  <si>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</si>
  <si>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</si>
  <si>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</si>
  <si>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</si>
  <si>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</si>
  <si>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</si>
  <si>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</si>
  <si>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</si>
  <si>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</si>
  <si>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</si>
  <si>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</si>
  <si>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</si>
  <si>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</si>
  <si>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</si>
  <si>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</si>
  <si>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</si>
  <si>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</si>
  <si>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</si>
  <si>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</si>
  <si>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</si>
  <si>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</si>
  <si>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</si>
  <si>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</si>
  <si>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</si>
  <si>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</si>
  <si>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</si>
  <si>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</si>
  <si>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</si>
  <si>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</si>
  <si>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</si>
  <si>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</si>
  <si>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</si>
  <si>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</si>
  <si>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</si>
  <si>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</si>
  <si>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</si>
  <si>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</si>
  <si>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</si>
  <si>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</si>
  <si>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</si>
  <si>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</si>
  <si>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</si>
  <si>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</si>
  <si>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</si>
  <si>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</si>
  <si>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</si>
  <si>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</si>
  <si>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</si>
  <si>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</si>
  <si>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</si>
  <si>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</si>
  <si>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</si>
  <si>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</si>
  <si>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</si>
  <si>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</si>
  <si>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</si>
  <si>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</si>
  <si>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</si>
  <si>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</si>
  <si>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</si>
  <si>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</si>
  <si>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</si>
  <si>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</si>
  <si>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</si>
  <si>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</si>
  <si>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</si>
  <si>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</si>
  <si>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</si>
  <si>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</si>
  <si>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</si>
  <si>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</si>
  <si>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</si>
  <si>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</si>
  <si>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</si>
  <si>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</si>
  <si>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</si>
  <si>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</si>
  <si>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</si>
  <si>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</si>
  <si>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</si>
  <si>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</si>
  <si>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</si>
  <si>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</si>
  <si>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</si>
  <si>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</si>
  <si>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</si>
  <si>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</si>
  <si>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</si>
  <si>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</si>
  <si>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</si>
  <si>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</si>
  <si>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</si>
  <si>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</si>
  <si>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</si>
  <si>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</si>
  <si>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</si>
  <si>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</si>
  <si>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</si>
  <si>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</si>
  <si>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</si>
  <si>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</si>
  <si>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</si>
  <si>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</si>
  <si>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</si>
  <si>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</si>
  <si>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</si>
  <si>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</si>
  <si>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</si>
  <si>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</si>
  <si>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</si>
  <si>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</si>
  <si>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</si>
  <si>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</si>
  <si>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</si>
  <si>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</si>
  <si>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</si>
  <si>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</si>
  <si>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</si>
  <si>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</si>
  <si>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</si>
  <si>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</si>
  <si>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</si>
  <si>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</si>
  <si>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</si>
  <si>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</si>
  <si>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</si>
  <si>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</si>
  <si>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</si>
  <si>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</si>
  <si>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</si>
  <si>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</si>
  <si>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</si>
  <si>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</si>
  <si>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</si>
  <si>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</si>
  <si>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</si>
  <si>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</si>
  <si>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</si>
  <si>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</si>
  <si>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</si>
  <si>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</si>
  <si>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</si>
  <si>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</si>
  <si>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</si>
  <si>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</si>
  <si>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</si>
  <si>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</si>
  <si>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</si>
  <si>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</si>
  <si>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</si>
  <si>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</si>
  <si>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</si>
  <si>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</si>
  <si>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</si>
  <si>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</si>
  <si>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</si>
  <si>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</si>
  <si>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</si>
  <si>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</si>
  <si>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</si>
  <si>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</si>
  <si>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</si>
  <si>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</si>
  <si>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</si>
  <si>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</si>
  <si>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</si>
  <si>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</si>
  <si>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</si>
  <si>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</si>
  <si>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</si>
  <si>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</si>
  <si>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</si>
  <si>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</si>
  <si>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</si>
  <si>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</si>
  <si>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</si>
  <si>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</si>
  <si>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</si>
  <si>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</si>
  <si>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</si>
  <si>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</si>
  <si>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</si>
  <si>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</si>
  <si>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</si>
  <si>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</si>
  <si>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</si>
  <si>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</si>
  <si>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</si>
  <si>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</si>
  <si>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</si>
  <si>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</si>
  <si>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</si>
  <si>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</si>
  <si>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</si>
  <si>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</si>
  <si>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</si>
  <si>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</si>
  <si>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</si>
  <si>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</si>
  <si>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</si>
  <si>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</si>
  <si>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</si>
  <si>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</si>
  <si>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</si>
  <si>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</si>
  <si>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</si>
  <si>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</si>
  <si>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</si>
  <si>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</si>
  <si>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</si>
  <si>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</si>
  <si>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</si>
  <si>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</si>
  <si>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</si>
  <si>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</si>
  <si>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</si>
  <si>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</si>
  <si>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</si>
  <si>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</si>
  <si>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</si>
  <si>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</si>
  <si>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</si>
  <si>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</si>
  <si>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</si>
  <si>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</si>
  <si>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</si>
  <si>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</si>
  <si>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</si>
  <si>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</si>
  <si>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</si>
  <si>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</si>
  <si>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</si>
  <si>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</si>
  <si>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</si>
  <si>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</si>
  <si>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</si>
  <si>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</si>
  <si>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</si>
  <si>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</si>
  <si>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</si>
  <si>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</si>
  <si>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</si>
  <si>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</si>
  <si>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</si>
  <si>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</si>
  <si>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</si>
  <si>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</si>
  <si>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</si>
  <si>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</si>
  <si>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</si>
  <si>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</si>
  <si>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</si>
  <si>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</si>
  <si>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</si>
  <si>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</si>
  <si>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</si>
  <si>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</si>
  <si>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</si>
  <si>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</si>
  <si>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</si>
  <si>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</si>
  <si>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</si>
  <si>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</si>
  <si>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</si>
  <si>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</si>
  <si>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</si>
  <si>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</si>
  <si>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</si>
  <si>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</si>
  <si>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</si>
  <si>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</si>
  <si>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</si>
  <si>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</si>
  <si>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</si>
  <si>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</si>
  <si>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</si>
  <si>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</si>
  <si>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</si>
  <si>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</si>
  <si>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</si>
  <si>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</si>
  <si>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</si>
  <si>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</si>
  <si>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</si>
  <si>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</si>
  <si>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</si>
  <si>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</si>
  <si>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</si>
  <si>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</si>
  <si>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</si>
  <si>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</si>
  <si>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</si>
  <si>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</si>
  <si>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</si>
  <si>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</si>
  <si>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</si>
  <si>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</si>
  <si>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</si>
  <si>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</si>
  <si>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</si>
  <si>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</si>
  <si>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</si>
  <si>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</si>
  <si>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</si>
  <si>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</si>
  <si>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</si>
  <si>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</si>
  <si>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</si>
  <si>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</si>
  <si>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</si>
  <si>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</si>
  <si>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</si>
  <si>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</si>
  <si>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</si>
  <si>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</si>
  <si>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</si>
  <si>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</si>
  <si>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</si>
  <si>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</si>
  <si>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</si>
  <si>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</si>
  <si>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</si>
  <si>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</si>
  <si>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</si>
  <si>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</si>
  <si>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</si>
  <si>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</si>
  <si>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</si>
  <si>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</si>
  <si>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</si>
  <si>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</si>
  <si>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</si>
  <si>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</si>
  <si>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</si>
  <si>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</si>
  <si>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</si>
  <si>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</si>
  <si>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</si>
  <si>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</si>
  <si>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</si>
  <si>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</si>
  <si>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</si>
  <si>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</si>
  <si>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</si>
  <si>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</si>
  <si>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</si>
  <si>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</si>
  <si>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</si>
  <si>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</si>
  <si>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</si>
  <si>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</si>
  <si>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</si>
  <si>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</si>
  <si>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</si>
  <si>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</si>
  <si>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</si>
  <si>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</si>
  <si>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</si>
  <si>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</si>
  <si>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</si>
  <si>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</si>
  <si>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</si>
  <si>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</si>
  <si>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</si>
  <si>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</si>
  <si>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</si>
  <si>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</si>
  <si>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</si>
  <si>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</si>
  <si>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</si>
  <si>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</si>
  <si>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</si>
  <si>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</si>
  <si>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</si>
  <si>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</si>
  <si>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</si>
  <si>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</si>
  <si>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</si>
  <si>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</si>
  <si>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</si>
  <si>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</si>
  <si>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</si>
  <si>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</si>
  <si>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</si>
  <si>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</si>
  <si>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</si>
  <si>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</si>
  <si>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</si>
  <si>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</si>
  <si>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</si>
  <si>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</si>
  <si>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</si>
  <si>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</si>
  <si>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</si>
  <si>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</si>
  <si>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</si>
  <si>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</si>
  <si>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</si>
  <si>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</si>
  <si>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</si>
  <si>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</si>
  <si>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</si>
  <si>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</si>
  <si>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</si>
  <si>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</si>
  <si>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</si>
  <si>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</si>
  <si>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</si>
  <si>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</si>
  <si>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</si>
  <si>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</si>
  <si>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</si>
  <si>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</si>
  <si>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</si>
  <si>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</si>
  <si>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</si>
  <si>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</si>
  <si>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</si>
  <si>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</si>
  <si>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</si>
  <si>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</si>
  <si>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</si>
  <si>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</si>
  <si>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</si>
  <si>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</si>
  <si>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</si>
  <si>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</si>
  <si>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</si>
  <si>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</si>
  <si>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</si>
  <si>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</si>
  <si>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</si>
  <si>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</si>
  <si>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</si>
  <si>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</si>
  <si>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</si>
  <si>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</si>
  <si>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</si>
  <si>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</si>
  <si>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</si>
  <si>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</si>
  <si>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</si>
  <si>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</si>
  <si>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</si>
  <si>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</si>
  <si>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</si>
  <si>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</si>
  <si>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</si>
  <si>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</si>
  <si>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</si>
  <si>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</si>
  <si>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</si>
  <si>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</si>
  <si>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</si>
  <si>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</si>
  <si>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</si>
  <si>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</si>
  <si>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</si>
  <si>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</si>
  <si>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</si>
  <si>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</si>
  <si>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</si>
  <si>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</si>
  <si>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</si>
  <si>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</si>
  <si>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</si>
  <si>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</si>
  <si>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</si>
  <si>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</si>
  <si>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</si>
  <si>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</si>
  <si>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</si>
  <si>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</si>
  <si>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</si>
  <si>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</si>
  <si>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</si>
  <si>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</si>
  <si>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</si>
  <si>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</si>
  <si>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</si>
  <si>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</si>
  <si>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</si>
  <si>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</si>
  <si>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</si>
  <si>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</si>
  <si>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</si>
  <si>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</si>
  <si>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</si>
  <si>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</si>
  <si>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</si>
  <si>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</si>
  <si>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</si>
  <si>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</si>
  <si>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</si>
  <si>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</si>
  <si>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</si>
  <si>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</si>
  <si>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</si>
  <si>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</si>
  <si>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</si>
  <si>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</si>
  <si>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</si>
  <si>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</si>
  <si>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</si>
  <si>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</si>
  <si>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</si>
  <si>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</si>
  <si>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</si>
  <si>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</si>
  <si>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</si>
  <si>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</si>
  <si>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</si>
  <si>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</si>
  <si>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</si>
  <si>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</si>
  <si>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</si>
  <si>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</si>
  <si>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</si>
  <si>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</si>
  <si>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</si>
  <si>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</si>
  <si>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</si>
  <si>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</si>
  <si>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</si>
  <si>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</si>
  <si>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</si>
  <si>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</si>
  <si>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</si>
  <si>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</si>
  <si>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</si>
  <si>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</si>
  <si>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</si>
  <si>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</si>
  <si>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</si>
  <si>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</si>
  <si>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</si>
  <si>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</si>
  <si>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</si>
  <si>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</si>
  <si>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</si>
  <si>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</si>
  <si>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</si>
  <si>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</si>
  <si>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</si>
  <si>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</si>
  <si>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</si>
  <si>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</si>
  <si>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</si>
  <si>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</si>
  <si>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</si>
  <si>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</si>
  <si>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</si>
  <si>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</si>
  <si>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</si>
  <si>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</si>
  <si>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</si>
  <si>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</si>
  <si>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</si>
  <si>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</si>
  <si>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</si>
  <si>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</si>
  <si>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</si>
  <si>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</si>
  <si>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</si>
  <si>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</si>
  <si>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</si>
  <si>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</si>
  <si>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</si>
  <si>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</si>
  <si>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</si>
  <si>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</si>
  <si>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</si>
  <si>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</si>
  <si>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</si>
  <si>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</si>
  <si>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</si>
  <si>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</si>
  <si>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</si>
  <si>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</si>
  <si>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</si>
  <si>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</si>
  <si>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</si>
  <si>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</si>
  <si>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</si>
  <si>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</si>
  <si>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</si>
  <si>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</si>
  <si>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</si>
  <si>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</si>
  <si>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</si>
  <si>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</si>
  <si>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</si>
  <si>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</si>
  <si>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</si>
  <si>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</si>
  <si>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</si>
  <si>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</si>
  <si>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</si>
  <si>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</si>
  <si>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</si>
  <si>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</si>
  <si>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</si>
  <si>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</si>
  <si>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</si>
  <si>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</si>
  <si>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</si>
  <si>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</si>
  <si>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</si>
  <si>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</si>
  <si>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</si>
  <si>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</si>
  <si>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</si>
  <si>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</si>
  <si>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</si>
  <si>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</si>
  <si>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</si>
  <si>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</si>
  <si>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</si>
  <si>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</si>
  <si>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</si>
  <si>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</si>
  <si>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</si>
  <si>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</si>
  <si>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</si>
  <si>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</si>
  <si>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</si>
  <si>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</si>
  <si>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</si>
  <si>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</si>
  <si>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</si>
  <si>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</si>
  <si>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</si>
  <si>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</si>
  <si>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</si>
  <si>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</si>
  <si>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</si>
  <si>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</si>
  <si>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</si>
  <si>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</si>
  <si>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</si>
  <si>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</si>
  <si>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</si>
  <si>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</si>
  <si>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</si>
  <si>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</si>
  <si>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</si>
  <si>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</si>
  <si>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</si>
  <si>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</si>
  <si>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</si>
  <si>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</si>
  <si>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</si>
  <si>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</si>
  <si>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</si>
  <si>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</si>
  <si>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</si>
  <si>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</si>
  <si>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</si>
  <si>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</si>
  <si>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</si>
  <si>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</si>
  <si>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</si>
  <si>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</si>
  <si>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</si>
  <si>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</si>
  <si>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</si>
  <si>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</si>
  <si>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</si>
  <si>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</si>
  <si>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</si>
  <si>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</si>
  <si>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</si>
  <si>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</si>
  <si>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</si>
  <si>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</si>
  <si>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</si>
  <si>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</si>
  <si>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</si>
  <si>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</si>
  <si>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</si>
  <si>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</si>
  <si>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</si>
  <si>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</si>
  <si>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</si>
  <si>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</si>
  <si>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</si>
  <si>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</si>
  <si>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</si>
  <si>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</si>
  <si>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</si>
  <si>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</si>
  <si>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</si>
  <si>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</si>
  <si>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</si>
  <si>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</si>
  <si>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</si>
  <si>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</si>
  <si>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</si>
  <si>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</si>
  <si>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</si>
  <si>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</si>
  <si>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</si>
  <si>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</si>
  <si>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</si>
  <si>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</si>
  <si>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</si>
  <si>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</si>
  <si>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</si>
  <si>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</si>
  <si>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</si>
  <si>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</si>
  <si>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</si>
  <si>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</si>
  <si>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</si>
  <si>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</si>
  <si>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</si>
  <si>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</si>
  <si>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</si>
  <si>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</si>
  <si>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</si>
  <si>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</si>
  <si>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</si>
  <si>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</si>
  <si>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</si>
  <si>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</si>
  <si>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</si>
  <si>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</si>
  <si>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</si>
  <si>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</si>
  <si>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</si>
  <si>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</si>
  <si>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</si>
  <si>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</si>
  <si>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</si>
  <si>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</si>
  <si>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</si>
  <si>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</si>
  <si>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</si>
  <si>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</si>
  <si>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</si>
  <si>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</si>
  <si>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</si>
  <si>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</si>
  <si>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</si>
  <si>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</si>
  <si>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</si>
  <si>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</si>
  <si>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</si>
  <si>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</si>
  <si>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</si>
  <si>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</si>
  <si>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</si>
  <si>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</si>
  <si>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</si>
  <si>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</si>
  <si>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</si>
  <si>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</si>
  <si>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</si>
  <si>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</si>
  <si>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</si>
  <si>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</si>
  <si>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</si>
  <si>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</si>
  <si>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</si>
  <si>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</si>
  <si>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</si>
  <si>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</si>
  <si>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</si>
  <si>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</si>
  <si>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</si>
  <si>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</si>
  <si>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</si>
  <si>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</si>
  <si>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</si>
  <si>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</si>
  <si>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</si>
  <si>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</si>
  <si>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</si>
  <si>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</si>
  <si>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</si>
  <si>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</si>
  <si>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</si>
  <si>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</si>
  <si>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</si>
  <si>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</si>
  <si>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</si>
  <si>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Audit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</si>
</sst>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20" zoomScaleNormal="120" workbookViewId="0">
      <selection activeCell="A19" sqref="A19"/>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1072</v>
      </c>
      <c r="B2">
        <f>INDEX('School Tables'!$AH$3:$AH$213,MATCH('DOE25'!A2,'School Tables'!$AJ$3:$AJ$213,0))</f>
        <v>223</v>
      </c>
      <c r="C2">
        <f>INDEX('School Tables'!$AI$3:$AI$213,MATCH('DOE25'!A2,'School Tables'!$AJ$3:$AJ$213,0))</f>
        <v>223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1507792.61+925</f>
        <v>1508717.61</v>
      </c>
      <c r="G9" s="18">
        <v>140027.49</v>
      </c>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522525.07</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146392.85</v>
      </c>
      <c r="G13" s="18">
        <v>13353.71</v>
      </c>
      <c r="H13" s="18">
        <v>45029.33</v>
      </c>
      <c r="I13" s="18"/>
      <c r="J13" s="13">
        <f>SUM(I443)</f>
        <v>2042273.69</v>
      </c>
      <c r="K13" s="23" t="s">
        <v>288</v>
      </c>
      <c r="L13" s="23" t="s">
        <v>288</v>
      </c>
      <c r="M13" s="8"/>
      <c r="N13" s="164"/>
    </row>
    <row r="14" spans="1:14" s="3" customFormat="1" ht="12.2" customHeight="1" x14ac:dyDescent="0.15">
      <c r="A14" s="1" t="s">
        <v>565</v>
      </c>
      <c r="B14" s="2" t="s">
        <v>289</v>
      </c>
      <c r="C14" s="6">
        <v>6</v>
      </c>
      <c r="D14" s="2" t="s">
        <v>428</v>
      </c>
      <c r="E14" s="6">
        <v>150</v>
      </c>
      <c r="F14" s="18">
        <v>2000</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14952.56</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2300</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2181935.5300000003</v>
      </c>
      <c r="G19" s="38">
        <f>SUM(G9:G18)</f>
        <v>168333.75999999998</v>
      </c>
      <c r="H19" s="38">
        <f>SUM(H9:H18)</f>
        <v>45029.33</v>
      </c>
      <c r="I19" s="38">
        <f>SUM(I9:I18)</f>
        <v>0</v>
      </c>
      <c r="J19" s="38">
        <f>SUM(J9:J18)</f>
        <v>2042273.69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431786.72</v>
      </c>
      <c r="G22" s="18">
        <v>59348.55</v>
      </c>
      <c r="H22" s="18">
        <v>31389.8</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59738.13</v>
      </c>
      <c r="G24" s="18">
        <v>10348.4</v>
      </c>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91743.82+8615.16</f>
        <v>100358.98000000001</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11640</v>
      </c>
      <c r="G30" s="18">
        <v>34801.449999999997</v>
      </c>
      <c r="H30" s="18">
        <v>13639.53</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603523.82999999996</v>
      </c>
      <c r="G32" s="38">
        <f>SUM(G22:G31)</f>
        <v>104498.4</v>
      </c>
      <c r="H32" s="38">
        <f>SUM(H22:H31)</f>
        <v>45029.33</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2300</v>
      </c>
      <c r="G35" s="18">
        <v>14952.61</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1000000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25744.26</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200000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v>48882.75</v>
      </c>
      <c r="H48" s="18"/>
      <c r="I48" s="18"/>
      <c r="J48" s="13">
        <f>SUM(I460)</f>
        <v>2042273.69</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1235045.36-884677.92</f>
        <v>350367.44000000006</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1578411.7000000002</v>
      </c>
      <c r="G51" s="38">
        <f>SUM(G35:G50)</f>
        <v>63835.360000000001</v>
      </c>
      <c r="H51" s="38">
        <f>SUM(H35:H50)</f>
        <v>0</v>
      </c>
      <c r="I51" s="38">
        <f>SUM(I35:I50)</f>
        <v>0</v>
      </c>
      <c r="J51" s="38">
        <f>SUM(J35:J50)</f>
        <v>2042273.69</v>
      </c>
      <c r="K51" s="42" t="s">
        <v>288</v>
      </c>
      <c r="L51" s="42" t="s">
        <v>288</v>
      </c>
      <c r="N51" s="130"/>
    </row>
    <row r="52" spans="1:14" s="3" customFormat="1" ht="12.2" customHeight="1" thickTop="1" x14ac:dyDescent="0.15">
      <c r="A52" s="35" t="s">
        <v>455</v>
      </c>
      <c r="B52" s="36" t="s">
        <v>289</v>
      </c>
      <c r="C52" s="6">
        <v>37</v>
      </c>
      <c r="D52" s="36" t="s">
        <v>653</v>
      </c>
      <c r="E52" s="36"/>
      <c r="F52" s="38">
        <f>F51+F32</f>
        <v>2181935.5300000003</v>
      </c>
      <c r="G52" s="38">
        <f>G51+G32</f>
        <v>168333.76</v>
      </c>
      <c r="H52" s="38">
        <f>H51+H32</f>
        <v>45029.33</v>
      </c>
      <c r="I52" s="38">
        <f>I51+I32</f>
        <v>0</v>
      </c>
      <c r="J52" s="38">
        <f>J51+J32</f>
        <v>2042273.69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25578376</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25578376</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f>149197.5+35715</f>
        <v>184912.5</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184912.5</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75187.55</v>
      </c>
      <c r="G96" s="18"/>
      <c r="H96" s="18"/>
      <c r="I96" s="18"/>
      <c r="J96" s="18">
        <v>46892.03</v>
      </c>
      <c r="K96" s="23" t="s">
        <v>288</v>
      </c>
      <c r="L96" s="23" t="s">
        <v>288</v>
      </c>
      <c r="M96" s="8"/>
      <c r="N96" s="164"/>
    </row>
    <row r="97" spans="1:14" s="3" customFormat="1" ht="12.2" customHeight="1" x14ac:dyDescent="0.15">
      <c r="A97" s="1" t="s">
        <v>503</v>
      </c>
      <c r="B97" s="2" t="s">
        <v>315</v>
      </c>
      <c r="C97" s="6">
        <v>12</v>
      </c>
      <c r="D97" s="2" t="s">
        <v>430</v>
      </c>
      <c r="E97" s="6">
        <v>1600</v>
      </c>
      <c r="F97" s="23" t="s">
        <v>288</v>
      </c>
      <c r="G97" s="18">
        <v>261090.18</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689.62+5530.65</f>
        <v>6220.2699999999995</v>
      </c>
      <c r="G110" s="18"/>
      <c r="H110" s="18">
        <v>27048.41</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81407.820000000007</v>
      </c>
      <c r="G111" s="38">
        <f>SUM(G96:G110)</f>
        <v>261090.18</v>
      </c>
      <c r="H111" s="38">
        <f>SUM(H96:H110)</f>
        <v>27048.41</v>
      </c>
      <c r="I111" s="38">
        <f>SUM(I96:I110)</f>
        <v>0</v>
      </c>
      <c r="J111" s="38">
        <f>SUM(J96:J110)</f>
        <v>46892.03</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25844696.32</v>
      </c>
      <c r="G112" s="38">
        <f>G60+G111</f>
        <v>261090.18</v>
      </c>
      <c r="H112" s="38">
        <f>H60+H79+H94+H111</f>
        <v>27048.41</v>
      </c>
      <c r="I112" s="38">
        <f>I60+I111</f>
        <v>0</v>
      </c>
      <c r="J112" s="38">
        <f>J60+J111</f>
        <v>46892.03</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2858330.17</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2464151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16134.51</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5338615.68</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655934.11</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5012.6899999999996</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45118</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655934.11</v>
      </c>
      <c r="G136" s="38">
        <f>SUM(G123:G135)</f>
        <v>5012.6899999999996</v>
      </c>
      <c r="H136" s="38">
        <f>SUM(H123:H135)</f>
        <v>45118</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5994549.79</v>
      </c>
      <c r="G140" s="38">
        <f>G121+SUM(G136:G137)</f>
        <v>5012.6899999999996</v>
      </c>
      <c r="H140" s="38">
        <f>H121+SUM(H136:H139)</f>
        <v>45118</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13832.53</v>
      </c>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13832.53</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83145.06</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64977.2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129509.88</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301071.26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6301.66</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15619.87</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103752.36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6301.66</v>
      </c>
      <c r="G163" s="38">
        <f>SUM(G150:G162)</f>
        <v>129509.88</v>
      </c>
      <c r="H163" s="38">
        <f>SUM(H150:H162)</f>
        <v>568565.75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20134.190000000002</v>
      </c>
      <c r="G170" s="38">
        <f>G147+G163+SUM(G164:G169)</f>
        <v>129509.88</v>
      </c>
      <c r="H170" s="38">
        <f>H147+H163+SUM(H164:H169)</f>
        <v>568565.75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1273888</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1273888</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146392.85</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146392.85</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146392.85</v>
      </c>
      <c r="G193" s="38">
        <f>G184+SUM(G189:G192)</f>
        <v>0</v>
      </c>
      <c r="H193" s="38">
        <f>+H184+SUM(H189:H192)</f>
        <v>0</v>
      </c>
      <c r="I193" s="38">
        <f>I178+I184+SUM(I189:I192)</f>
        <v>0</v>
      </c>
      <c r="J193" s="38">
        <f>J184</f>
        <v>1273888</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32005773.150000002</v>
      </c>
      <c r="G194" s="38">
        <f>G112+G140+G170+G193</f>
        <v>395612.75</v>
      </c>
      <c r="H194" s="38">
        <f>H112+H140+H170+H193</f>
        <v>640732.16000000003</v>
      </c>
      <c r="I194" s="38">
        <f>I112+I140+I170+I193</f>
        <v>0</v>
      </c>
      <c r="J194" s="38">
        <f>J112+J140+J193</f>
        <v>1320780.03</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2871936.05</v>
      </c>
      <c r="G198" s="18">
        <v>1689534.91</v>
      </c>
      <c r="H198" s="18">
        <v>3582.14</v>
      </c>
      <c r="I198" s="18">
        <v>139514.81</v>
      </c>
      <c r="J198" s="18">
        <v>103603.26</v>
      </c>
      <c r="K198" s="18">
        <v>4015.17</v>
      </c>
      <c r="L198" s="13">
        <f>SUM(F198:K198)</f>
        <v>4812186.3399999989</v>
      </c>
      <c r="M198" s="8"/>
      <c r="N198" s="164"/>
    </row>
    <row r="199" spans="1:14" s="3" customFormat="1" ht="12.2" customHeight="1" x14ac:dyDescent="0.15">
      <c r="A199" s="1" t="s">
        <v>439</v>
      </c>
      <c r="B199" s="2" t="s">
        <v>341</v>
      </c>
      <c r="C199" s="2" t="s">
        <v>291</v>
      </c>
      <c r="D199" s="2" t="s">
        <v>431</v>
      </c>
      <c r="E199" s="6">
        <v>1200</v>
      </c>
      <c r="F199" s="18">
        <v>1604958.44</v>
      </c>
      <c r="G199" s="18">
        <v>944183.04</v>
      </c>
      <c r="H199" s="18">
        <v>891140.46</v>
      </c>
      <c r="I199" s="18">
        <v>11232.16</v>
      </c>
      <c r="J199" s="18">
        <v>1440.55</v>
      </c>
      <c r="K199" s="18">
        <v>1438.38</v>
      </c>
      <c r="L199" s="13">
        <f>SUM(F199:K199)</f>
        <v>3454393.03</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500</v>
      </c>
      <c r="G201" s="18">
        <v>294.14999999999998</v>
      </c>
      <c r="H201" s="18">
        <v>0</v>
      </c>
      <c r="I201" s="18">
        <v>82.56</v>
      </c>
      <c r="J201" s="18">
        <v>0</v>
      </c>
      <c r="K201" s="18">
        <v>0</v>
      </c>
      <c r="L201" s="13">
        <f>SUM(F201:K201)</f>
        <v>876.71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418340.85</v>
      </c>
      <c r="G203" s="18">
        <v>246106.27</v>
      </c>
      <c r="H203" s="18">
        <v>1335.03</v>
      </c>
      <c r="I203" s="18">
        <v>10216.200000000001</v>
      </c>
      <c r="J203" s="18">
        <v>3452.07</v>
      </c>
      <c r="K203" s="18">
        <v>0</v>
      </c>
      <c r="L203" s="13">
        <f t="shared" ref="L203:L209" si="0">SUM(F203:K203)</f>
        <v>679450.41999999993</v>
      </c>
      <c r="M203" s="8"/>
      <c r="N203" s="164"/>
    </row>
    <row r="204" spans="1:14" s="3" customFormat="1" ht="12.2" customHeight="1" x14ac:dyDescent="0.15">
      <c r="A204" s="1" t="s">
        <v>443</v>
      </c>
      <c r="B204" s="2" t="s">
        <v>341</v>
      </c>
      <c r="C204" s="2" t="s">
        <v>295</v>
      </c>
      <c r="D204" s="2" t="s">
        <v>431</v>
      </c>
      <c r="E204" s="6">
        <v>2200</v>
      </c>
      <c r="F204" s="18">
        <v>81269.19</v>
      </c>
      <c r="G204" s="18">
        <v>72686.959999999992</v>
      </c>
      <c r="H204" s="18">
        <v>69160.78</v>
      </c>
      <c r="I204" s="18">
        <v>21413.21</v>
      </c>
      <c r="J204" s="18">
        <v>0</v>
      </c>
      <c r="K204" s="18">
        <v>0</v>
      </c>
      <c r="L204" s="13">
        <f t="shared" si="0"/>
        <v>244530.13999999998</v>
      </c>
      <c r="M204" s="8"/>
      <c r="N204" s="164"/>
    </row>
    <row r="205" spans="1:14" s="3" customFormat="1" ht="12.2" customHeight="1" x14ac:dyDescent="0.15">
      <c r="A205" s="1" t="s">
        <v>444</v>
      </c>
      <c r="B205" s="2" t="s">
        <v>341</v>
      </c>
      <c r="C205" s="2" t="s">
        <v>296</v>
      </c>
      <c r="D205" s="2" t="s">
        <v>431</v>
      </c>
      <c r="E205" s="6">
        <v>2300</v>
      </c>
      <c r="F205" s="18">
        <v>77864.44</v>
      </c>
      <c r="G205" s="18">
        <v>45806.97</v>
      </c>
      <c r="H205" s="18">
        <v>58054.39</v>
      </c>
      <c r="I205" s="18">
        <v>4193.6099999999997</v>
      </c>
      <c r="J205" s="18">
        <v>0</v>
      </c>
      <c r="K205" s="18">
        <v>10988.15</v>
      </c>
      <c r="L205" s="13">
        <f t="shared" si="0"/>
        <v>196907.55999999997</v>
      </c>
      <c r="M205" s="8"/>
      <c r="N205" s="164"/>
    </row>
    <row r="206" spans="1:14" s="3" customFormat="1" ht="12.2" customHeight="1" x14ac:dyDescent="0.15">
      <c r="A206" s="1" t="s">
        <v>445</v>
      </c>
      <c r="B206" s="2" t="s">
        <v>341</v>
      </c>
      <c r="C206" s="2" t="s">
        <v>297</v>
      </c>
      <c r="D206" s="2" t="s">
        <v>431</v>
      </c>
      <c r="E206" s="6">
        <v>2400</v>
      </c>
      <c r="F206" s="18">
        <v>348341.98</v>
      </c>
      <c r="G206" s="18">
        <v>204926.55</v>
      </c>
      <c r="H206" s="18">
        <v>9302.92</v>
      </c>
      <c r="I206" s="18">
        <v>12192.87</v>
      </c>
      <c r="J206" s="18">
        <v>14210.03</v>
      </c>
      <c r="K206" s="18">
        <v>1727</v>
      </c>
      <c r="L206" s="13">
        <f t="shared" si="0"/>
        <v>590701.35000000009</v>
      </c>
      <c r="M206" s="8"/>
      <c r="N206" s="164"/>
    </row>
    <row r="207" spans="1:14" s="3" customFormat="1" ht="12.2" customHeight="1" x14ac:dyDescent="0.15">
      <c r="A207" s="1" t="s">
        <v>446</v>
      </c>
      <c r="B207" s="2" t="s">
        <v>341</v>
      </c>
      <c r="C207" s="2" t="s">
        <v>298</v>
      </c>
      <c r="D207" s="2" t="s">
        <v>431</v>
      </c>
      <c r="E207" s="6">
        <v>2500</v>
      </c>
      <c r="F207" s="18">
        <v>135595.45000000001</v>
      </c>
      <c r="G207" s="18">
        <v>79769.62</v>
      </c>
      <c r="H207" s="18">
        <v>0</v>
      </c>
      <c r="I207" s="18">
        <v>0</v>
      </c>
      <c r="J207" s="18">
        <v>0</v>
      </c>
      <c r="K207" s="18">
        <v>0</v>
      </c>
      <c r="L207" s="13">
        <f t="shared" si="0"/>
        <v>215365.07</v>
      </c>
      <c r="M207" s="8"/>
      <c r="N207" s="164"/>
    </row>
    <row r="208" spans="1:14" s="3" customFormat="1" ht="12.2" customHeight="1" x14ac:dyDescent="0.15">
      <c r="A208" s="1" t="s">
        <v>447</v>
      </c>
      <c r="B208" s="2" t="s">
        <v>341</v>
      </c>
      <c r="C208" s="2" t="s">
        <v>299</v>
      </c>
      <c r="D208" s="2" t="s">
        <v>431</v>
      </c>
      <c r="E208" s="6">
        <v>2600</v>
      </c>
      <c r="F208" s="18">
        <v>391770.19</v>
      </c>
      <c r="G208" s="18">
        <v>232140.56</v>
      </c>
      <c r="H208" s="18">
        <v>180845.37</v>
      </c>
      <c r="I208" s="18">
        <v>213167.07</v>
      </c>
      <c r="J208" s="18">
        <v>6889.57</v>
      </c>
      <c r="K208" s="18">
        <v>4233.49</v>
      </c>
      <c r="L208" s="13">
        <f t="shared" si="0"/>
        <v>1029046.2499999999</v>
      </c>
      <c r="M208" s="8"/>
      <c r="N208" s="164"/>
    </row>
    <row r="209" spans="1:14" s="3" customFormat="1" ht="12.2" customHeight="1" x14ac:dyDescent="0.15">
      <c r="A209" s="1" t="s">
        <v>448</v>
      </c>
      <c r="B209" s="2" t="s">
        <v>341</v>
      </c>
      <c r="C209" s="2" t="s">
        <v>300</v>
      </c>
      <c r="D209" s="2" t="s">
        <v>431</v>
      </c>
      <c r="E209" s="6">
        <v>2700</v>
      </c>
      <c r="F209" s="18">
        <v>0</v>
      </c>
      <c r="G209" s="18">
        <v>0</v>
      </c>
      <c r="H209" s="18">
        <v>600247.5</v>
      </c>
      <c r="I209" s="18">
        <v>0</v>
      </c>
      <c r="J209" s="18">
        <v>0</v>
      </c>
      <c r="K209" s="18">
        <v>0</v>
      </c>
      <c r="L209" s="13">
        <f t="shared" si="0"/>
        <v>600247.5</v>
      </c>
      <c r="M209" s="8"/>
      <c r="N209" s="164"/>
    </row>
    <row r="210" spans="1:14" s="3" customFormat="1" ht="12.2" customHeight="1" x14ac:dyDescent="0.15">
      <c r="A210" s="1" t="s">
        <v>449</v>
      </c>
      <c r="B210" s="2" t="s">
        <v>341</v>
      </c>
      <c r="C210" s="2" t="s">
        <v>343</v>
      </c>
      <c r="D210" s="2" t="s">
        <v>431</v>
      </c>
      <c r="E210" s="6">
        <v>2800</v>
      </c>
      <c r="F210" s="18">
        <v>74403.509999999995</v>
      </c>
      <c r="G210" s="18">
        <v>43770.94</v>
      </c>
      <c r="H210" s="18">
        <v>0</v>
      </c>
      <c r="I210" s="18">
        <v>61583.25</v>
      </c>
      <c r="J210" s="18">
        <v>0</v>
      </c>
      <c r="K210" s="18">
        <v>0</v>
      </c>
      <c r="L210" s="13">
        <f>SUM(F210:K210)</f>
        <v>179757.7</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6004980.1000000015</v>
      </c>
      <c r="G212" s="38">
        <f t="shared" si="1"/>
        <v>3559219.97</v>
      </c>
      <c r="H212" s="38">
        <f t="shared" si="1"/>
        <v>1813668.59</v>
      </c>
      <c r="I212" s="38">
        <f t="shared" si="1"/>
        <v>473595.74</v>
      </c>
      <c r="J212" s="38">
        <f t="shared" si="1"/>
        <v>129595.48000000001</v>
      </c>
      <c r="K212" s="38">
        <f t="shared" si="1"/>
        <v>22402.190000000002</v>
      </c>
      <c r="L212" s="38">
        <f t="shared" si="1"/>
        <v>12003462.07</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2576500.11</v>
      </c>
      <c r="G216" s="18">
        <v>1515732.52</v>
      </c>
      <c r="H216" s="18">
        <v>4108.2299999999996</v>
      </c>
      <c r="I216" s="18">
        <v>84473.66</v>
      </c>
      <c r="J216" s="18">
        <v>66641.820000000007</v>
      </c>
      <c r="K216" s="18">
        <v>5016.6000000000004</v>
      </c>
      <c r="L216" s="13">
        <f>SUM(F216:K216)</f>
        <v>4252472.9399999995</v>
      </c>
      <c r="M216" s="8"/>
      <c r="N216" s="164"/>
    </row>
    <row r="217" spans="1:14" s="3" customFormat="1" ht="12.2" customHeight="1" x14ac:dyDescent="0.15">
      <c r="A217" s="1" t="s">
        <v>439</v>
      </c>
      <c r="B217" s="2" t="s">
        <v>346</v>
      </c>
      <c r="C217" s="2" t="s">
        <v>291</v>
      </c>
      <c r="D217" s="2" t="s">
        <v>431</v>
      </c>
      <c r="E217" s="6">
        <v>1200</v>
      </c>
      <c r="F217" s="18">
        <v>1128785.71</v>
      </c>
      <c r="G217" s="18">
        <v>664054.78</v>
      </c>
      <c r="H217" s="18">
        <v>734750.14</v>
      </c>
      <c r="I217" s="18">
        <v>6245.09</v>
      </c>
      <c r="J217" s="18">
        <v>1123.8499999999999</v>
      </c>
      <c r="K217" s="18">
        <v>1122.1600000000001</v>
      </c>
      <c r="L217" s="13">
        <f>SUM(F217:K217)</f>
        <v>2536081.73</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52245</v>
      </c>
      <c r="G219" s="18">
        <v>30735.279999999999</v>
      </c>
      <c r="H219" s="18">
        <v>8000</v>
      </c>
      <c r="I219" s="18">
        <v>8339.99</v>
      </c>
      <c r="J219" s="18">
        <v>0</v>
      </c>
      <c r="K219" s="18">
        <v>13546.94</v>
      </c>
      <c r="L219" s="13">
        <f>SUM(F219:K219)</f>
        <v>112867.21</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439646.88</v>
      </c>
      <c r="G221" s="18">
        <v>258640.42</v>
      </c>
      <c r="H221" s="18">
        <v>6089.83</v>
      </c>
      <c r="I221" s="18">
        <v>5647.85</v>
      </c>
      <c r="J221" s="18">
        <v>479</v>
      </c>
      <c r="K221" s="18">
        <v>0</v>
      </c>
      <c r="L221" s="13">
        <f t="shared" ref="L221:L227" si="2">SUM(F221:K221)</f>
        <v>710503.98</v>
      </c>
      <c r="M221" s="8"/>
      <c r="N221" s="164"/>
    </row>
    <row r="222" spans="1:14" s="3" customFormat="1" ht="12.2" customHeight="1" x14ac:dyDescent="0.15">
      <c r="A222" s="1" t="s">
        <v>443</v>
      </c>
      <c r="B222" s="2" t="s">
        <v>346</v>
      </c>
      <c r="C222" s="2" t="s">
        <v>295</v>
      </c>
      <c r="D222" s="2" t="s">
        <v>431</v>
      </c>
      <c r="E222" s="6">
        <v>2200</v>
      </c>
      <c r="F222" s="18">
        <v>106552.8</v>
      </c>
      <c r="G222" s="18">
        <v>82092.070000000007</v>
      </c>
      <c r="H222" s="18">
        <v>53956.32</v>
      </c>
      <c r="I222" s="18">
        <v>18878.669999999998</v>
      </c>
      <c r="J222" s="18">
        <v>10733.94</v>
      </c>
      <c r="K222" s="18">
        <v>0</v>
      </c>
      <c r="L222" s="13">
        <f t="shared" si="2"/>
        <v>272213.8</v>
      </c>
      <c r="M222" s="8"/>
      <c r="N222" s="164"/>
    </row>
    <row r="223" spans="1:14" s="3" customFormat="1" ht="12.2" customHeight="1" x14ac:dyDescent="0.15">
      <c r="A223" s="1" t="s">
        <v>444</v>
      </c>
      <c r="B223" s="2" t="s">
        <v>346</v>
      </c>
      <c r="C223" s="2" t="s">
        <v>296</v>
      </c>
      <c r="D223" s="2" t="s">
        <v>431</v>
      </c>
      <c r="E223" s="6">
        <v>2300</v>
      </c>
      <c r="F223" s="18">
        <v>60746.559999999998</v>
      </c>
      <c r="G223" s="18">
        <v>35736.67</v>
      </c>
      <c r="H223" s="18">
        <v>45291.59</v>
      </c>
      <c r="I223" s="18">
        <v>3271.67</v>
      </c>
      <c r="J223" s="18">
        <v>0</v>
      </c>
      <c r="K223" s="18">
        <v>8572.5</v>
      </c>
      <c r="L223" s="13">
        <f t="shared" si="2"/>
        <v>153618.99000000002</v>
      </c>
      <c r="M223" s="8"/>
      <c r="N223" s="164"/>
    </row>
    <row r="224" spans="1:14" s="3" customFormat="1" ht="12.2" customHeight="1" x14ac:dyDescent="0.15">
      <c r="A224" s="1" t="s">
        <v>445</v>
      </c>
      <c r="B224" s="2" t="s">
        <v>346</v>
      </c>
      <c r="C224" s="2" t="s">
        <v>297</v>
      </c>
      <c r="D224" s="2" t="s">
        <v>431</v>
      </c>
      <c r="E224" s="6">
        <v>2400</v>
      </c>
      <c r="F224" s="18">
        <v>369121.99</v>
      </c>
      <c r="G224" s="18">
        <v>217151.24</v>
      </c>
      <c r="H224" s="18">
        <v>10874.57</v>
      </c>
      <c r="I224" s="18">
        <v>12749.41</v>
      </c>
      <c r="J224" s="18">
        <v>11410.88</v>
      </c>
      <c r="K224" s="18">
        <v>2526.4299999999998</v>
      </c>
      <c r="L224" s="13">
        <f t="shared" si="2"/>
        <v>623834.52</v>
      </c>
      <c r="M224" s="8"/>
      <c r="N224" s="164"/>
    </row>
    <row r="225" spans="1:14" s="3" customFormat="1" ht="12.2" customHeight="1" x14ac:dyDescent="0.15">
      <c r="A225" s="1" t="s">
        <v>446</v>
      </c>
      <c r="B225" s="2" t="s">
        <v>346</v>
      </c>
      <c r="C225" s="2" t="s">
        <v>298</v>
      </c>
      <c r="D225" s="2" t="s">
        <v>431</v>
      </c>
      <c r="E225" s="6">
        <v>2500</v>
      </c>
      <c r="F225" s="18">
        <v>105785.86</v>
      </c>
      <c r="G225" s="18">
        <v>62232.9</v>
      </c>
      <c r="H225" s="18">
        <v>0</v>
      </c>
      <c r="I225" s="18">
        <v>0</v>
      </c>
      <c r="J225" s="18">
        <v>0</v>
      </c>
      <c r="K225" s="18">
        <v>0</v>
      </c>
      <c r="L225" s="13">
        <f t="shared" si="2"/>
        <v>168018.76</v>
      </c>
      <c r="M225" s="8"/>
      <c r="N225" s="164"/>
    </row>
    <row r="226" spans="1:14" s="3" customFormat="1" ht="12.2" customHeight="1" x14ac:dyDescent="0.15">
      <c r="A226" s="1" t="s">
        <v>447</v>
      </c>
      <c r="B226" s="2" t="s">
        <v>346</v>
      </c>
      <c r="C226" s="2" t="s">
        <v>299</v>
      </c>
      <c r="D226" s="2" t="s">
        <v>431</v>
      </c>
      <c r="E226" s="6">
        <v>2600</v>
      </c>
      <c r="F226" s="18">
        <v>344589.38</v>
      </c>
      <c r="G226" s="18">
        <v>204018.34000000003</v>
      </c>
      <c r="H226" s="18">
        <v>137540.54999999999</v>
      </c>
      <c r="I226" s="18">
        <v>166303.96</v>
      </c>
      <c r="J226" s="18">
        <v>7359.95</v>
      </c>
      <c r="K226" s="18">
        <v>1412.86</v>
      </c>
      <c r="L226" s="13">
        <f t="shared" si="2"/>
        <v>861225.03999999992</v>
      </c>
      <c r="M226" s="8"/>
      <c r="N226" s="164"/>
    </row>
    <row r="227" spans="1:14" s="3" customFormat="1" ht="12.2" customHeight="1" x14ac:dyDescent="0.15">
      <c r="A227" s="1" t="s">
        <v>448</v>
      </c>
      <c r="B227" s="2" t="s">
        <v>346</v>
      </c>
      <c r="C227" s="2" t="s">
        <v>300</v>
      </c>
      <c r="D227" s="2" t="s">
        <v>431</v>
      </c>
      <c r="E227" s="6">
        <v>2700</v>
      </c>
      <c r="F227" s="18">
        <v>0</v>
      </c>
      <c r="G227" s="18">
        <v>0</v>
      </c>
      <c r="H227" s="18">
        <v>607004.71</v>
      </c>
      <c r="I227" s="18">
        <v>0</v>
      </c>
      <c r="J227" s="18">
        <v>0</v>
      </c>
      <c r="K227" s="18">
        <v>0</v>
      </c>
      <c r="L227" s="13">
        <f t="shared" si="2"/>
        <v>607004.71</v>
      </c>
      <c r="M227" s="8"/>
      <c r="N227" s="164"/>
    </row>
    <row r="228" spans="1:14" s="3" customFormat="1" ht="12.2" customHeight="1" x14ac:dyDescent="0.15">
      <c r="A228" s="1" t="s">
        <v>449</v>
      </c>
      <c r="B228" s="2" t="s">
        <v>346</v>
      </c>
      <c r="C228" s="2" t="s">
        <v>343</v>
      </c>
      <c r="D228" s="2" t="s">
        <v>431</v>
      </c>
      <c r="E228" s="6">
        <v>2800</v>
      </c>
      <c r="F228" s="18">
        <v>58046.49</v>
      </c>
      <c r="G228" s="18">
        <v>34148.239999999998</v>
      </c>
      <c r="H228" s="18">
        <v>0</v>
      </c>
      <c r="I228" s="18">
        <v>48044.66</v>
      </c>
      <c r="J228" s="18">
        <v>0</v>
      </c>
      <c r="K228" s="18">
        <v>0</v>
      </c>
      <c r="L228" s="13">
        <f>SUM(F228:K228)</f>
        <v>140239.39000000001</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5242020.78</v>
      </c>
      <c r="G230" s="38">
        <f>SUM(G216:G229)</f>
        <v>3104542.4599999995</v>
      </c>
      <c r="H230" s="38">
        <f>SUM(H216:H229)</f>
        <v>1607615.9399999997</v>
      </c>
      <c r="I230" s="38">
        <f>SUM(I216:I229)</f>
        <v>353954.95999999996</v>
      </c>
      <c r="J230" s="38">
        <f>SUM(J216:J229)</f>
        <v>97749.440000000017</v>
      </c>
      <c r="K230" s="38">
        <f t="shared" si="3"/>
        <v>32197.49</v>
      </c>
      <c r="L230" s="38">
        <f t="shared" si="3"/>
        <v>10438081.07</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0</v>
      </c>
      <c r="G234" s="18">
        <v>0</v>
      </c>
      <c r="H234" s="18">
        <v>5796164</v>
      </c>
      <c r="I234" s="18">
        <v>0</v>
      </c>
      <c r="J234" s="18">
        <v>0</v>
      </c>
      <c r="K234" s="18">
        <v>0</v>
      </c>
      <c r="L234" s="13">
        <f>SUM(F234:K234)</f>
        <v>5796164</v>
      </c>
      <c r="M234" s="8"/>
      <c r="N234" s="164"/>
    </row>
    <row r="235" spans="1:14" s="3" customFormat="1" ht="12.2" customHeight="1" x14ac:dyDescent="0.15">
      <c r="A235" s="1" t="s">
        <v>439</v>
      </c>
      <c r="B235" s="2" t="s">
        <v>350</v>
      </c>
      <c r="C235" s="2" t="s">
        <v>291</v>
      </c>
      <c r="D235" s="2" t="s">
        <v>431</v>
      </c>
      <c r="E235" s="6">
        <v>1200</v>
      </c>
      <c r="F235" s="18">
        <v>182542</v>
      </c>
      <c r="G235" s="18">
        <v>107387.87</v>
      </c>
      <c r="H235" s="18">
        <v>1983998.09</v>
      </c>
      <c r="I235" s="18">
        <v>0</v>
      </c>
      <c r="J235" s="18">
        <v>0</v>
      </c>
      <c r="K235" s="18">
        <v>0</v>
      </c>
      <c r="L235" s="13">
        <f>SUM(F235:K235)</f>
        <v>2273927.96</v>
      </c>
      <c r="M235" s="8"/>
      <c r="N235" s="1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39497</v>
      </c>
      <c r="G239" s="18">
        <v>23235.74</v>
      </c>
      <c r="H239" s="18">
        <v>0</v>
      </c>
      <c r="I239" s="18">
        <v>0</v>
      </c>
      <c r="J239" s="18">
        <v>0</v>
      </c>
      <c r="K239" s="18">
        <v>0</v>
      </c>
      <c r="L239" s="13">
        <f t="shared" ref="L239:L245" si="4">SUM(F239:K239)</f>
        <v>62732.740000000005</v>
      </c>
      <c r="M239" s="8"/>
      <c r="N239" s="1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4"/>
    </row>
    <row r="241" spans="1:14" s="3" customFormat="1" ht="12.2" customHeight="1" x14ac:dyDescent="0.15">
      <c r="A241" s="1" t="s">
        <v>444</v>
      </c>
      <c r="B241" s="2" t="s">
        <v>350</v>
      </c>
      <c r="C241" s="2" t="s">
        <v>296</v>
      </c>
      <c r="D241" s="2" t="s">
        <v>431</v>
      </c>
      <c r="E241" s="6">
        <v>2300</v>
      </c>
      <c r="F241" s="18">
        <v>18682</v>
      </c>
      <c r="G241" s="18">
        <v>10990.46</v>
      </c>
      <c r="H241" s="18">
        <v>0</v>
      </c>
      <c r="I241" s="18">
        <v>0</v>
      </c>
      <c r="J241" s="18">
        <v>0</v>
      </c>
      <c r="K241" s="18">
        <v>0</v>
      </c>
      <c r="L241" s="13">
        <f t="shared" si="4"/>
        <v>29672.46</v>
      </c>
      <c r="M241" s="8"/>
      <c r="N241" s="1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4"/>
    </row>
    <row r="245" spans="1:14" s="3" customFormat="1" ht="12.2" customHeight="1" x14ac:dyDescent="0.15">
      <c r="A245" s="1" t="s">
        <v>448</v>
      </c>
      <c r="B245" s="2" t="s">
        <v>350</v>
      </c>
      <c r="C245" s="2" t="s">
        <v>300</v>
      </c>
      <c r="D245" s="2" t="s">
        <v>431</v>
      </c>
      <c r="E245" s="6">
        <v>2700</v>
      </c>
      <c r="F245" s="18">
        <v>0</v>
      </c>
      <c r="G245" s="18">
        <v>0</v>
      </c>
      <c r="H245" s="18">
        <v>597589.09</v>
      </c>
      <c r="I245" s="18">
        <v>0</v>
      </c>
      <c r="J245" s="18">
        <v>0</v>
      </c>
      <c r="K245" s="18">
        <v>0</v>
      </c>
      <c r="L245" s="13">
        <f t="shared" si="4"/>
        <v>597589.09</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240721</v>
      </c>
      <c r="G248" s="38">
        <f t="shared" si="5"/>
        <v>141614.07</v>
      </c>
      <c r="H248" s="38">
        <f t="shared" si="5"/>
        <v>8377751.1799999997</v>
      </c>
      <c r="I248" s="38">
        <f t="shared" si="5"/>
        <v>0</v>
      </c>
      <c r="J248" s="38">
        <f t="shared" si="5"/>
        <v>0</v>
      </c>
      <c r="K248" s="38">
        <f t="shared" si="5"/>
        <v>0</v>
      </c>
      <c r="L248" s="38">
        <f t="shared" si="5"/>
        <v>8760086.25</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11860.86</v>
      </c>
      <c r="G254" s="18">
        <v>6977.64</v>
      </c>
      <c r="H254" s="18">
        <v>0</v>
      </c>
      <c r="I254" s="18">
        <v>0</v>
      </c>
      <c r="J254" s="18">
        <v>0</v>
      </c>
      <c r="K254" s="18">
        <v>0</v>
      </c>
      <c r="L254" s="13">
        <f t="shared" si="6"/>
        <v>18838.5</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396094.28</v>
      </c>
      <c r="I256" s="18">
        <v>0</v>
      </c>
      <c r="J256" s="18">
        <v>0</v>
      </c>
      <c r="K256" s="18">
        <v>0</v>
      </c>
      <c r="L256" s="13">
        <f t="shared" si="6"/>
        <v>396094.28</v>
      </c>
      <c r="M256" s="8"/>
      <c r="N256" s="164"/>
    </row>
    <row r="257" spans="1:14" s="3" customFormat="1" ht="12.2" customHeight="1" thickTop="1" thickBot="1" x14ac:dyDescent="0.2">
      <c r="A257" s="35" t="s">
        <v>461</v>
      </c>
      <c r="B257" s="37">
        <v>10</v>
      </c>
      <c r="C257" s="37">
        <v>7</v>
      </c>
      <c r="D257" s="36" t="s">
        <v>431</v>
      </c>
      <c r="E257" s="37"/>
      <c r="F257" s="38">
        <f t="shared" ref="F257:K257" si="7">SUM(F251:F256)</f>
        <v>11860.86</v>
      </c>
      <c r="G257" s="38">
        <f t="shared" si="7"/>
        <v>6977.64</v>
      </c>
      <c r="H257" s="38">
        <f t="shared" si="7"/>
        <v>396094.28</v>
      </c>
      <c r="I257" s="38">
        <f t="shared" si="7"/>
        <v>0</v>
      </c>
      <c r="J257" s="38">
        <f t="shared" si="7"/>
        <v>0</v>
      </c>
      <c r="K257" s="38">
        <f t="shared" si="7"/>
        <v>0</v>
      </c>
      <c r="L257" s="38">
        <f>SUM(F257:K257)</f>
        <v>414932.78</v>
      </c>
      <c r="M257" s="8"/>
      <c r="N257" s="164"/>
    </row>
    <row r="258" spans="1:14" s="3" customFormat="1" ht="12.2" customHeight="1" thickTop="1" x14ac:dyDescent="0.15">
      <c r="A258" s="35" t="s">
        <v>462</v>
      </c>
      <c r="B258" s="37">
        <v>10</v>
      </c>
      <c r="C258" s="37">
        <v>8</v>
      </c>
      <c r="D258" s="36" t="s">
        <v>431</v>
      </c>
      <c r="E258" s="37"/>
      <c r="F258" s="38">
        <f t="shared" ref="F258:L258" si="8">F212+F230+F248+F257</f>
        <v>11499582.740000002</v>
      </c>
      <c r="G258" s="38">
        <f t="shared" si="8"/>
        <v>6812354.1399999997</v>
      </c>
      <c r="H258" s="38">
        <f t="shared" si="8"/>
        <v>12195129.989999998</v>
      </c>
      <c r="I258" s="38">
        <f t="shared" si="8"/>
        <v>827550.7</v>
      </c>
      <c r="J258" s="38">
        <f t="shared" si="8"/>
        <v>227344.92000000004</v>
      </c>
      <c r="K258" s="38">
        <f t="shared" si="8"/>
        <v>54599.680000000008</v>
      </c>
      <c r="L258" s="38">
        <f t="shared" si="8"/>
        <v>31616562.170000002</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1273888</v>
      </c>
      <c r="L267" s="13">
        <f t="shared" si="9"/>
        <v>1273888</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1273888</v>
      </c>
      <c r="L271" s="38">
        <f t="shared" si="9"/>
        <v>1273888</v>
      </c>
      <c r="M271" s="8"/>
      <c r="N271" s="164"/>
    </row>
    <row r="272" spans="1:14" s="33" customFormat="1" ht="12.2" customHeight="1" thickTop="1" x14ac:dyDescent="0.2">
      <c r="A272" s="40" t="s">
        <v>464</v>
      </c>
      <c r="B272" s="37">
        <v>10</v>
      </c>
      <c r="C272" s="37">
        <v>18</v>
      </c>
      <c r="D272" s="36" t="s">
        <v>431</v>
      </c>
      <c r="E272" s="37"/>
      <c r="F272" s="39">
        <f t="shared" ref="F272:L272" si="11">F258+F271</f>
        <v>11499582.740000002</v>
      </c>
      <c r="G272" s="39">
        <f t="shared" si="11"/>
        <v>6812354.1399999997</v>
      </c>
      <c r="H272" s="39">
        <f t="shared" si="11"/>
        <v>12195129.989999998</v>
      </c>
      <c r="I272" s="39">
        <f t="shared" si="11"/>
        <v>827550.7</v>
      </c>
      <c r="J272" s="39">
        <f t="shared" si="11"/>
        <v>227344.92000000004</v>
      </c>
      <c r="K272" s="39">
        <f t="shared" si="11"/>
        <v>1328487.68</v>
      </c>
      <c r="L272" s="39">
        <f t="shared" si="11"/>
        <v>32890450.170000002</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34076.248068397719</v>
      </c>
      <c r="G277" s="18">
        <v>1224.9138568714377</v>
      </c>
      <c r="H277" s="18">
        <v>1067.7873400886638</v>
      </c>
      <c r="I277" s="18">
        <v>34892.647587080435</v>
      </c>
      <c r="J277" s="18">
        <v>8269.755471817607</v>
      </c>
      <c r="K277" s="18">
        <v>0</v>
      </c>
      <c r="L277" s="13">
        <f>SUM(F277:K277)</f>
        <v>79531.352324255873</v>
      </c>
      <c r="M277" s="8"/>
      <c r="N277" s="164"/>
    </row>
    <row r="278" spans="1:14" s="3" customFormat="1" ht="12.2" customHeight="1" x14ac:dyDescent="0.15">
      <c r="A278" s="1" t="s">
        <v>439</v>
      </c>
      <c r="B278" s="2" t="s">
        <v>357</v>
      </c>
      <c r="C278" s="2" t="s">
        <v>291</v>
      </c>
      <c r="D278" s="2" t="s">
        <v>431</v>
      </c>
      <c r="E278" s="6">
        <v>1200</v>
      </c>
      <c r="F278" s="18">
        <v>2246.991766941102</v>
      </c>
      <c r="G278" s="18">
        <v>171.89487017099432</v>
      </c>
      <c r="H278" s="18">
        <v>141261.81678910705</v>
      </c>
      <c r="I278" s="18">
        <v>17175.701722609247</v>
      </c>
      <c r="J278" s="18">
        <v>0</v>
      </c>
      <c r="K278" s="18">
        <v>0</v>
      </c>
      <c r="L278" s="13">
        <f>SUM(F278:K278)</f>
        <v>160856.4051488284</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2752.5649145028501</v>
      </c>
      <c r="G280" s="18">
        <v>0</v>
      </c>
      <c r="H280" s="18">
        <v>7862.0612856238131</v>
      </c>
      <c r="I280" s="18">
        <v>5437.2706776440791</v>
      </c>
      <c r="J280" s="18">
        <v>497.80979100696646</v>
      </c>
      <c r="K280" s="18">
        <v>0</v>
      </c>
      <c r="L280" s="13">
        <f>SUM(F280:K280)</f>
        <v>16549.706668777708</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0</v>
      </c>
      <c r="G282" s="18">
        <v>0</v>
      </c>
      <c r="H282" s="18">
        <v>0</v>
      </c>
      <c r="I282" s="18">
        <v>1426.1544395186829</v>
      </c>
      <c r="J282" s="18">
        <v>0</v>
      </c>
      <c r="K282" s="18">
        <v>0</v>
      </c>
      <c r="L282" s="13">
        <f t="shared" ref="L282:L288" si="12">SUM(F282:K282)</f>
        <v>1426.1544395186829</v>
      </c>
      <c r="M282" s="8"/>
      <c r="N282" s="164"/>
    </row>
    <row r="283" spans="1:14" s="3" customFormat="1" ht="12.2" customHeight="1" x14ac:dyDescent="0.15">
      <c r="A283" s="1" t="s">
        <v>443</v>
      </c>
      <c r="B283" s="2" t="s">
        <v>357</v>
      </c>
      <c r="C283" s="2" t="s">
        <v>295</v>
      </c>
      <c r="D283" s="2" t="s">
        <v>431</v>
      </c>
      <c r="E283" s="6">
        <v>2200</v>
      </c>
      <c r="F283" s="18">
        <v>15790.19536415453</v>
      </c>
      <c r="G283" s="18">
        <v>0</v>
      </c>
      <c r="H283" s="18">
        <v>31268.822849905006</v>
      </c>
      <c r="I283" s="18">
        <v>10710.460398986703</v>
      </c>
      <c r="J283" s="18">
        <v>0</v>
      </c>
      <c r="K283" s="18">
        <v>0</v>
      </c>
      <c r="L283" s="13">
        <f t="shared" si="12"/>
        <v>57769.478613046238</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11363.037365421154</v>
      </c>
      <c r="G287" s="18">
        <v>0</v>
      </c>
      <c r="H287" s="18">
        <v>0</v>
      </c>
      <c r="I287" s="18">
        <v>0</v>
      </c>
      <c r="J287" s="18">
        <v>25344.943635212163</v>
      </c>
      <c r="K287" s="18">
        <v>0</v>
      </c>
      <c r="L287" s="13">
        <f t="shared" si="12"/>
        <v>36707.981000633314</v>
      </c>
      <c r="M287" s="8"/>
      <c r="N287" s="164"/>
    </row>
    <row r="288" spans="1:14" s="3" customFormat="1" ht="12.2" customHeight="1" x14ac:dyDescent="0.15">
      <c r="A288" s="1" t="s">
        <v>448</v>
      </c>
      <c r="B288" s="2" t="s">
        <v>357</v>
      </c>
      <c r="C288" s="2" t="s">
        <v>300</v>
      </c>
      <c r="D288" s="2" t="s">
        <v>431</v>
      </c>
      <c r="E288" s="6">
        <v>2700</v>
      </c>
      <c r="F288" s="18">
        <v>0</v>
      </c>
      <c r="G288" s="18">
        <v>0</v>
      </c>
      <c r="H288" s="18">
        <v>3998.16</v>
      </c>
      <c r="I288" s="18">
        <v>0</v>
      </c>
      <c r="J288" s="18">
        <v>0</v>
      </c>
      <c r="K288" s="18">
        <v>0</v>
      </c>
      <c r="L288" s="13">
        <f t="shared" si="12"/>
        <v>3998.16</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66229.037479417355</v>
      </c>
      <c r="G291" s="39">
        <f t="shared" si="13"/>
        <v>1396.8087270424321</v>
      </c>
      <c r="H291" s="39">
        <f t="shared" si="13"/>
        <v>185458.64826472453</v>
      </c>
      <c r="I291" s="39">
        <f t="shared" si="13"/>
        <v>69642.234825839143</v>
      </c>
      <c r="J291" s="39">
        <f t="shared" si="13"/>
        <v>34112.508898036736</v>
      </c>
      <c r="K291" s="39">
        <f t="shared" si="13"/>
        <v>0</v>
      </c>
      <c r="L291" s="38">
        <f t="shared" si="13"/>
        <v>356839.23819506023</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26584.851931602279</v>
      </c>
      <c r="G296" s="18">
        <v>955.62614312856238</v>
      </c>
      <c r="H296" s="18">
        <v>833.04265991133627</v>
      </c>
      <c r="I296" s="18">
        <v>27221.77241291957</v>
      </c>
      <c r="J296" s="18">
        <v>6451.7145281823941</v>
      </c>
      <c r="K296" s="18">
        <v>0</v>
      </c>
      <c r="L296" s="13">
        <f>SUM(F296:K296)</f>
        <v>62047.007675744142</v>
      </c>
      <c r="M296" s="8"/>
      <c r="N296" s="164"/>
    </row>
    <row r="297" spans="1:14" s="3" customFormat="1" ht="12.2" customHeight="1" x14ac:dyDescent="0.15">
      <c r="A297" s="1" t="s">
        <v>439</v>
      </c>
      <c r="B297" s="2" t="s">
        <v>358</v>
      </c>
      <c r="C297" s="2" t="s">
        <v>291</v>
      </c>
      <c r="D297" s="2" t="s">
        <v>431</v>
      </c>
      <c r="E297" s="6">
        <v>1200</v>
      </c>
      <c r="F297" s="18">
        <v>1753.008233058898</v>
      </c>
      <c r="G297" s="18">
        <v>134.1051298290057</v>
      </c>
      <c r="H297" s="18">
        <v>110206.51321089297</v>
      </c>
      <c r="I297" s="18">
        <v>13399.758277390754</v>
      </c>
      <c r="J297" s="18">
        <v>0</v>
      </c>
      <c r="K297" s="18">
        <v>0</v>
      </c>
      <c r="L297" s="13">
        <f>SUM(F297:K297)</f>
        <v>125493.38485117162</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2147.4350854971503</v>
      </c>
      <c r="G299" s="18">
        <v>0</v>
      </c>
      <c r="H299" s="18">
        <v>6133.6487143761869</v>
      </c>
      <c r="I299" s="18">
        <v>4241.9293223559216</v>
      </c>
      <c r="J299" s="18">
        <v>388.37020899303354</v>
      </c>
      <c r="K299" s="18">
        <v>0</v>
      </c>
      <c r="L299" s="13">
        <f>SUM(F299:K299)</f>
        <v>12911.383331222292</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0</v>
      </c>
      <c r="I301" s="18">
        <v>1112.6300000000001</v>
      </c>
      <c r="J301" s="18">
        <v>0</v>
      </c>
      <c r="K301" s="18">
        <v>0</v>
      </c>
      <c r="L301" s="13">
        <f t="shared" ref="L301:L307" si="14">SUM(F301:K301)</f>
        <v>1112.6300000000001</v>
      </c>
      <c r="M301" s="8"/>
      <c r="N301" s="164"/>
    </row>
    <row r="302" spans="1:14" s="3" customFormat="1" ht="12.2" customHeight="1" x14ac:dyDescent="0.15">
      <c r="A302" s="1" t="s">
        <v>443</v>
      </c>
      <c r="B302" s="2" t="s">
        <v>358</v>
      </c>
      <c r="C302" s="2" t="s">
        <v>295</v>
      </c>
      <c r="D302" s="2" t="s">
        <v>431</v>
      </c>
      <c r="E302" s="6">
        <v>2200</v>
      </c>
      <c r="F302" s="18">
        <v>12318.84</v>
      </c>
      <c r="G302" s="18">
        <v>0</v>
      </c>
      <c r="H302" s="18">
        <v>24394.62</v>
      </c>
      <c r="I302" s="18">
        <v>8355.85</v>
      </c>
      <c r="J302" s="18">
        <v>0</v>
      </c>
      <c r="K302" s="18">
        <v>0</v>
      </c>
      <c r="L302" s="13">
        <f t="shared" si="14"/>
        <v>45069.31</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8864.9599999999991</v>
      </c>
      <c r="G306" s="18">
        <v>0</v>
      </c>
      <c r="H306" s="18">
        <v>0</v>
      </c>
      <c r="I306" s="18">
        <v>0</v>
      </c>
      <c r="J306" s="18">
        <v>19773.060000000001</v>
      </c>
      <c r="K306" s="18">
        <v>0</v>
      </c>
      <c r="L306" s="13">
        <f t="shared" si="14"/>
        <v>28638.02</v>
      </c>
      <c r="M306" s="8"/>
      <c r="N306" s="164"/>
    </row>
    <row r="307" spans="1:14" s="3" customFormat="1" ht="12.2" customHeight="1" x14ac:dyDescent="0.15">
      <c r="A307" s="1" t="s">
        <v>448</v>
      </c>
      <c r="B307" s="2" t="s">
        <v>358</v>
      </c>
      <c r="C307" s="2" t="s">
        <v>300</v>
      </c>
      <c r="D307" s="2" t="s">
        <v>431</v>
      </c>
      <c r="E307" s="6">
        <v>2700</v>
      </c>
      <c r="F307" s="18">
        <v>0</v>
      </c>
      <c r="G307" s="18">
        <v>0</v>
      </c>
      <c r="H307" s="18">
        <v>3119.19</v>
      </c>
      <c r="I307" s="18">
        <v>0</v>
      </c>
      <c r="J307" s="18">
        <v>0</v>
      </c>
      <c r="K307" s="18">
        <v>0</v>
      </c>
      <c r="L307" s="13">
        <f t="shared" si="14"/>
        <v>3119.19</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51669.095250158331</v>
      </c>
      <c r="G310" s="39">
        <f t="shared" si="15"/>
        <v>1089.7312729575681</v>
      </c>
      <c r="H310" s="39">
        <f t="shared" si="15"/>
        <v>144687.0145851805</v>
      </c>
      <c r="I310" s="39">
        <f t="shared" si="15"/>
        <v>54331.940012666244</v>
      </c>
      <c r="J310" s="39">
        <f t="shared" si="15"/>
        <v>26613.144737175429</v>
      </c>
      <c r="K310" s="39">
        <f t="shared" si="15"/>
        <v>0</v>
      </c>
      <c r="L310" s="38">
        <f t="shared" si="15"/>
        <v>278390.92585813807</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v>5502</v>
      </c>
      <c r="I336" s="18"/>
      <c r="J336" s="18"/>
      <c r="K336" s="18"/>
      <c r="L336" s="13">
        <f t="shared" si="18"/>
        <v>5502</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5502</v>
      </c>
      <c r="I338" s="38">
        <f t="shared" si="19"/>
        <v>0</v>
      </c>
      <c r="J338" s="38">
        <f t="shared" si="19"/>
        <v>0</v>
      </c>
      <c r="K338" s="38">
        <f t="shared" si="19"/>
        <v>0</v>
      </c>
      <c r="L338" s="38">
        <f t="shared" si="18"/>
        <v>5502</v>
      </c>
      <c r="M338" s="8"/>
      <c r="N338" s="164"/>
    </row>
    <row r="339" spans="1:43" s="3" customFormat="1" ht="12.2" customHeight="1" thickTop="1" x14ac:dyDescent="0.15">
      <c r="A339" s="35" t="s">
        <v>468</v>
      </c>
      <c r="B339" s="37">
        <v>14</v>
      </c>
      <c r="C339" s="37">
        <v>7</v>
      </c>
      <c r="D339" s="36" t="s">
        <v>431</v>
      </c>
      <c r="E339" s="37"/>
      <c r="F339" s="38">
        <f t="shared" ref="F339:L339" si="20">F291+F310+F329+F338</f>
        <v>117898.13272957568</v>
      </c>
      <c r="G339" s="38">
        <f t="shared" si="20"/>
        <v>2486.54</v>
      </c>
      <c r="H339" s="38">
        <f t="shared" si="20"/>
        <v>335647.66284990503</v>
      </c>
      <c r="I339" s="38">
        <f t="shared" si="20"/>
        <v>123974.17483850539</v>
      </c>
      <c r="J339" s="38">
        <f t="shared" si="20"/>
        <v>60725.653635212162</v>
      </c>
      <c r="K339" s="38">
        <f t="shared" si="20"/>
        <v>0</v>
      </c>
      <c r="L339" s="38">
        <f t="shared" si="20"/>
        <v>640732.1640531983</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117898.13272957568</v>
      </c>
      <c r="G353" s="38">
        <f>G339</f>
        <v>2486.54</v>
      </c>
      <c r="H353" s="38">
        <f>H339</f>
        <v>335647.66284990503</v>
      </c>
      <c r="I353" s="38">
        <f>I339</f>
        <v>123974.17483850539</v>
      </c>
      <c r="J353" s="38">
        <f>J339</f>
        <v>60725.653635212162</v>
      </c>
      <c r="K353" s="38">
        <f>K339+K352</f>
        <v>0</v>
      </c>
      <c r="L353" s="38">
        <f>L339+L352</f>
        <v>640732.1640531983</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114020.09190626981</v>
      </c>
      <c r="G359" s="18">
        <v>2774.75</v>
      </c>
      <c r="H359" s="18">
        <v>0</v>
      </c>
      <c r="I359" s="18">
        <v>101721.74983533882</v>
      </c>
      <c r="J359" s="18">
        <v>0</v>
      </c>
      <c r="K359" s="18">
        <v>12049.493350221661</v>
      </c>
      <c r="L359" s="13">
        <f>SUM(F359:K359)</f>
        <v>230566.08509183029</v>
      </c>
      <c r="M359" s="8"/>
      <c r="N359" s="164"/>
    </row>
    <row r="360" spans="1:22" s="3" customFormat="1" ht="12.2" customHeight="1" x14ac:dyDescent="0.15">
      <c r="A360" s="1" t="s">
        <v>542</v>
      </c>
      <c r="B360" s="2" t="s">
        <v>366</v>
      </c>
      <c r="C360" s="6">
        <v>2</v>
      </c>
      <c r="D360" s="2" t="s">
        <v>431</v>
      </c>
      <c r="E360" s="6"/>
      <c r="F360" s="18">
        <v>88953.668093730215</v>
      </c>
      <c r="G360" s="18">
        <v>2164.75</v>
      </c>
      <c r="H360" s="18">
        <v>0</v>
      </c>
      <c r="I360" s="18">
        <v>79359.020164661182</v>
      </c>
      <c r="J360" s="18">
        <v>0</v>
      </c>
      <c r="K360" s="18">
        <v>9400.5066497783409</v>
      </c>
      <c r="L360" s="13">
        <f>SUM(F360:K360)</f>
        <v>179877.94490816974</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202973.76</v>
      </c>
      <c r="G363" s="38">
        <f t="shared" si="22"/>
        <v>4939.5</v>
      </c>
      <c r="H363" s="38">
        <f t="shared" si="22"/>
        <v>0</v>
      </c>
      <c r="I363" s="38">
        <f t="shared" si="22"/>
        <v>181080.77000000002</v>
      </c>
      <c r="J363" s="38">
        <f t="shared" si="22"/>
        <v>0</v>
      </c>
      <c r="K363" s="38">
        <f t="shared" si="22"/>
        <v>21450</v>
      </c>
      <c r="L363" s="38">
        <f t="shared" si="22"/>
        <v>410444.03</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87180.37632045598</v>
      </c>
      <c r="G368" s="18">
        <v>68014.453679544007</v>
      </c>
      <c r="H368" s="18">
        <v>0</v>
      </c>
      <c r="I368" s="13">
        <f>SUM(F368:H368)</f>
        <v>155194.82999999999</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14541.373514882838</v>
      </c>
      <c r="G369" s="53">
        <v>11344.566485117162</v>
      </c>
      <c r="H369" s="53">
        <v>0</v>
      </c>
      <c r="I369" s="13">
        <f>SUM(F369:H369)</f>
        <v>25885.940000000002</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101721.74983533882</v>
      </c>
      <c r="G370" s="38">
        <f>SUM(G368:G369)</f>
        <v>79359.020164661168</v>
      </c>
      <c r="H370" s="38">
        <f>SUM(H368:H369)</f>
        <v>0</v>
      </c>
      <c r="I370" s="38">
        <f>SUM(I368:I369)</f>
        <v>181080.77</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v>1273888</v>
      </c>
      <c r="H389" s="18">
        <v>46892.03</v>
      </c>
      <c r="I389" s="18"/>
      <c r="J389" s="23" t="s">
        <v>288</v>
      </c>
      <c r="K389" s="23" t="s">
        <v>288</v>
      </c>
      <c r="L389" s="13">
        <f t="shared" si="25"/>
        <v>1320780.03</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1273888</v>
      </c>
      <c r="H394" s="97">
        <f>SUM(H388:H393)</f>
        <v>46892.03</v>
      </c>
      <c r="I394" s="54">
        <f>SUM(I388:I393)</f>
        <v>0</v>
      </c>
      <c r="J394" s="42" t="s">
        <v>288</v>
      </c>
      <c r="K394" s="42" t="s">
        <v>288</v>
      </c>
      <c r="L394" s="38">
        <f>SUM(L388:L393)</f>
        <v>1320780.03</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1273888</v>
      </c>
      <c r="H409" s="38">
        <f>H394+H402+H408</f>
        <v>46892.03</v>
      </c>
      <c r="I409" s="38">
        <f>I394+I402+I408</f>
        <v>0</v>
      </c>
      <c r="J409" s="23" t="s">
        <v>288</v>
      </c>
      <c r="K409" s="23" t="s">
        <v>288</v>
      </c>
      <c r="L409" s="38">
        <f>L394+L402+L408</f>
        <v>1320780.03</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2042273.69</v>
      </c>
      <c r="G443" s="18"/>
      <c r="H443" s="18"/>
      <c r="I443" s="13">
        <f t="shared" si="33"/>
        <v>2042273.69</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2042273.69</v>
      </c>
      <c r="G447" s="13">
        <f>SUM(G440:G446)</f>
        <v>0</v>
      </c>
      <c r="H447" s="13">
        <f>SUM(H440:H446)</f>
        <v>0</v>
      </c>
      <c r="I447" s="13">
        <f>SUM(I440:I446)</f>
        <v>2042273.69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2042273.69</v>
      </c>
      <c r="G460" s="18"/>
      <c r="H460" s="18"/>
      <c r="I460" s="13">
        <f t="shared" si="34"/>
        <v>2042273.69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2042273.69</v>
      </c>
      <c r="G461" s="65">
        <f>SUM(G455:G460)</f>
        <v>0</v>
      </c>
      <c r="H461" s="65">
        <f>SUM(H455:H460)</f>
        <v>0</v>
      </c>
      <c r="I461" s="65">
        <f>SUM(I455:I460)</f>
        <v>2042273.69</v>
      </c>
      <c r="J461" s="23" t="s">
        <v>288</v>
      </c>
      <c r="K461" s="23" t="s">
        <v>288</v>
      </c>
      <c r="L461" s="23" t="s">
        <v>288</v>
      </c>
      <c r="N461" s="130"/>
    </row>
    <row r="462" spans="1:86" ht="12.2" customHeight="1" thickTop="1" x14ac:dyDescent="0.2">
      <c r="A462" s="40" t="s">
        <v>424</v>
      </c>
      <c r="B462" s="41">
        <v>18</v>
      </c>
      <c r="C462" s="64">
        <v>21</v>
      </c>
      <c r="D462" s="114" t="s">
        <v>432</v>
      </c>
      <c r="E462" s="64"/>
      <c r="F462" s="39">
        <f>F453+F461</f>
        <v>2042273.69</v>
      </c>
      <c r="G462" s="39">
        <f>G453+G461</f>
        <v>0</v>
      </c>
      <c r="H462" s="39">
        <f>H453+H461</f>
        <v>0</v>
      </c>
      <c r="I462" s="39">
        <f>I453+I461</f>
        <v>2042273.69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2463089.62</v>
      </c>
      <c r="G466" s="18">
        <v>78666.64</v>
      </c>
      <c r="H466" s="18">
        <v>0</v>
      </c>
      <c r="I466" s="18"/>
      <c r="J466" s="18">
        <v>721493.66</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32005773.149999999</v>
      </c>
      <c r="G469" s="18">
        <v>395612.75</v>
      </c>
      <c r="H469" s="18">
        <v>640732.16000000003</v>
      </c>
      <c r="I469" s="18"/>
      <c r="J469" s="18">
        <v>1320780.03</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32005773.149999999</v>
      </c>
      <c r="G471" s="19">
        <f>SUM(G469:G470)</f>
        <v>395612.75</v>
      </c>
      <c r="H471" s="19">
        <f>SUM(H469:H470)</f>
        <v>640732.16000000003</v>
      </c>
      <c r="I471" s="19">
        <f>SUM(I469:I470)</f>
        <v>0</v>
      </c>
      <c r="J471" s="19">
        <f>SUM(J469:J470)</f>
        <v>1320780.03</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32890450.170000002</v>
      </c>
      <c r="G473" s="18">
        <v>410444.03</v>
      </c>
      <c r="H473" s="18">
        <v>640732.16000000003</v>
      </c>
      <c r="I473" s="18"/>
      <c r="J473" s="18"/>
      <c r="K473" s="23" t="s">
        <v>288</v>
      </c>
      <c r="L473" s="23" t="s">
        <v>288</v>
      </c>
      <c r="N473" s="130"/>
    </row>
    <row r="474" spans="1:14" ht="12.2" customHeight="1" x14ac:dyDescent="0.2">
      <c r="A474" s="71" t="s">
        <v>613</v>
      </c>
      <c r="B474" s="22">
        <v>19</v>
      </c>
      <c r="C474" s="31">
        <v>6</v>
      </c>
      <c r="D474" s="2" t="s">
        <v>432</v>
      </c>
      <c r="E474" s="31"/>
      <c r="F474" s="18">
        <v>0.9</v>
      </c>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32890451.07</v>
      </c>
      <c r="G475" s="19">
        <f>SUM(G473:G474)</f>
        <v>410444.03</v>
      </c>
      <c r="H475" s="19">
        <f>SUM(H473:H474)</f>
        <v>640732.16000000003</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1578411.6999999955</v>
      </c>
      <c r="G477" s="19">
        <f>(G466+G471)- G475</f>
        <v>63835.359999999986</v>
      </c>
      <c r="H477" s="19">
        <f>(H466+H471)- H475</f>
        <v>0</v>
      </c>
      <c r="I477" s="19">
        <f>(I466+I471)- I475</f>
        <v>0</v>
      </c>
      <c r="J477" s="19">
        <f>(J466+J471)- J475</f>
        <v>2042273.69</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1841</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1607205.431766941</v>
      </c>
      <c r="G522" s="18">
        <v>944354.93487017101</v>
      </c>
      <c r="H522" s="18">
        <v>1032402.276789107</v>
      </c>
      <c r="I522" s="18">
        <v>28407.861722609246</v>
      </c>
      <c r="J522" s="18">
        <v>1440.55</v>
      </c>
      <c r="K522" s="18">
        <v>1438.38</v>
      </c>
      <c r="L522" s="69">
        <f>SUM(F522:K522)</f>
        <v>3615249.4351488277</v>
      </c>
      <c r="N522" s="130"/>
    </row>
    <row r="523" spans="1:14" ht="12.2" customHeight="1" x14ac:dyDescent="0.2">
      <c r="A523" s="21" t="s">
        <v>634</v>
      </c>
      <c r="B523" s="22">
        <v>21</v>
      </c>
      <c r="C523" s="22">
        <v>2</v>
      </c>
      <c r="D523" s="2" t="s">
        <v>432</v>
      </c>
      <c r="E523" s="22"/>
      <c r="F523" s="18">
        <v>1130538.7182330589</v>
      </c>
      <c r="G523" s="18">
        <v>664188.88512982905</v>
      </c>
      <c r="H523" s="18">
        <v>844956.65321089304</v>
      </c>
      <c r="I523" s="18">
        <v>19644.848277390753</v>
      </c>
      <c r="J523" s="18">
        <v>1123.8499999999999</v>
      </c>
      <c r="K523" s="18">
        <v>1122.1600000000001</v>
      </c>
      <c r="L523" s="69">
        <f>SUM(F523:K523)</f>
        <v>2661575.1148511725</v>
      </c>
      <c r="N523" s="130"/>
    </row>
    <row r="524" spans="1:14" ht="12.2" customHeight="1" thickBot="1" x14ac:dyDescent="0.25">
      <c r="A524" s="21" t="s">
        <v>635</v>
      </c>
      <c r="B524" s="22">
        <v>21</v>
      </c>
      <c r="C524" s="22">
        <v>3</v>
      </c>
      <c r="D524" s="2" t="s">
        <v>432</v>
      </c>
      <c r="E524" s="22"/>
      <c r="F524" s="18">
        <v>182542</v>
      </c>
      <c r="G524" s="18">
        <v>107387.87</v>
      </c>
      <c r="H524" s="18">
        <v>1983998.09</v>
      </c>
      <c r="I524" s="18">
        <v>0</v>
      </c>
      <c r="J524" s="18">
        <v>0</v>
      </c>
      <c r="K524" s="18">
        <v>0</v>
      </c>
      <c r="L524" s="69">
        <f>SUM(F524:K524)</f>
        <v>2273927.96</v>
      </c>
      <c r="N524" s="130"/>
    </row>
    <row r="525" spans="1:14" ht="12.2" customHeight="1" thickTop="1" x14ac:dyDescent="0.2">
      <c r="A525" s="97" t="s">
        <v>63</v>
      </c>
      <c r="B525" s="41">
        <v>21</v>
      </c>
      <c r="C525" s="41">
        <v>4</v>
      </c>
      <c r="D525" s="115" t="s">
        <v>432</v>
      </c>
      <c r="E525" s="41"/>
      <c r="F525" s="81">
        <f>SUM(F522:F524)</f>
        <v>2920286.15</v>
      </c>
      <c r="G525" s="81">
        <f t="shared" ref="G525:L525" si="36">SUM(G522:G524)</f>
        <v>1715931.69</v>
      </c>
      <c r="H525" s="81">
        <f t="shared" si="36"/>
        <v>3861357.0200000005</v>
      </c>
      <c r="I525" s="81">
        <f t="shared" si="36"/>
        <v>48052.71</v>
      </c>
      <c r="J525" s="81">
        <f t="shared" si="36"/>
        <v>2564.3999999999996</v>
      </c>
      <c r="K525" s="81">
        <f t="shared" si="36"/>
        <v>2560.54</v>
      </c>
      <c r="L525" s="70">
        <f t="shared" si="36"/>
        <v>8550752.5100000016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173141.56950406157</v>
      </c>
      <c r="G527" s="18">
        <v>101857.67</v>
      </c>
      <c r="H527" s="18">
        <v>2423.8431726888639</v>
      </c>
      <c r="I527" s="18">
        <v>2190.8224145999066</v>
      </c>
      <c r="J527" s="18">
        <v>631.68078850554969</v>
      </c>
      <c r="K527" s="18">
        <v>0</v>
      </c>
      <c r="L527" s="69">
        <f>SUM(F527:K527)</f>
        <v>280245.58587985585</v>
      </c>
      <c r="M527" s="8"/>
      <c r="N527" s="164"/>
    </row>
    <row r="528" spans="1:14" s="3" customFormat="1" ht="12.2" customHeight="1" x14ac:dyDescent="0.15">
      <c r="A528" s="21" t="s">
        <v>634</v>
      </c>
      <c r="B528" s="22">
        <v>21</v>
      </c>
      <c r="C528" s="22">
        <v>6</v>
      </c>
      <c r="D528" s="2" t="s">
        <v>432</v>
      </c>
      <c r="E528" s="22"/>
      <c r="F528" s="18">
        <v>135077.75208208637</v>
      </c>
      <c r="G528" s="18">
        <v>79465.06</v>
      </c>
      <c r="H528" s="18">
        <v>1676.1568273111357</v>
      </c>
      <c r="I528" s="18">
        <v>1709.1775854000937</v>
      </c>
      <c r="J528" s="18">
        <v>492.80921149445044</v>
      </c>
      <c r="K528" s="18">
        <v>0</v>
      </c>
      <c r="L528" s="69">
        <f>SUM(F528:K528)</f>
        <v>218420.95570629206</v>
      </c>
      <c r="M528" s="8"/>
      <c r="N528" s="164"/>
    </row>
    <row r="529" spans="1:14" s="3" customFormat="1" ht="12.2" customHeight="1" thickBot="1" x14ac:dyDescent="0.2">
      <c r="A529" s="21" t="s">
        <v>635</v>
      </c>
      <c r="B529" s="22">
        <v>21</v>
      </c>
      <c r="C529" s="22">
        <v>7</v>
      </c>
      <c r="D529" s="2" t="s">
        <v>432</v>
      </c>
      <c r="E529" s="22"/>
      <c r="F529" s="18">
        <v>148351.28841385207</v>
      </c>
      <c r="G529" s="18">
        <v>87273.77</v>
      </c>
      <c r="H529" s="18">
        <v>0</v>
      </c>
      <c r="I529" s="18">
        <v>0</v>
      </c>
      <c r="J529" s="18">
        <v>0</v>
      </c>
      <c r="K529" s="18">
        <v>0</v>
      </c>
      <c r="L529" s="69">
        <f>SUM(F529:K529)</f>
        <v>235625.05841385206</v>
      </c>
      <c r="M529" s="8"/>
      <c r="N529" s="164"/>
    </row>
    <row r="530" spans="1:14" s="3" customFormat="1" ht="12.2" customHeight="1" thickTop="1" x14ac:dyDescent="0.15">
      <c r="A530" s="97" t="s">
        <v>65</v>
      </c>
      <c r="B530" s="41">
        <v>21</v>
      </c>
      <c r="C530" s="41">
        <v>8</v>
      </c>
      <c r="D530" s="115" t="s">
        <v>432</v>
      </c>
      <c r="E530" s="41"/>
      <c r="F530" s="70">
        <f>SUM(F527:F529)</f>
        <v>456570.61</v>
      </c>
      <c r="G530" s="70">
        <f t="shared" ref="G530:L530" si="37">SUM(G527:G529)</f>
        <v>268596.5</v>
      </c>
      <c r="H530" s="70">
        <f t="shared" si="37"/>
        <v>4100</v>
      </c>
      <c r="I530" s="70">
        <f t="shared" si="37"/>
        <v>3900</v>
      </c>
      <c r="J530" s="70">
        <f t="shared" si="37"/>
        <v>1124.4900000000002</v>
      </c>
      <c r="K530" s="70">
        <f t="shared" si="37"/>
        <v>0</v>
      </c>
      <c r="L530" s="70">
        <f t="shared" si="37"/>
        <v>734291.6</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42654.77</f>
        <v>42654.77</v>
      </c>
      <c r="G532" s="18"/>
      <c r="H532" s="18"/>
      <c r="I532" s="18"/>
      <c r="J532" s="18"/>
      <c r="K532" s="18"/>
      <c r="L532" s="69">
        <f>SUM(F532:K532)</f>
        <v>42654.77</v>
      </c>
      <c r="M532" s="8"/>
      <c r="N532" s="164"/>
    </row>
    <row r="533" spans="1:14" s="3" customFormat="1" ht="12.2" customHeight="1" x14ac:dyDescent="0.15">
      <c r="A533" s="21" t="s">
        <v>634</v>
      </c>
      <c r="B533" s="22">
        <v>21</v>
      </c>
      <c r="C533" s="22">
        <v>10</v>
      </c>
      <c r="D533" s="2" t="s">
        <v>432</v>
      </c>
      <c r="E533" s="22"/>
      <c r="F533" s="18">
        <v>42654.77</v>
      </c>
      <c r="G533" s="18"/>
      <c r="H533" s="18"/>
      <c r="I533" s="18"/>
      <c r="J533" s="18"/>
      <c r="K533" s="18"/>
      <c r="L533" s="69">
        <f>SUM(F533:K533)</f>
        <v>42654.77</v>
      </c>
      <c r="M533" s="8"/>
      <c r="N533" s="164"/>
    </row>
    <row r="534" spans="1:14" s="3" customFormat="1" ht="12.2" customHeight="1" thickBot="1" x14ac:dyDescent="0.2">
      <c r="A534" s="21" t="s">
        <v>635</v>
      </c>
      <c r="B534" s="22">
        <v>21</v>
      </c>
      <c r="C534" s="22">
        <v>11</v>
      </c>
      <c r="D534" s="2" t="s">
        <v>432</v>
      </c>
      <c r="E534" s="22"/>
      <c r="F534" s="18">
        <v>150365.96</v>
      </c>
      <c r="G534" s="18"/>
      <c r="H534" s="18"/>
      <c r="I534" s="18"/>
      <c r="J534" s="18"/>
      <c r="K534" s="18"/>
      <c r="L534" s="69">
        <f>SUM(F534:K534)</f>
        <v>150365.96</v>
      </c>
      <c r="M534" s="8"/>
      <c r="N534" s="164"/>
    </row>
    <row r="535" spans="1:14" s="3" customFormat="1" ht="12.2" customHeight="1" thickTop="1" x14ac:dyDescent="0.15">
      <c r="A535" s="97" t="s">
        <v>67</v>
      </c>
      <c r="B535" s="41">
        <v>21</v>
      </c>
      <c r="C535" s="41">
        <v>12</v>
      </c>
      <c r="D535" s="115" t="s">
        <v>432</v>
      </c>
      <c r="E535" s="41"/>
      <c r="F535" s="70">
        <f>SUM(F532:F534)</f>
        <v>235675.5</v>
      </c>
      <c r="G535" s="70">
        <f t="shared" ref="G535:L535" si="38">SUM(G532:G534)</f>
        <v>0</v>
      </c>
      <c r="H535" s="70">
        <f t="shared" si="38"/>
        <v>0</v>
      </c>
      <c r="I535" s="70">
        <f t="shared" si="38"/>
        <v>0</v>
      </c>
      <c r="J535" s="70">
        <f t="shared" si="38"/>
        <v>0</v>
      </c>
      <c r="K535" s="70">
        <f t="shared" si="38"/>
        <v>0</v>
      </c>
      <c r="L535" s="70">
        <f t="shared" si="38"/>
        <v>235675.5</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3463.8136885421122</v>
      </c>
      <c r="I537" s="18"/>
      <c r="J537" s="18"/>
      <c r="K537" s="18"/>
      <c r="L537" s="69">
        <f>SUM(F537:K537)</f>
        <v>3463.8136885421122</v>
      </c>
      <c r="M537" s="8"/>
      <c r="N537" s="164"/>
    </row>
    <row r="538" spans="1:14" s="3" customFormat="1" ht="12.2" customHeight="1" x14ac:dyDescent="0.15">
      <c r="A538" s="21" t="s">
        <v>634</v>
      </c>
      <c r="B538" s="22">
        <v>21</v>
      </c>
      <c r="C538" s="22">
        <v>14</v>
      </c>
      <c r="D538" s="2" t="s">
        <v>432</v>
      </c>
      <c r="E538" s="22"/>
      <c r="F538" s="18"/>
      <c r="G538" s="18"/>
      <c r="H538" s="18">
        <v>2702.3213894826849</v>
      </c>
      <c r="I538" s="18"/>
      <c r="J538" s="18"/>
      <c r="K538" s="18"/>
      <c r="L538" s="69">
        <f>SUM(F538:K538)</f>
        <v>2702.3213894826849</v>
      </c>
      <c r="M538" s="8"/>
      <c r="N538" s="164"/>
    </row>
    <row r="539" spans="1:14" s="3" customFormat="1" ht="12.2" customHeight="1" thickBot="1" x14ac:dyDescent="0.2">
      <c r="A539" s="21" t="s">
        <v>635</v>
      </c>
      <c r="B539" s="22">
        <v>21</v>
      </c>
      <c r="C539" s="22">
        <v>15</v>
      </c>
      <c r="D539" s="2" t="s">
        <v>432</v>
      </c>
      <c r="E539" s="22"/>
      <c r="F539" s="18"/>
      <c r="G539" s="18"/>
      <c r="H539" s="18">
        <v>2967.8674219752029</v>
      </c>
      <c r="I539" s="18"/>
      <c r="J539" s="18"/>
      <c r="K539" s="18"/>
      <c r="L539" s="69">
        <f>SUM(F539:K539)</f>
        <v>2967.8674219752029</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9134.0025000000005</v>
      </c>
      <c r="I540" s="70">
        <f t="shared" si="39"/>
        <v>0</v>
      </c>
      <c r="J540" s="70">
        <f t="shared" si="39"/>
        <v>0</v>
      </c>
      <c r="K540" s="70">
        <f t="shared" si="39"/>
        <v>0</v>
      </c>
      <c r="L540" s="70">
        <f t="shared" si="39"/>
        <v>9134.0025000000005</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350254.26666666666</v>
      </c>
      <c r="I542" s="18"/>
      <c r="J542" s="18"/>
      <c r="K542" s="18"/>
      <c r="L542" s="69">
        <f>SUM(F542:K542)</f>
        <v>350254.26666666666</v>
      </c>
      <c r="M542" s="8"/>
      <c r="N542" s="164"/>
    </row>
    <row r="543" spans="1:14" s="3" customFormat="1" ht="12.2" customHeight="1" x14ac:dyDescent="0.15">
      <c r="A543" s="21" t="s">
        <v>634</v>
      </c>
      <c r="B543" s="22">
        <v>21</v>
      </c>
      <c r="C543" s="22">
        <v>18</v>
      </c>
      <c r="D543" s="2" t="s">
        <v>432</v>
      </c>
      <c r="E543" s="22"/>
      <c r="F543" s="18"/>
      <c r="G543" s="18"/>
      <c r="H543" s="18">
        <v>350254.26666666666</v>
      </c>
      <c r="I543" s="18"/>
      <c r="J543" s="18"/>
      <c r="K543" s="18"/>
      <c r="L543" s="69">
        <f>SUM(F543:K543)</f>
        <v>350254.26666666666</v>
      </c>
      <c r="M543" s="8"/>
      <c r="N543" s="164"/>
    </row>
    <row r="544" spans="1:14" s="3" customFormat="1" ht="12.2" customHeight="1" thickBot="1" x14ac:dyDescent="0.2">
      <c r="A544" s="21" t="s">
        <v>635</v>
      </c>
      <c r="B544" s="22">
        <v>21</v>
      </c>
      <c r="C544" s="22">
        <v>19</v>
      </c>
      <c r="D544" s="2" t="s">
        <v>432</v>
      </c>
      <c r="E544" s="22"/>
      <c r="F544" s="18"/>
      <c r="G544" s="18"/>
      <c r="H544" s="18">
        <v>350254.26666666666</v>
      </c>
      <c r="I544" s="18"/>
      <c r="J544" s="18"/>
      <c r="K544" s="18"/>
      <c r="L544" s="69">
        <f>SUM(F544:K544)</f>
        <v>350254.26666666666</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1050762.8</v>
      </c>
      <c r="I545" s="140">
        <f t="shared" si="40"/>
        <v>0</v>
      </c>
      <c r="J545" s="140">
        <f t="shared" si="40"/>
        <v>0</v>
      </c>
      <c r="K545" s="140">
        <f t="shared" si="40"/>
        <v>0</v>
      </c>
      <c r="L545" s="140">
        <f t="shared" si="40"/>
        <v>1050762.8</v>
      </c>
      <c r="M545" s="8"/>
      <c r="N545" s="164"/>
    </row>
    <row r="546" spans="1:14" s="3" customFormat="1" ht="12.2" customHeight="1" thickTop="1" x14ac:dyDescent="0.15">
      <c r="A546" s="75" t="s">
        <v>72</v>
      </c>
      <c r="B546" s="41">
        <v>21</v>
      </c>
      <c r="C546" s="41">
        <v>21</v>
      </c>
      <c r="D546" s="115" t="s">
        <v>432</v>
      </c>
      <c r="E546" s="41"/>
      <c r="F546" s="70">
        <f>F525+F530+F535+F540+F545</f>
        <v>3612532.26</v>
      </c>
      <c r="G546" s="70">
        <f t="shared" ref="G546:L546" si="41">G525+G530+G535+G540+G545</f>
        <v>1984528.19</v>
      </c>
      <c r="H546" s="70">
        <f t="shared" si="41"/>
        <v>4925353.8225000007</v>
      </c>
      <c r="I546" s="70">
        <f t="shared" si="41"/>
        <v>51952.71</v>
      </c>
      <c r="J546" s="70">
        <f t="shared" si="41"/>
        <v>3688.89</v>
      </c>
      <c r="K546" s="70">
        <f t="shared" si="41"/>
        <v>2560.54</v>
      </c>
      <c r="L546" s="70">
        <f t="shared" si="41"/>
        <v>10580616.412500001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3615249.4351488277</v>
      </c>
      <c r="G550" s="69">
        <f>L527</f>
        <v>280245.58587985585</v>
      </c>
      <c r="H550" s="69">
        <f>L532</f>
        <v>42654.77</v>
      </c>
      <c r="I550" s="69">
        <f>L537</f>
        <v>3463.8136885421122</v>
      </c>
      <c r="J550" s="69">
        <f>L542</f>
        <v>350254.26666666666</v>
      </c>
      <c r="K550" s="69">
        <f>SUM(F550:J550)</f>
        <v>4291867.8713838924</v>
      </c>
      <c r="L550" s="23" t="s">
        <v>288</v>
      </c>
      <c r="M550" s="8"/>
      <c r="N550" s="164"/>
    </row>
    <row r="551" spans="1:14" s="3" customFormat="1" ht="12.2" customHeight="1" x14ac:dyDescent="0.15">
      <c r="A551" s="21" t="s">
        <v>634</v>
      </c>
      <c r="B551" s="22">
        <v>21</v>
      </c>
      <c r="C551" s="22">
        <v>23</v>
      </c>
      <c r="D551" s="2" t="s">
        <v>432</v>
      </c>
      <c r="E551" s="22"/>
      <c r="F551" s="69">
        <f>L523</f>
        <v>2661575.1148511725</v>
      </c>
      <c r="G551" s="69">
        <f>L528</f>
        <v>218420.95570629206</v>
      </c>
      <c r="H551" s="69">
        <f>L533</f>
        <v>42654.77</v>
      </c>
      <c r="I551" s="69">
        <f>L538</f>
        <v>2702.3213894826849</v>
      </c>
      <c r="J551" s="69">
        <f>L543</f>
        <v>350254.26666666666</v>
      </c>
      <c r="K551" s="69">
        <f>SUM(F551:J551)</f>
        <v>3275607.4286136143</v>
      </c>
      <c r="L551" s="23" t="s">
        <v>288</v>
      </c>
      <c r="M551" s="8"/>
      <c r="N551" s="164"/>
    </row>
    <row r="552" spans="1:14" s="3" customFormat="1" ht="12.2" customHeight="1" thickBot="1" x14ac:dyDescent="0.2">
      <c r="A552" s="21" t="s">
        <v>635</v>
      </c>
      <c r="B552" s="22">
        <v>21</v>
      </c>
      <c r="C552" s="22">
        <v>24</v>
      </c>
      <c r="D552" s="2" t="s">
        <v>432</v>
      </c>
      <c r="E552" s="22"/>
      <c r="F552" s="69">
        <f>L524</f>
        <v>2273927.96</v>
      </c>
      <c r="G552" s="69">
        <f>L529</f>
        <v>235625.05841385206</v>
      </c>
      <c r="H552" s="69">
        <f>L534</f>
        <v>150365.96</v>
      </c>
      <c r="I552" s="69">
        <f>L539</f>
        <v>2967.8674219752029</v>
      </c>
      <c r="J552" s="69">
        <f>L544</f>
        <v>350254.26666666666</v>
      </c>
      <c r="K552" s="69">
        <f>SUM(F552:J552)</f>
        <v>3013141.1125024939</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8550752.5100000016</v>
      </c>
      <c r="G553" s="70">
        <f t="shared" si="42"/>
        <v>734291.6</v>
      </c>
      <c r="H553" s="70">
        <f t="shared" si="42"/>
        <v>235675.5</v>
      </c>
      <c r="I553" s="70">
        <f t="shared" si="42"/>
        <v>9134.0025000000005</v>
      </c>
      <c r="J553" s="70">
        <f t="shared" si="42"/>
        <v>1050762.8</v>
      </c>
      <c r="K553" s="70">
        <f t="shared" si="42"/>
        <v>10580616.412500001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5796164.7599999998</v>
      </c>
      <c r="I578" s="69">
        <f t="shared" si="47"/>
        <v>5796164.7599999998</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1245</v>
      </c>
      <c r="G580" s="18"/>
      <c r="H580" s="18">
        <v>91296.03</v>
      </c>
      <c r="I580" s="69">
        <f t="shared" si="47"/>
        <v>92541.03</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876568.43</v>
      </c>
      <c r="I582" s="69">
        <f t="shared" si="47"/>
        <v>876568.43</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436587.75</v>
      </c>
      <c r="G583" s="18">
        <v>381098.64</v>
      </c>
      <c r="H583" s="18">
        <v>1016133.63</v>
      </c>
      <c r="I583" s="69">
        <f t="shared" si="47"/>
        <v>1833820.02</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437832.75</v>
      </c>
      <c r="G589" s="79">
        <f t="shared" ref="G589:I589" si="48">SUM(G576:G588)</f>
        <v>381098.64</v>
      </c>
      <c r="H589" s="79">
        <f t="shared" si="48"/>
        <v>7780162.8499999996</v>
      </c>
      <c r="I589" s="79">
        <f t="shared" si="48"/>
        <v>8599094.2400000002</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247334.82333333333</v>
      </c>
      <c r="I592" s="18">
        <v>247334.82333333333</v>
      </c>
      <c r="J592" s="18">
        <v>247334.82333333333</v>
      </c>
      <c r="K592" s="80">
        <f t="shared" ref="K592:K598" si="49">SUM(H592:J592)</f>
        <v>742004.47</v>
      </c>
      <c r="L592" s="23" t="s">
        <v>288</v>
      </c>
      <c r="M592" s="8"/>
      <c r="N592" s="164"/>
    </row>
    <row r="593" spans="1:14" s="3" customFormat="1" ht="12.2" customHeight="1" x14ac:dyDescent="0.15">
      <c r="A593" s="3" t="s">
        <v>638</v>
      </c>
      <c r="B593" s="22">
        <v>23</v>
      </c>
      <c r="C593" s="22">
        <v>2</v>
      </c>
      <c r="D593" s="2" t="s">
        <v>432</v>
      </c>
      <c r="E593" s="22"/>
      <c r="F593" s="78">
        <v>2722</v>
      </c>
      <c r="G593" s="79" t="s">
        <v>97</v>
      </c>
      <c r="H593" s="18">
        <v>350254.27</v>
      </c>
      <c r="I593" s="18">
        <v>350254.27</v>
      </c>
      <c r="J593" s="18">
        <v>350254.27</v>
      </c>
      <c r="K593" s="80">
        <f t="shared" si="49"/>
        <v>1050762.81</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8098.99</v>
      </c>
      <c r="J595" s="18"/>
      <c r="K595" s="80">
        <f t="shared" si="49"/>
        <v>8098.99</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2658.41</v>
      </c>
      <c r="I596" s="18">
        <v>1074.06</v>
      </c>
      <c r="J596" s="18"/>
      <c r="K596" s="80">
        <f t="shared" si="49"/>
        <v>3732.47</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v>242.57</v>
      </c>
      <c r="J598" s="18"/>
      <c r="K598" s="80">
        <f t="shared" si="49"/>
        <v>242.57</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600247.50333333341</v>
      </c>
      <c r="I599" s="81">
        <f>SUM(I592:I598)</f>
        <v>607004.71333333338</v>
      </c>
      <c r="J599" s="81">
        <f>SUM(J592:J598)</f>
        <v>597589.09333333338</v>
      </c>
      <c r="K599" s="81">
        <f>SUM(K592:K598)</f>
        <v>1804841.31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165580.51</v>
      </c>
      <c r="I605" s="18">
        <v>122490.06</v>
      </c>
      <c r="J605" s="18"/>
      <c r="K605" s="80">
        <f>SUM(H605:J605)</f>
        <v>288070.57</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165580.51</v>
      </c>
      <c r="I606" s="81">
        <f>SUM(I603:I605)</f>
        <v>122490.06</v>
      </c>
      <c r="J606" s="81">
        <f>SUM(J603:J605)</f>
        <v>0</v>
      </c>
      <c r="K606" s="81">
        <f>SUM(K603:K605)</f>
        <v>288070.57</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2181935.5300000003</v>
      </c>
      <c r="H618" s="80">
        <f>SUM(F52)</f>
        <v>2181935.5300000003</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168333.75999999998</v>
      </c>
      <c r="H619" s="80">
        <f>SUM(G52)</f>
        <v>168333.76</v>
      </c>
      <c r="I619" s="87" t="s">
        <v>872</v>
      </c>
      <c r="J619" s="80">
        <f>G619-H619</f>
        <v>0</v>
      </c>
      <c r="K619" s="80"/>
      <c r="L619" s="80"/>
      <c r="M619" s="8"/>
    </row>
    <row r="620" spans="1:14" s="3" customFormat="1" ht="12.2" customHeight="1" x14ac:dyDescent="0.15">
      <c r="A620" s="74"/>
      <c r="B620" s="22"/>
      <c r="C620" s="22"/>
      <c r="D620" s="22"/>
      <c r="E620" s="22"/>
      <c r="F620" s="87" t="s">
        <v>685</v>
      </c>
      <c r="G620" s="80">
        <f>SUM(H19)</f>
        <v>45029.33</v>
      </c>
      <c r="H620" s="80">
        <f>SUM(H52)</f>
        <v>45029.33</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2042273.69</v>
      </c>
      <c r="H622" s="80">
        <f>SUM(J52)</f>
        <v>2042273.69</v>
      </c>
      <c r="I622" s="87" t="s">
        <v>875</v>
      </c>
      <c r="J622" s="80">
        <f>G622-H622</f>
        <v>0</v>
      </c>
      <c r="K622" s="80"/>
      <c r="L622" s="80"/>
      <c r="M622" s="8"/>
    </row>
    <row r="623" spans="1:14" s="3" customFormat="1" ht="12.2" customHeight="1" x14ac:dyDescent="0.15">
      <c r="A623" s="74"/>
      <c r="B623" s="22"/>
      <c r="C623" s="22"/>
      <c r="D623" s="22"/>
      <c r="E623" s="22"/>
      <c r="F623" s="87" t="s">
        <v>861</v>
      </c>
      <c r="G623" s="80">
        <f>F51</f>
        <v>1578411.7000000002</v>
      </c>
      <c r="H623" s="80">
        <f>F477</f>
        <v>1578411.6999999955</v>
      </c>
      <c r="I623" s="87" t="s">
        <v>101</v>
      </c>
      <c r="J623" s="80">
        <f t="shared" ref="J623:J656" si="51">G623-H623</f>
        <v>4.6566128730773926E-9</v>
      </c>
      <c r="K623" s="80"/>
      <c r="L623" s="80"/>
      <c r="M623" s="8"/>
    </row>
    <row r="624" spans="1:14" s="3" customFormat="1" ht="12.2" customHeight="1" x14ac:dyDescent="0.15">
      <c r="A624" s="74"/>
      <c r="B624" s="22"/>
      <c r="C624" s="85"/>
      <c r="D624" s="85"/>
      <c r="E624" s="85"/>
      <c r="F624" s="85" t="s">
        <v>862</v>
      </c>
      <c r="G624" s="80">
        <f>G51</f>
        <v>63835.360000000001</v>
      </c>
      <c r="H624" s="80">
        <f>G477</f>
        <v>63835.359999999986</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2042273.69</v>
      </c>
      <c r="H627" s="80">
        <f>J477</f>
        <v>2042273.69</v>
      </c>
      <c r="I627" s="87" t="s">
        <v>105</v>
      </c>
      <c r="J627" s="80">
        <f t="shared" si="51"/>
        <v>0</v>
      </c>
      <c r="K627" s="67"/>
      <c r="L627" s="69"/>
      <c r="M627" s="8"/>
    </row>
    <row r="628" spans="1:13" s="3" customFormat="1" ht="12.2" customHeight="1" x14ac:dyDescent="0.15">
      <c r="A628" s="21"/>
      <c r="B628" s="22"/>
      <c r="C628" s="22"/>
      <c r="D628" s="22"/>
      <c r="E628" s="22"/>
      <c r="F628" s="86" t="s">
        <v>658</v>
      </c>
      <c r="G628" s="80">
        <f>F194</f>
        <v>32005773.150000002</v>
      </c>
      <c r="H628" s="80">
        <f>SUM(F469)</f>
        <v>32005773.149999999</v>
      </c>
      <c r="I628" s="87" t="s">
        <v>106</v>
      </c>
      <c r="J628" s="80">
        <f>G628-H628</f>
        <v>0</v>
      </c>
      <c r="K628" s="67"/>
      <c r="L628" s="69"/>
      <c r="M628" s="8"/>
    </row>
    <row r="629" spans="1:13" s="3" customFormat="1" ht="12.2" customHeight="1" x14ac:dyDescent="0.15">
      <c r="A629" s="21"/>
      <c r="B629" s="22"/>
      <c r="C629" s="22"/>
      <c r="D629" s="22"/>
      <c r="E629" s="22"/>
      <c r="F629" s="86" t="s">
        <v>659</v>
      </c>
      <c r="G629" s="80">
        <f>G194</f>
        <v>395612.75</v>
      </c>
      <c r="H629" s="80">
        <f>SUM(G469)</f>
        <v>395612.75</v>
      </c>
      <c r="I629" s="87" t="s">
        <v>107</v>
      </c>
      <c r="J629" s="80">
        <f>G629-H629</f>
        <v>0</v>
      </c>
      <c r="K629" s="67"/>
      <c r="L629" s="69"/>
      <c r="M629" s="8"/>
    </row>
    <row r="630" spans="1:13" s="3" customFormat="1" ht="12.2" customHeight="1" x14ac:dyDescent="0.15">
      <c r="A630" s="21"/>
      <c r="B630" s="22"/>
      <c r="C630" s="22"/>
      <c r="D630" s="22"/>
      <c r="E630" s="22"/>
      <c r="F630" s="86" t="s">
        <v>660</v>
      </c>
      <c r="G630" s="80">
        <f>H194</f>
        <v>640732.16000000003</v>
      </c>
      <c r="H630" s="80">
        <f>SUM(H469)</f>
        <v>640732.16000000003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1320780.03</v>
      </c>
      <c r="H632" s="80">
        <f>SUM(J469)</f>
        <v>1320780.03</v>
      </c>
      <c r="I632" s="87" t="s">
        <v>110</v>
      </c>
      <c r="J632" s="80">
        <f>G632-H632</f>
        <v>0</v>
      </c>
      <c r="K632" s="67"/>
      <c r="L632" s="69"/>
      <c r="M632" s="8"/>
    </row>
    <row r="633" spans="1:13" s="3" customFormat="1" ht="12.2" customHeight="1" x14ac:dyDescent="0.15">
      <c r="A633" s="21"/>
      <c r="B633" s="22"/>
      <c r="C633" s="22"/>
      <c r="D633" s="22"/>
      <c r="E633" s="22"/>
      <c r="F633" s="86" t="s">
        <v>394</v>
      </c>
      <c r="G633" s="80">
        <f>SUM(L272)</f>
        <v>32890450.170000002</v>
      </c>
      <c r="H633" s="80">
        <f>SUM(F473)</f>
        <v>32890450.170000002</v>
      </c>
      <c r="I633" s="87" t="s">
        <v>111</v>
      </c>
      <c r="J633" s="80">
        <f t="shared" si="51"/>
        <v>0</v>
      </c>
      <c r="K633" s="67"/>
      <c r="L633" s="69"/>
      <c r="M633" s="8"/>
    </row>
    <row r="634" spans="1:13" s="3" customFormat="1" ht="12.2" customHeight="1" x14ac:dyDescent="0.15">
      <c r="A634" s="21"/>
      <c r="B634" s="22"/>
      <c r="C634" s="22"/>
      <c r="D634" s="22"/>
      <c r="E634" s="22"/>
      <c r="F634" s="86" t="s">
        <v>395</v>
      </c>
      <c r="G634" s="80">
        <f>SUM(L353)</f>
        <v>640732.1640531983</v>
      </c>
      <c r="H634" s="80">
        <f>SUM(H473)</f>
        <v>640732.16000000003</v>
      </c>
      <c r="I634" s="87" t="s">
        <v>112</v>
      </c>
      <c r="J634" s="80">
        <f>G634-H634</f>
        <v>4.053198266774416E-3</v>
      </c>
      <c r="K634" s="67"/>
      <c r="L634" s="69"/>
      <c r="M634" s="8"/>
    </row>
    <row r="635" spans="1:13" s="124" customFormat="1" ht="12.2" customHeight="1" x14ac:dyDescent="0.15">
      <c r="A635" s="21"/>
      <c r="B635" s="22"/>
      <c r="C635" s="22"/>
      <c r="D635" s="22"/>
      <c r="E635" s="22"/>
      <c r="F635" s="99" t="s">
        <v>247</v>
      </c>
      <c r="G635" s="80">
        <f>I363</f>
        <v>181080.77000000002</v>
      </c>
      <c r="H635" s="80">
        <f>I370</f>
        <v>181080.77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410444.03</v>
      </c>
      <c r="H636" s="80">
        <f>SUM(G473)</f>
        <v>410444.03</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1320780.03</v>
      </c>
      <c r="H638" s="108">
        <f>SUM(J469)</f>
        <v>1320780.03</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2042273.69</v>
      </c>
      <c r="H640" s="80">
        <f>SUM(F462)</f>
        <v>2042273.69</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2042273.69</v>
      </c>
      <c r="H643" s="80">
        <f>SUM(I462)</f>
        <v>2042273.69</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46892.03</v>
      </c>
      <c r="H645" s="80">
        <f>H409</f>
        <v>46892.03</v>
      </c>
      <c r="I645" s="87" t="s">
        <v>480</v>
      </c>
      <c r="J645" s="80">
        <f t="shared" si="51"/>
        <v>0</v>
      </c>
      <c r="K645" s="67"/>
      <c r="L645" s="69"/>
      <c r="M645" s="8"/>
    </row>
    <row r="646" spans="1:13" s="3" customFormat="1" ht="12.2" customHeight="1" x14ac:dyDescent="0.15">
      <c r="A646" s="21"/>
      <c r="B646" s="22"/>
      <c r="C646" s="22"/>
      <c r="D646" s="22"/>
      <c r="E646" s="22"/>
      <c r="F646" s="86" t="s">
        <v>664</v>
      </c>
      <c r="G646" s="80">
        <f>J184</f>
        <v>1273888</v>
      </c>
      <c r="H646" s="80">
        <f>G409</f>
        <v>1273888</v>
      </c>
      <c r="I646" s="87" t="s">
        <v>481</v>
      </c>
      <c r="J646" s="80">
        <f t="shared" si="51"/>
        <v>0</v>
      </c>
      <c r="K646" s="67"/>
      <c r="L646" s="69"/>
      <c r="M646" s="8"/>
    </row>
    <row r="647" spans="1:13" s="3" customFormat="1" ht="12.2" customHeight="1" x14ac:dyDescent="0.15">
      <c r="A647" s="21"/>
      <c r="B647" s="22"/>
      <c r="C647" s="22"/>
      <c r="D647" s="22"/>
      <c r="E647" s="22"/>
      <c r="F647" s="86" t="s">
        <v>662</v>
      </c>
      <c r="G647" s="80">
        <f>J194</f>
        <v>1320780.03</v>
      </c>
      <c r="H647" s="80">
        <f>L409</f>
        <v>1320780.03</v>
      </c>
      <c r="I647" s="87" t="s">
        <v>477</v>
      </c>
      <c r="J647" s="80">
        <f t="shared" si="51"/>
        <v>0</v>
      </c>
      <c r="K647" s="67"/>
      <c r="L647" s="69"/>
      <c r="M647" s="8"/>
    </row>
    <row r="648" spans="1:13" s="3" customFormat="1" ht="12.2" customHeight="1" x14ac:dyDescent="0.15">
      <c r="A648" s="21"/>
      <c r="B648" s="22"/>
      <c r="C648" s="22"/>
      <c r="D648" s="22"/>
      <c r="E648" s="22"/>
      <c r="F648" s="86" t="s">
        <v>51</v>
      </c>
      <c r="G648" s="80">
        <f>K599</f>
        <v>1804841.31</v>
      </c>
      <c r="H648" s="80">
        <f>L209+L227+L245</f>
        <v>1804841.2999999998</v>
      </c>
      <c r="I648" s="87" t="s">
        <v>396</v>
      </c>
      <c r="J648" s="80">
        <f t="shared" si="51"/>
        <v>1.0000000242143869E-2</v>
      </c>
      <c r="K648" s="67"/>
      <c r="L648" s="69"/>
      <c r="M648" s="8"/>
    </row>
    <row r="649" spans="1:13" s="3" customFormat="1" ht="12.2" customHeight="1" x14ac:dyDescent="0.15">
      <c r="A649" s="21"/>
      <c r="B649" s="22"/>
      <c r="C649" s="22"/>
      <c r="D649" s="22"/>
      <c r="E649" s="22"/>
      <c r="F649" s="86" t="s">
        <v>52</v>
      </c>
      <c r="G649" s="80">
        <f>K606</f>
        <v>288070.57</v>
      </c>
      <c r="H649" s="80">
        <f>(J258+J339)-(J256+J337)</f>
        <v>288070.5736352122</v>
      </c>
      <c r="I649" s="87" t="s">
        <v>699</v>
      </c>
      <c r="J649" s="80">
        <f t="shared" si="51"/>
        <v>-3.6352121969684958E-3</v>
      </c>
      <c r="K649" s="67"/>
      <c r="L649" s="69"/>
      <c r="M649" s="8"/>
    </row>
    <row r="650" spans="1:13" s="3" customFormat="1" ht="12.2" customHeight="1" x14ac:dyDescent="0.15">
      <c r="A650" s="21"/>
      <c r="B650" s="22"/>
      <c r="C650" s="22"/>
      <c r="D650" s="22"/>
      <c r="E650" s="22"/>
      <c r="F650" s="86" t="s">
        <v>387</v>
      </c>
      <c r="G650" s="80">
        <f>L209</f>
        <v>600247.5</v>
      </c>
      <c r="H650" s="80">
        <f>H599</f>
        <v>600247.50333333341</v>
      </c>
      <c r="I650" s="87" t="s">
        <v>388</v>
      </c>
      <c r="J650" s="80">
        <f t="shared" si="51"/>
        <v>-3.3333334140479565E-3</v>
      </c>
      <c r="K650" s="67"/>
      <c r="L650" s="69"/>
      <c r="M650" s="8"/>
    </row>
    <row r="651" spans="1:13" s="3" customFormat="1" ht="12.2" customHeight="1" x14ac:dyDescent="0.15">
      <c r="A651" s="21"/>
      <c r="B651" s="22"/>
      <c r="C651" s="22"/>
      <c r="D651" s="22"/>
      <c r="E651" s="22"/>
      <c r="F651" s="86" t="s">
        <v>392</v>
      </c>
      <c r="G651" s="80">
        <f>L227</f>
        <v>607004.71</v>
      </c>
      <c r="H651" s="80">
        <f>I599</f>
        <v>607004.71333333338</v>
      </c>
      <c r="I651" s="87" t="s">
        <v>389</v>
      </c>
      <c r="J651" s="80">
        <f t="shared" si="51"/>
        <v>-3.3333334140479565E-3</v>
      </c>
      <c r="K651" s="67"/>
      <c r="L651" s="69"/>
      <c r="M651" s="8"/>
    </row>
    <row r="652" spans="1:13" s="3" customFormat="1" ht="12.2" customHeight="1" x14ac:dyDescent="0.15">
      <c r="A652" s="21"/>
      <c r="B652" s="22"/>
      <c r="C652" s="22"/>
      <c r="D652" s="22"/>
      <c r="E652" s="22"/>
      <c r="F652" s="86" t="s">
        <v>393</v>
      </c>
      <c r="G652" s="80">
        <f>L245</f>
        <v>597589.09</v>
      </c>
      <c r="H652" s="80">
        <f>J599</f>
        <v>597589.09333333338</v>
      </c>
      <c r="I652" s="87" t="s">
        <v>390</v>
      </c>
      <c r="J652" s="80">
        <f t="shared" si="51"/>
        <v>-3.3333334140479565E-3</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1273888</v>
      </c>
      <c r="H656" s="80">
        <f>K267+K348</f>
        <v>1273888</v>
      </c>
      <c r="I656" s="87" t="s">
        <v>400</v>
      </c>
      <c r="J656" s="80">
        <f t="shared" si="51"/>
        <v>0</v>
      </c>
      <c r="K656" s="67"/>
      <c r="L656" s="69"/>
      <c r="M656" s="9"/>
    </row>
    <row r="657" spans="1:13" s="3" customFormat="1" ht="12.2" customHeight="1" x14ac:dyDescent="0.15">
      <c r="F657" s="25" t="s">
        <v>122</v>
      </c>
      <c r="G657" s="13"/>
      <c r="H657" s="80">
        <f>SUM(G618:G656)-SUM(H618:H656)</f>
        <v>4.1799247264862061E-4</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12590867.393286891</v>
      </c>
      <c r="G661" s="13">
        <f>(L230+L310+L360)</f>
        <v>10896349.940766308</v>
      </c>
      <c r="H661" s="13">
        <f>(L248+L329+L361)</f>
        <v>8760086.25</v>
      </c>
      <c r="I661" s="13">
        <f>SUM(F661:H661)</f>
        <v>32247303.5840532</v>
      </c>
      <c r="J661" s="13"/>
      <c r="K661" s="13"/>
      <c r="L661" s="13"/>
      <c r="M661" s="9"/>
    </row>
    <row r="662" spans="1:13" s="3" customFormat="1" ht="12.2" customHeight="1" x14ac:dyDescent="0.2">
      <c r="A662" s="1" t="s">
        <v>127</v>
      </c>
      <c r="F662" s="13">
        <f>(L359/IF(SUM(L359:L361)=0,1,SUM(L359:L361))*(SUM(G97:G110)))</f>
        <v>146666.86870441577</v>
      </c>
      <c r="G662" s="13">
        <f>(L360/IF(SUM(L359:L361)=0,1,SUM(L359:L361))*(SUM(G97:G110)))</f>
        <v>114423.31129558424</v>
      </c>
      <c r="H662" s="13">
        <f>(L361/IF(SUM(L359:L361)=0,1,SUM(L359:L361))*(SUM(G97:G110)))</f>
        <v>0</v>
      </c>
      <c r="I662" s="13">
        <f>SUM(F662:H662)</f>
        <v>261090.18</v>
      </c>
      <c r="J662"/>
      <c r="K662" s="13"/>
      <c r="L662" s="13"/>
      <c r="M662" s="8"/>
    </row>
    <row r="663" spans="1:13" s="3" customFormat="1" ht="12.2" customHeight="1" x14ac:dyDescent="0.2">
      <c r="A663" s="1" t="s">
        <v>128</v>
      </c>
      <c r="F663" s="13">
        <f>(L209+L288)-(J209+J288)</f>
        <v>604245.66</v>
      </c>
      <c r="G663" s="13">
        <f>(L227+L307)-(J227+J307)</f>
        <v>610123.89999999991</v>
      </c>
      <c r="H663" s="13">
        <f>(L245+L326)-(J245+J326)</f>
        <v>597589.09</v>
      </c>
      <c r="I663" s="13">
        <f>SUM(F663:H663)</f>
        <v>1811958.65</v>
      </c>
      <c r="J663"/>
      <c r="K663" s="13"/>
      <c r="L663" s="13"/>
      <c r="M663" s="9"/>
    </row>
    <row r="664" spans="1:13" s="3" customFormat="1" ht="12.2" customHeight="1" x14ac:dyDescent="0.15">
      <c r="A664" s="141" t="s">
        <v>129</v>
      </c>
      <c r="B664" s="124"/>
      <c r="C664" s="124"/>
      <c r="D664" s="124"/>
      <c r="E664" s="124"/>
      <c r="F664" s="142">
        <f>SUM(F576:F588)+SUM(H603:H605)+SUM(L612)</f>
        <v>603413.26</v>
      </c>
      <c r="G664" s="142">
        <f>SUM(G576:G588)+SUM(I603:I605)+L613</f>
        <v>503588.7</v>
      </c>
      <c r="H664" s="142">
        <f>SUM(H576:H588)+SUM(J603:J605)+L614</f>
        <v>7780162.8499999996</v>
      </c>
      <c r="I664" s="13">
        <f>SUM(F664:H664)</f>
        <v>8887164.8099999987</v>
      </c>
      <c r="J664" s="13"/>
      <c r="K664" s="13"/>
      <c r="L664" s="13"/>
      <c r="M664" s="9"/>
    </row>
    <row r="665" spans="1:13" s="3" customFormat="1" ht="12.2" customHeight="1" x14ac:dyDescent="0.15">
      <c r="A665" s="1" t="s">
        <v>130</v>
      </c>
      <c r="F665" s="13">
        <f>F661-SUM(F662:F664)</f>
        <v>11236541.604582475</v>
      </c>
      <c r="G665" s="13">
        <f>G661-SUM(G662:G664)</f>
        <v>9668214.029470725</v>
      </c>
      <c r="H665" s="13">
        <f>H661-SUM(H662:H664)</f>
        <v>382334.31000000052</v>
      </c>
      <c r="I665" s="13">
        <f>I661-SUM(I662:I664)</f>
        <v>21287089.944053203</v>
      </c>
      <c r="J665" s="13"/>
      <c r="K665" s="13"/>
      <c r="L665" s="13"/>
      <c r="M665" s="8"/>
    </row>
    <row r="666" spans="1:13" s="3" customFormat="1" ht="12.2" customHeight="1" x14ac:dyDescent="0.2">
      <c r="A666" s="1" t="s">
        <v>131</v>
      </c>
      <c r="F666" s="182">
        <v>439.63</v>
      </c>
      <c r="G666" s="183">
        <v>341.75</v>
      </c>
      <c r="H666" s="183">
        <v>0</v>
      </c>
      <c r="I666" s="13">
        <f>SUM(F666:H666)</f>
        <v>781.38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25559.09</v>
      </c>
      <c r="G668" s="13">
        <f>ROUND(G665/G666,2)</f>
        <v>28290.31</v>
      </c>
      <c r="H668" s="13" t="e">
        <f>ROUND(H665/H666,2)</f>
        <v>#DIV/0!</v>
      </c>
      <c r="I668" s="13">
        <f>ROUND(I665/I666,2)</f>
        <v>27242.94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-382334.31000000052</v>
      </c>
      <c r="I670" s="13">
        <f>SUM(F670:H670)</f>
        <v>-382334.31000000052</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25559.09</v>
      </c>
      <c r="G673" s="13">
        <f>ROUND((G665+G670)/(G666+G671),2)</f>
        <v>28290.31</v>
      </c>
      <c r="H673" s="13" t="e">
        <f>ROUND((H665+H670)/(H666+H671),2)</f>
        <v>#DIV/0!</v>
      </c>
      <c r="I673" s="13">
        <f>ROUND((I665+I670)/(I666+I671),2)</f>
        <v>26753.64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A23" sqref="A23"/>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64977.2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47392</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17585.2</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Hampstead</v>
      </c>
      <c r="C5" s="321"/>
      <c r="D5" s="321"/>
      <c r="E5" s="321"/>
      <c r="F5" s="321"/>
    </row>
    <row r="8" spans="1:9" ht="18" x14ac:dyDescent="0.25">
      <c r="A8" s="239" t="s">
        <v>1548</v>
      </c>
      <c r="F8" s="246" t="s">
        <v>1566</v>
      </c>
    </row>
    <row r="9" spans="1:9" ht="15" x14ac:dyDescent="0.2">
      <c r="A9" s="237" t="s">
        <v>1549</v>
      </c>
      <c r="B9" s="240">
        <f>'DOE25'!G97</f>
        <v>261090.18</v>
      </c>
      <c r="F9" s="237" t="s">
        <v>1562</v>
      </c>
    </row>
    <row r="10" spans="1:9" ht="15" x14ac:dyDescent="0.2">
      <c r="A10" s="237" t="s">
        <v>1550</v>
      </c>
      <c r="B10" s="240">
        <f>'DOE25'!G112-'DOE25'!G97</f>
        <v>0</v>
      </c>
      <c r="F10" s="237" t="s">
        <v>1563</v>
      </c>
    </row>
    <row r="11" spans="1:9" ht="15" x14ac:dyDescent="0.2">
      <c r="A11" s="237" t="s">
        <v>1551</v>
      </c>
      <c r="B11" s="240">
        <f>'DOE25'!G140</f>
        <v>5012.6899999999996</v>
      </c>
      <c r="F11" s="237" t="s">
        <v>1564</v>
      </c>
    </row>
    <row r="12" spans="1:9" ht="15" x14ac:dyDescent="0.2">
      <c r="A12" s="237" t="s">
        <v>1552</v>
      </c>
      <c r="B12" s="240">
        <f>'DOE25'!G170</f>
        <v>129509.88</v>
      </c>
      <c r="F12" s="237" t="s">
        <v>1565</v>
      </c>
    </row>
    <row r="13" spans="1:9" ht="15" x14ac:dyDescent="0.2">
      <c r="A13" s="237" t="s">
        <v>1553</v>
      </c>
      <c r="B13" s="240">
        <f>'DOE25'!G193-'DOE25'!G180</f>
        <v>0</v>
      </c>
      <c r="F13" s="237" t="s">
        <v>1575</v>
      </c>
    </row>
    <row r="14" spans="1:9" ht="18" x14ac:dyDescent="0.25">
      <c r="A14" s="239" t="s">
        <v>732</v>
      </c>
      <c r="B14" s="241">
        <f>SUM(B9:B13)</f>
        <v>395612.75</v>
      </c>
    </row>
    <row r="16" spans="1:9" ht="18" x14ac:dyDescent="0.25">
      <c r="A16" s="239" t="s">
        <v>783</v>
      </c>
      <c r="F16" s="246" t="s">
        <v>1567</v>
      </c>
    </row>
    <row r="17" spans="1:6" ht="15" x14ac:dyDescent="0.2">
      <c r="A17" s="237" t="s">
        <v>1554</v>
      </c>
      <c r="B17" s="240">
        <f>'DOE25'!L363-'DOE25'!L362</f>
        <v>410444.03</v>
      </c>
      <c r="F17" s="237" t="s">
        <v>1568</v>
      </c>
    </row>
    <row r="18" spans="1:6" ht="15" x14ac:dyDescent="0.2">
      <c r="A18" s="237" t="s">
        <v>1555</v>
      </c>
      <c r="B18" s="250"/>
      <c r="F18" s="246" t="s">
        <v>1592</v>
      </c>
    </row>
    <row r="19" spans="1:6" ht="18" x14ac:dyDescent="0.25">
      <c r="A19" s="239" t="s">
        <v>725</v>
      </c>
      <c r="B19" s="241">
        <f>SUM(B17:B18)</f>
        <v>410444.03</v>
      </c>
    </row>
    <row r="21" spans="1:6" ht="18.75" thickBot="1" x14ac:dyDescent="0.3">
      <c r="A21" s="239" t="s">
        <v>1556</v>
      </c>
    </row>
    <row r="22" spans="1:6" ht="18.75" thickTop="1" x14ac:dyDescent="0.25">
      <c r="A22" s="239" t="s">
        <v>1557</v>
      </c>
      <c r="B22" s="245">
        <f>B14-B19</f>
        <v>-14831.280000000028</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78666.64</v>
      </c>
      <c r="F31" s="237" t="s">
        <v>1572</v>
      </c>
    </row>
    <row r="33" spans="1:6" ht="15" x14ac:dyDescent="0.2">
      <c r="A33" s="237" t="s">
        <v>1790</v>
      </c>
      <c r="B33" s="240">
        <f>'DOE25'!G477</f>
        <v>63835.359999999986</v>
      </c>
      <c r="F33" s="237" t="s">
        <v>1573</v>
      </c>
    </row>
    <row r="36" spans="1:6" ht="15" x14ac:dyDescent="0.2">
      <c r="A36" s="237" t="s">
        <v>1559</v>
      </c>
      <c r="B36" s="251">
        <v>34917.81</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30" zoomScaleNormal="130" workbookViewId="0">
      <selection activeCell="B39" activeCellId="5" sqref="B10 B12 B19 B21 B37 B3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Hampstead</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5509097.2600000007</v>
      </c>
      <c r="C9" s="166">
        <f>'DOE25'!G198+'DOE25'!G216+'DOE25'!G234+'DOE25'!G277+'DOE25'!G296+'DOE25'!G315</f>
        <v>3207447.9699999997</v>
      </c>
    </row>
    <row r="10" spans="1:3" x14ac:dyDescent="0.2">
      <c r="A10" t="s">
        <v>772</v>
      </c>
      <c r="B10" s="176">
        <v>4890701.9800000004</v>
      </c>
      <c r="C10" s="176">
        <f>+(C9/B9)*B10</f>
        <v>2847412.45204046</v>
      </c>
    </row>
    <row r="11" spans="1:3" x14ac:dyDescent="0.2">
      <c r="A11" t="s">
        <v>773</v>
      </c>
      <c r="B11" s="176">
        <v>269545.38</v>
      </c>
      <c r="C11" s="176">
        <f t="shared" ref="C11:C12" si="0">+(C10/B10)*B11</f>
        <v>156931.84220600934</v>
      </c>
    </row>
    <row r="12" spans="1:3" x14ac:dyDescent="0.2">
      <c r="A12" t="s">
        <v>774</v>
      </c>
      <c r="B12" s="176">
        <v>348849.9</v>
      </c>
      <c r="C12" s="176">
        <f t="shared" si="0"/>
        <v>203103.67575353044</v>
      </c>
    </row>
    <row r="13" spans="1:3" x14ac:dyDescent="0.2">
      <c r="A13" t="str">
        <f>IF(B9=B13,IF(C9=C13,"Check Total OK","Check Total Error"),"Check Total Error")</f>
        <v>Check Total OK</v>
      </c>
      <c r="B13" s="168">
        <f>SUM(B10:B12)</f>
        <v>5509097.2600000007</v>
      </c>
      <c r="C13" s="168">
        <f>SUM(C10:C12)</f>
        <v>3207447.9699999997</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2920286.15</v>
      </c>
      <c r="C18" s="166">
        <f>'DOE25'!G199+'DOE25'!G217+'DOE25'!G235+'DOE25'!G278+'DOE25'!G297+'DOE25'!G316</f>
        <v>1715931.69</v>
      </c>
    </row>
    <row r="19" spans="1:3" x14ac:dyDescent="0.2">
      <c r="A19" t="s">
        <v>772</v>
      </c>
      <c r="B19" s="176">
        <v>1602933.83</v>
      </c>
      <c r="C19" s="176">
        <f>+(C18/B18)*B19</f>
        <v>941868.30145740102</v>
      </c>
    </row>
    <row r="20" spans="1:3" x14ac:dyDescent="0.2">
      <c r="A20" t="s">
        <v>773</v>
      </c>
      <c r="B20" s="176">
        <v>950667.09</v>
      </c>
      <c r="C20" s="176">
        <f t="shared" ref="C20:C21" si="1">+(C19/B19)*B20</f>
        <v>558602.71993245662</v>
      </c>
    </row>
    <row r="21" spans="1:3" x14ac:dyDescent="0.2">
      <c r="A21" t="s">
        <v>774</v>
      </c>
      <c r="B21" s="176">
        <v>366685.23</v>
      </c>
      <c r="C21" s="176">
        <f t="shared" si="1"/>
        <v>215460.66861014243</v>
      </c>
    </row>
    <row r="22" spans="1:3" x14ac:dyDescent="0.2">
      <c r="A22" t="str">
        <f>IF(B18=B22,IF(C18=C22,"Check Total OK","Check Total Error"),"Check Total Error")</f>
        <v>Check Total OK</v>
      </c>
      <c r="B22" s="168">
        <f>SUM(B19:B21)</f>
        <v>2920286.15</v>
      </c>
      <c r="C22" s="168">
        <f>SUM(C19:C21)</f>
        <v>1715931.69</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v>0</v>
      </c>
      <c r="C28" s="176">
        <v>0</v>
      </c>
    </row>
    <row r="29" spans="1:3" x14ac:dyDescent="0.2">
      <c r="A29" t="s">
        <v>773</v>
      </c>
      <c r="B29" s="176">
        <v>0</v>
      </c>
      <c r="C29" s="176">
        <v>0</v>
      </c>
    </row>
    <row r="30" spans="1:3" x14ac:dyDescent="0.2">
      <c r="A30" t="s">
        <v>774</v>
      </c>
      <c r="B30" s="176">
        <v>0</v>
      </c>
      <c r="C30" s="176">
        <v>0</v>
      </c>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57645</v>
      </c>
      <c r="C36" s="172">
        <f>'DOE25'!G201+'DOE25'!G219+'DOE25'!G237+'DOE25'!G280+'DOE25'!G299+'DOE25'!G318</f>
        <v>31029.43</v>
      </c>
    </row>
    <row r="37" spans="1:3" x14ac:dyDescent="0.2">
      <c r="A37" t="s">
        <v>772</v>
      </c>
      <c r="B37" s="176">
        <v>53245</v>
      </c>
      <c r="C37" s="176">
        <f>+(C36/B36)*B37</f>
        <v>28660.976673605692</v>
      </c>
    </row>
    <row r="38" spans="1:3" x14ac:dyDescent="0.2">
      <c r="A38" t="s">
        <v>773</v>
      </c>
      <c r="B38" s="176">
        <v>0</v>
      </c>
      <c r="C38" s="176">
        <v>0</v>
      </c>
    </row>
    <row r="39" spans="1:3" x14ac:dyDescent="0.2">
      <c r="A39" t="s">
        <v>774</v>
      </c>
      <c r="B39" s="176">
        <v>4400</v>
      </c>
      <c r="C39" s="176">
        <f>+(C36/B36)*B39</f>
        <v>2368.4533263943104</v>
      </c>
    </row>
    <row r="40" spans="1:3" x14ac:dyDescent="0.2">
      <c r="A40" t="str">
        <f>IF(B36=B40,IF(C36=C40,"Check Total OK","Check Total Error"),"Check Total Error")</f>
        <v>Check Total OK</v>
      </c>
      <c r="B40" s="168">
        <f>SUM(B37:B39)</f>
        <v>57645</v>
      </c>
      <c r="C40" s="168">
        <f>SUM(C37:C39)</f>
        <v>31029.43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5" sqref="F4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Hampstead</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23238969.919999998</v>
      </c>
      <c r="D5" s="19">
        <f>SUM('DOE25'!L198:L201)+SUM('DOE25'!L216:L219)+SUM('DOE25'!L234:L237)-F5-G5-H5</f>
        <v>23041021.189999998</v>
      </c>
      <c r="E5" s="179"/>
      <c r="F5" s="180"/>
      <c r="G5" s="19">
        <f>SUM('DOE25'!J198:J201)+SUM('DOE25'!J216:J219)+SUM('DOE25'!J234:J237)</f>
        <v>172809.48</v>
      </c>
      <c r="H5" s="19">
        <f>SUM('DOE25'!K198:K201)+SUM('DOE25'!K216:K219)+SUM('DOE25'!K234:K237)</f>
        <v>25139.25</v>
      </c>
      <c r="I5" s="191"/>
    </row>
    <row r="6" spans="1:9" x14ac:dyDescent="0.2">
      <c r="A6" s="31">
        <v>2100</v>
      </c>
      <c r="B6" t="s">
        <v>793</v>
      </c>
      <c r="C6" s="205">
        <f t="shared" si="0"/>
        <v>1452687.14</v>
      </c>
      <c r="D6" s="19">
        <f>'DOE25'!L203+'DOE25'!L221+'DOE25'!L239-F6-G6-H6</f>
        <v>1448756.0699999998</v>
      </c>
      <c r="E6" s="179"/>
      <c r="F6" s="180"/>
      <c r="G6" s="19">
        <f>'DOE25'!J203+'DOE25'!J221+'DOE25'!J239</f>
        <v>3931.07</v>
      </c>
      <c r="H6" s="19">
        <f>'DOE25'!K203+'DOE25'!K221+'DOE25'!K239</f>
        <v>0</v>
      </c>
      <c r="I6" s="191"/>
    </row>
    <row r="7" spans="1:9" x14ac:dyDescent="0.2">
      <c r="A7" s="31">
        <v>2200</v>
      </c>
      <c r="B7" t="s">
        <v>817</v>
      </c>
      <c r="C7" s="205">
        <f t="shared" si="0"/>
        <v>516743.93999999994</v>
      </c>
      <c r="D7" s="19">
        <f>'DOE25'!L204+'DOE25'!L222+'DOE25'!L240-F7-G7-H7</f>
        <v>506009.99999999994</v>
      </c>
      <c r="E7" s="179"/>
      <c r="F7" s="180"/>
      <c r="G7" s="19">
        <f>'DOE25'!J204+'DOE25'!J222+'DOE25'!J240</f>
        <v>10733.94</v>
      </c>
      <c r="H7" s="19">
        <f>'DOE25'!K204+'DOE25'!K222+'DOE25'!K240</f>
        <v>0</v>
      </c>
      <c r="I7" s="191"/>
    </row>
    <row r="8" spans="1:9" x14ac:dyDescent="0.2">
      <c r="A8" s="31">
        <v>2300</v>
      </c>
      <c r="B8" t="s">
        <v>794</v>
      </c>
      <c r="C8" s="205">
        <f t="shared" si="0"/>
        <v>380199.01</v>
      </c>
      <c r="D8" s="179"/>
      <c r="E8" s="19">
        <f>'DOE25'!L205+'DOE25'!L223+'DOE25'!L241-F8-G8-H8-D9-D11</f>
        <v>360638.36</v>
      </c>
      <c r="F8" s="180"/>
      <c r="G8" s="19">
        <f>'DOE25'!J205+'DOE25'!J223+'DOE25'!J241</f>
        <v>0</v>
      </c>
      <c r="H8" s="19">
        <f>'DOE25'!K205+'DOE25'!K223+'DOE25'!K241</f>
        <v>19560.650000000001</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1214535.8700000001</v>
      </c>
      <c r="D12" s="19">
        <f>'DOE25'!L206+'DOE25'!L224+'DOE25'!L242-F12-G12-H12</f>
        <v>1184661.5300000003</v>
      </c>
      <c r="E12" s="179"/>
      <c r="F12" s="180"/>
      <c r="G12" s="19">
        <f>'DOE25'!J206+'DOE25'!J224+'DOE25'!J242</f>
        <v>25620.91</v>
      </c>
      <c r="H12" s="19">
        <f>'DOE25'!K206+'DOE25'!K224+'DOE25'!K242</f>
        <v>4253.43</v>
      </c>
      <c r="I12" s="191"/>
    </row>
    <row r="13" spans="1:9" x14ac:dyDescent="0.2">
      <c r="A13" s="31">
        <v>2500</v>
      </c>
      <c r="B13" t="s">
        <v>795</v>
      </c>
      <c r="C13" s="205">
        <f t="shared" si="0"/>
        <v>383383.83</v>
      </c>
      <c r="D13" s="179"/>
      <c r="E13" s="19">
        <f>'DOE25'!L207+'DOE25'!L225+'DOE25'!L243-F13-G13-H13</f>
        <v>383383.83</v>
      </c>
      <c r="F13" s="180"/>
      <c r="G13" s="19">
        <f>'DOE25'!J207+'DOE25'!J225+'DOE25'!J243</f>
        <v>0</v>
      </c>
      <c r="H13" s="19">
        <f>'DOE25'!K207+'DOE25'!K225+'DOE25'!K243</f>
        <v>0</v>
      </c>
      <c r="I13" s="191"/>
    </row>
    <row r="14" spans="1:9" x14ac:dyDescent="0.2">
      <c r="A14" s="31">
        <v>2600</v>
      </c>
      <c r="B14" t="s">
        <v>815</v>
      </c>
      <c r="C14" s="205">
        <f t="shared" si="0"/>
        <v>1890271.2899999998</v>
      </c>
      <c r="D14" s="19">
        <f>'DOE25'!L208+'DOE25'!L226+'DOE25'!L244-F14-G14-H14</f>
        <v>1870375.4199999997</v>
      </c>
      <c r="E14" s="179"/>
      <c r="F14" s="180"/>
      <c r="G14" s="19">
        <f>'DOE25'!J208+'DOE25'!J226+'DOE25'!J244</f>
        <v>14249.52</v>
      </c>
      <c r="H14" s="19">
        <f>'DOE25'!K208+'DOE25'!K226+'DOE25'!K244</f>
        <v>5646.3499999999995</v>
      </c>
      <c r="I14" s="191"/>
    </row>
    <row r="15" spans="1:9" x14ac:dyDescent="0.2">
      <c r="A15" s="31">
        <v>2700</v>
      </c>
      <c r="B15" t="s">
        <v>796</v>
      </c>
      <c r="C15" s="205">
        <f t="shared" si="0"/>
        <v>1804841.2999999998</v>
      </c>
      <c r="D15" s="19">
        <f>'DOE25'!L209+'DOE25'!L227+'DOE25'!L245-F15-G15-H15</f>
        <v>1804841.2999999998</v>
      </c>
      <c r="E15" s="179"/>
      <c r="F15" s="180"/>
      <c r="G15" s="19">
        <f>'DOE25'!J209+'DOE25'!J227+'DOE25'!J245</f>
        <v>0</v>
      </c>
      <c r="H15" s="19">
        <f>'DOE25'!K209+'DOE25'!K227+'DOE25'!K245</f>
        <v>0</v>
      </c>
      <c r="I15" s="191"/>
    </row>
    <row r="16" spans="1:9" x14ac:dyDescent="0.2">
      <c r="A16" s="31">
        <v>2800</v>
      </c>
      <c r="B16" t="s">
        <v>797</v>
      </c>
      <c r="C16" s="205">
        <f t="shared" si="0"/>
        <v>319997.09000000003</v>
      </c>
      <c r="D16" s="179"/>
      <c r="E16" s="19">
        <f>'DOE25'!L210+'DOE25'!L228+'DOE25'!L246-F16-G16-H16</f>
        <v>319997.09000000003</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18838.5</v>
      </c>
      <c r="D19" s="19">
        <f>'DOE25'!L254-F19-G19-H19</f>
        <v>18838.5</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396094.28</v>
      </c>
      <c r="D22" s="179"/>
      <c r="E22" s="179"/>
      <c r="F22" s="179"/>
      <c r="G22" s="19">
        <f>'DOE25'!L256+'DOE25'!L337</f>
        <v>396094.28</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255249.20000000004</v>
      </c>
      <c r="D29" s="211">
        <f>'DOE25'!L359+'DOE25'!L360+'DOE25'!L361-'DOE25'!I368-F29-G29-H29-F39</f>
        <v>233799.20000000004</v>
      </c>
      <c r="E29" s="179"/>
      <c r="F29" s="179"/>
      <c r="G29" s="19">
        <f>'DOE25'!J359+'DOE25'!J360+'DOE25'!J361</f>
        <v>0</v>
      </c>
      <c r="H29" s="19">
        <f>'DOE25'!K359+'DOE25'!K360+'DOE25'!K361</f>
        <v>21450</v>
      </c>
      <c r="I29" s="191"/>
    </row>
    <row r="30" spans="1:9" x14ac:dyDescent="0.2">
      <c r="A30" s="31"/>
      <c r="C30" s="206"/>
      <c r="D30" s="19"/>
      <c r="F30" s="200"/>
      <c r="G30" s="19"/>
      <c r="H30" s="19"/>
      <c r="I30" s="191"/>
    </row>
    <row r="31" spans="1:9" x14ac:dyDescent="0.2">
      <c r="A31" s="31" t="s">
        <v>814</v>
      </c>
      <c r="B31" t="s">
        <v>813</v>
      </c>
      <c r="C31" s="205">
        <f>SUM(D31:I31)</f>
        <v>640732.16405319842</v>
      </c>
      <c r="D31" s="19">
        <f>'DOE25'!L291+'DOE25'!L310+'DOE25'!L329+'DOE25'!L334+'DOE25'!L335+'DOE25'!L336-F31-G31-H31</f>
        <v>580006.5104179862</v>
      </c>
      <c r="E31" s="179"/>
      <c r="F31" s="180"/>
      <c r="G31" s="19">
        <f>'DOE25'!J291+'DOE25'!J310+'DOE25'!J329+'DOE25'!J334+'DOE25'!J335+'DOE25'!J336</f>
        <v>60725.653635212162</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30688309.720417984</v>
      </c>
      <c r="E33" s="181">
        <f t="shared" si="1"/>
        <v>1064019.28</v>
      </c>
      <c r="F33" s="181">
        <f t="shared" si="1"/>
        <v>0</v>
      </c>
      <c r="G33" s="181">
        <f t="shared" si="1"/>
        <v>684164.85363521217</v>
      </c>
      <c r="H33" s="181">
        <f t="shared" si="1"/>
        <v>76049.679999999993</v>
      </c>
      <c r="I33" s="181">
        <f t="shared" si="1"/>
        <v>0</v>
      </c>
    </row>
    <row r="34" spans="1:9" ht="12" thickBot="1" x14ac:dyDescent="0.25"/>
    <row r="35" spans="1:9" ht="12" thickBot="1" x14ac:dyDescent="0.25">
      <c r="B35" s="187" t="s">
        <v>827</v>
      </c>
      <c r="D35" s="188">
        <f>E33</f>
        <v>1064019.28</v>
      </c>
      <c r="E35" s="184"/>
      <c r="F35" s="294" t="s">
        <v>1596</v>
      </c>
      <c r="G35" s="295"/>
      <c r="H35" s="295"/>
      <c r="I35" s="296"/>
    </row>
    <row r="36" spans="1:9" ht="12" thickTop="1" x14ac:dyDescent="0.2">
      <c r="B36" t="s">
        <v>807</v>
      </c>
      <c r="D36" s="19">
        <f>D33</f>
        <v>30688309.720417984</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t="s">
        <v>402</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110" zoomScaleNormal="110" workbookViewId="0">
      <selection activeCell="A20" sqref="A2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Hampstead</v>
      </c>
      <c r="B2">
        <f>'DOE25'!B2</f>
        <v>223</v>
      </c>
      <c r="J2" s="223" t="s">
        <v>1799</v>
      </c>
      <c r="K2" s="308">
        <f>SUM('DOE25'!L198:L201)+SUM('DOE25'!L277:L280)</f>
        <v>8524393.5441418607</v>
      </c>
      <c r="L2" s="308">
        <f>'DOE25'!L203+'DOE25'!L282</f>
        <v>680876.57443951862</v>
      </c>
      <c r="M2" s="308">
        <f>'DOE25'!L204+'DOE25'!L283</f>
        <v>302299.61861304624</v>
      </c>
      <c r="N2" s="308">
        <f>'DOE25'!L206+'DOE25'!L285</f>
        <v>590701.35000000009</v>
      </c>
      <c r="O2" s="316">
        <f>'Salaries-Benefits'!B10+'Salaries-Benefits'!B12+'Salaries-Benefits'!B19+'Salaries-Benefits'!B21+'Salaries-Benefits'!B28+'Salaries-Benefits'!B30+'Salaries-Benefits'!B37+'Salaries-Benefits'!B39</f>
        <v>7266815.9400000013</v>
      </c>
      <c r="P2" s="316">
        <f>'Salaries-Benefits'!B11+'Salaries-Benefits'!B20+'Salaries-Benefits'!B29+'Salaries-Benefits'!B38</f>
        <v>1220212.47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-4.1418615728616714E-3</v>
      </c>
      <c r="L3" s="310">
        <f t="shared" ref="L3:N3" si="0">L21-L2</f>
        <v>-4.439518554136157E-3</v>
      </c>
      <c r="M3" s="310">
        <f t="shared" si="0"/>
        <v>1.3869537506252527E-3</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12360301.310000001</v>
      </c>
      <c r="G4" s="228">
        <f>'DOE25'!L212+'DOE25'!L291</f>
        <v>12360301.30819506</v>
      </c>
      <c r="H4" s="263">
        <f>F4-G4</f>
        <v>1.804940402507782E-3</v>
      </c>
      <c r="I4" s="313" t="str">
        <f>IF(H4=0,"","ERROR!! Please review pages 7 and 11 totals in comparison with total on this page")</f>
        <v>ERROR!! Please review pages 7 and 11 totals in comparison with total on this page</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437832.75+600247.5</f>
        <v>1038080.25</v>
      </c>
      <c r="E5" s="219"/>
      <c r="F5" s="231">
        <f>D5+E5</f>
        <v>1038080.25</v>
      </c>
      <c r="G5" s="222"/>
      <c r="H5" s="222"/>
      <c r="J5" s="71" t="s">
        <v>1840</v>
      </c>
      <c r="K5" s="20">
        <v>437832.75</v>
      </c>
      <c r="L5" s="20"/>
      <c r="M5" s="20"/>
      <c r="N5" s="20"/>
      <c r="O5" s="20"/>
      <c r="P5" s="20"/>
      <c r="Q5" s="20"/>
    </row>
    <row r="6" spans="1:22" x14ac:dyDescent="0.2">
      <c r="A6" t="str" cm="1">
        <f t="array" ref="A6">IFERROR(INDEX('School Tables'!$A$4:$G$365,'School Tables'!$J4,3),"")</f>
        <v>Hampstead Central School</v>
      </c>
      <c r="B6" s="229">
        <f>IFERROR(VLOOKUP(A6,'School Tables'!$C$3:$D$365,2,FALSE),"")</f>
        <v>22755</v>
      </c>
      <c r="C6" s="222" t="str">
        <f>IFERROR(INDEX('School Tables'!$B$3:$B$365,MATCH('School Level Expenditures'!B6,'School Tables'!$D$3:$D$365,0)),"")</f>
        <v>Hampstead</v>
      </c>
      <c r="D6" s="219">
        <f>12003462.07-1038080.25</f>
        <v>10965381.82</v>
      </c>
      <c r="E6" s="219">
        <v>356839.24</v>
      </c>
      <c r="F6" s="231">
        <f t="shared" ref="F6:F20" si="2">D6+E6</f>
        <v>11322221.060000001</v>
      </c>
      <c r="G6" s="222"/>
      <c r="H6" s="222"/>
      <c r="J6" t="str">
        <f t="shared" ref="J6:J20" si="3">A6</f>
        <v>Hampstead Central School</v>
      </c>
      <c r="K6" s="20">
        <f>4812186.34+3454393.03+876.71-437832.75+79531.35+160856.41+16549.7</f>
        <v>8086560.7899999991</v>
      </c>
      <c r="L6" s="20">
        <f>679450.42+1426.15</f>
        <v>680876.57000000007</v>
      </c>
      <c r="M6" s="307">
        <f>244530.14+57769.48</f>
        <v>302299.62</v>
      </c>
      <c r="N6" s="20">
        <v>590701.35</v>
      </c>
      <c r="O6" s="20">
        <v>3799978.32</v>
      </c>
      <c r="P6" s="20">
        <v>854148.77</v>
      </c>
      <c r="Q6" s="20">
        <v>35896.32</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12003462.07</v>
      </c>
      <c r="E21" s="261">
        <f>SUM(E5:E20)</f>
        <v>356839.24</v>
      </c>
      <c r="F21" s="216"/>
      <c r="G21" s="216"/>
      <c r="H21" s="216"/>
      <c r="K21" s="262">
        <f t="shared" ref="K21:Q21" si="4">SUM(K5:K20)</f>
        <v>8524393.5399999991</v>
      </c>
      <c r="L21" s="262">
        <f t="shared" si="4"/>
        <v>680876.57000000007</v>
      </c>
      <c r="M21" s="262">
        <f t="shared" si="4"/>
        <v>302299.62</v>
      </c>
      <c r="N21" s="262">
        <f t="shared" si="4"/>
        <v>590701.35</v>
      </c>
      <c r="O21" s="262">
        <f t="shared" si="4"/>
        <v>3799978.32</v>
      </c>
      <c r="P21" s="262">
        <f t="shared" si="4"/>
        <v>854148.77</v>
      </c>
      <c r="Q21" s="262">
        <f t="shared" si="4"/>
        <v>35896.32</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7101873.6558581376</v>
      </c>
      <c r="L23" s="19">
        <f>'DOE25'!L221+'DOE25'!L301</f>
        <v>711616.61</v>
      </c>
      <c r="M23" s="19">
        <f>'DOE25'!L222+'DOE25'!L302</f>
        <v>317283.11</v>
      </c>
      <c r="N23" s="19">
        <f>'DOE25'!L224+'DOE25'!L304</f>
        <v>623834.52</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4.1418615728616714E-3</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10716472</v>
      </c>
      <c r="G25" s="228">
        <f>'DOE25'!L230+'DOE25'!L310</f>
        <v>10716471.995858138</v>
      </c>
      <c r="H25" s="263">
        <f>F25-G25</f>
        <v>4.1418615728616714E-3</v>
      </c>
      <c r="I25" s="313" t="str">
        <f>IF(H25=0,"","ERROR!! Please review pages 8 and 12 totals in comparison with total on this page")</f>
        <v>ERROR!! Please review pages 8 and 12 totals in comparison with total on this page</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f>381098.64+350254.27</f>
        <v>731352.91</v>
      </c>
      <c r="E26" s="219"/>
      <c r="F26" s="231">
        <f>D26+E26</f>
        <v>731352.91</v>
      </c>
      <c r="G26" s="222"/>
      <c r="H26" s="222"/>
      <c r="J26" s="71" t="s">
        <v>1840</v>
      </c>
      <c r="K26" s="315">
        <v>381098.64</v>
      </c>
      <c r="L26" s="315"/>
      <c r="M26" s="315"/>
      <c r="N26" s="315"/>
      <c r="O26" s="315"/>
      <c r="P26" s="315"/>
      <c r="Q26" s="315"/>
    </row>
    <row r="27" spans="1:17" x14ac:dyDescent="0.2">
      <c r="A27" t="str" cm="1">
        <f t="array" ref="A27">IFERROR(INDEX('School Tables'!$L$4:$R$100,'School Tables'!$U4,3),"")</f>
        <v>Hampstead Middle School</v>
      </c>
      <c r="B27" s="229">
        <f>IFERROR(VLOOKUP(A27,'School Tables'!$N$4:$O$100,2,FALSE),"")</f>
        <v>22750</v>
      </c>
      <c r="C27" s="222" t="str">
        <f>IFERROR(INDEX('School Tables'!$M$4:$M$100,MATCH('School Level Expenditures'!A27,'School Tables'!$N$4:$N$100,0)),"")</f>
        <v>Hampstead</v>
      </c>
      <c r="D27" s="219">
        <f>10438081.07-381098.64-350254.27</f>
        <v>9706728.1600000001</v>
      </c>
      <c r="E27" s="219">
        <v>278390.93</v>
      </c>
      <c r="F27" s="231">
        <f t="shared" ref="F27:F33" si="6">D27+E27</f>
        <v>9985119.0899999999</v>
      </c>
      <c r="G27" s="222"/>
      <c r="H27" s="222"/>
      <c r="J27" t="str">
        <f t="shared" ref="J27:J33" si="7">A27</f>
        <v>Hampstead Middle School</v>
      </c>
      <c r="K27" s="20">
        <f>4252472.94+2536081.73+112867.21+62047.01+125493.38+12911.38-381098.63</f>
        <v>6720775.0199999996</v>
      </c>
      <c r="L27" s="20">
        <f>710503.98+1112.63</f>
        <v>711616.61</v>
      </c>
      <c r="M27" s="307">
        <f>272213.8+45069.31</f>
        <v>317283.11</v>
      </c>
      <c r="N27" s="20">
        <v>623834.52</v>
      </c>
      <c r="O27" s="20">
        <v>3466837.62</v>
      </c>
      <c r="P27" s="20">
        <v>366063.7</v>
      </c>
      <c r="Q27" s="20">
        <v>22067.07</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10438081.07</v>
      </c>
      <c r="E34" s="261">
        <f>SUM(E26:E33)</f>
        <v>278390.93</v>
      </c>
      <c r="F34" s="216"/>
      <c r="G34" s="216"/>
      <c r="H34" s="216"/>
      <c r="K34" s="262">
        <f t="shared" ref="K34:Q34" si="8">SUM(K26:K33)</f>
        <v>7101873.6599999992</v>
      </c>
      <c r="L34" s="262">
        <f t="shared" si="8"/>
        <v>711616.61</v>
      </c>
      <c r="M34" s="262">
        <f t="shared" si="8"/>
        <v>317283.11</v>
      </c>
      <c r="N34" s="262">
        <f t="shared" si="8"/>
        <v>623834.52</v>
      </c>
      <c r="O34" s="262">
        <f t="shared" si="8"/>
        <v>3466837.62</v>
      </c>
      <c r="P34" s="262">
        <f t="shared" si="8"/>
        <v>366063.7</v>
      </c>
      <c r="Q34" s="262">
        <f t="shared" si="8"/>
        <v>22067.07</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8070091.96</v>
      </c>
      <c r="L36" s="19">
        <f>'DOE25'!L239+'DOE25'!L320</f>
        <v>62732.740000000005</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8760086.25</v>
      </c>
      <c r="G38" s="228">
        <f>'DOE25'!L248+'DOE25'!L329</f>
        <v>8760086.25</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8760086.25</v>
      </c>
      <c r="E39" s="219">
        <v>0</v>
      </c>
      <c r="F39" s="231">
        <f t="shared" ref="F39:F44" si="10">D39+E39</f>
        <v>8760086.25</v>
      </c>
      <c r="G39" s="222"/>
      <c r="H39" s="222"/>
      <c r="J39" s="71" t="s">
        <v>1840</v>
      </c>
      <c r="K39" s="315">
        <f>5796164+2273927.96</f>
        <v>8070091.96</v>
      </c>
      <c r="L39" s="315">
        <v>62732.74</v>
      </c>
      <c r="M39" s="315">
        <v>0</v>
      </c>
      <c r="N39" s="315"/>
      <c r="O39" s="315">
        <v>0</v>
      </c>
      <c r="P39" s="315">
        <v>0</v>
      </c>
      <c r="Q39" s="315">
        <v>0</v>
      </c>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8760086.25</v>
      </c>
      <c r="E45" s="262">
        <f>SUM(E39:E44)</f>
        <v>0</v>
      </c>
      <c r="K45" s="262">
        <f t="shared" ref="K45:Q45" si="11">SUM(K39:K44)</f>
        <v>8070091.96</v>
      </c>
      <c r="L45" s="262">
        <f t="shared" si="11"/>
        <v>62732.74</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40" zoomScaleNormal="100" workbookViewId="0">
      <selection activeCell="C45" activeCellId="2" sqref="C49 C43 C4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Hampstead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1508717.61</v>
      </c>
      <c r="D8" s="73">
        <f>'DOE25'!G9</f>
        <v>140027.49</v>
      </c>
      <c r="E8" s="73">
        <f>'DOE25'!H9</f>
        <v>0</v>
      </c>
      <c r="F8" s="73">
        <f>'DOE25'!I9</f>
        <v>0</v>
      </c>
      <c r="G8" s="73">
        <f>'DOE25'!J9</f>
        <v>0</v>
      </c>
      <c r="H8" s="13">
        <f>SUM(C8:G8)</f>
        <v>1648745.1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522525.07</v>
      </c>
      <c r="D11" s="73">
        <f>'DOE25'!G12</f>
        <v>0</v>
      </c>
      <c r="E11" s="73">
        <f>'DOE25'!H12</f>
        <v>0</v>
      </c>
      <c r="F11" s="73">
        <f>'DOE25'!I12</f>
        <v>0</v>
      </c>
      <c r="G11" s="73">
        <f>'DOE25'!J12</f>
        <v>0</v>
      </c>
      <c r="H11" s="13">
        <f t="shared" si="0"/>
        <v>522525.07</v>
      </c>
      <c r="I11" s="90"/>
    </row>
    <row r="12" spans="1:9" x14ac:dyDescent="0.2">
      <c r="A12" s="1" t="s">
        <v>143</v>
      </c>
      <c r="B12" s="6">
        <v>140</v>
      </c>
      <c r="C12" s="73">
        <f>'DOE25'!F13</f>
        <v>146392.85</v>
      </c>
      <c r="D12" s="73">
        <f>'DOE25'!G13</f>
        <v>13353.71</v>
      </c>
      <c r="E12" s="73">
        <f>'DOE25'!H13</f>
        <v>45029.33</v>
      </c>
      <c r="F12" s="73">
        <f>'DOE25'!I13</f>
        <v>0</v>
      </c>
      <c r="G12" s="73">
        <f>'DOE25'!J13</f>
        <v>2042273.69</v>
      </c>
      <c r="H12" s="13">
        <f t="shared" si="0"/>
        <v>2247049.58</v>
      </c>
      <c r="I12" s="90"/>
    </row>
    <row r="13" spans="1:9" x14ac:dyDescent="0.2">
      <c r="A13" s="1" t="s">
        <v>144</v>
      </c>
      <c r="B13" s="6">
        <v>150</v>
      </c>
      <c r="C13" s="73">
        <f>'DOE25'!F14</f>
        <v>2000</v>
      </c>
      <c r="D13" s="73">
        <f>'DOE25'!G14</f>
        <v>0</v>
      </c>
      <c r="E13" s="73">
        <f>'DOE25'!H14</f>
        <v>0</v>
      </c>
      <c r="F13" s="73">
        <f>'DOE25'!I14</f>
        <v>0</v>
      </c>
      <c r="G13" s="73">
        <f>'DOE25'!J14</f>
        <v>0</v>
      </c>
      <c r="H13" s="13">
        <f t="shared" si="0"/>
        <v>2000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14952.56</v>
      </c>
      <c r="E15" s="73">
        <f>'DOE25'!H16</f>
        <v>0</v>
      </c>
      <c r="F15" s="73">
        <f>'DOE25'!I16</f>
        <v>0</v>
      </c>
      <c r="G15" s="23" t="s">
        <v>288</v>
      </c>
      <c r="H15" s="13">
        <f t="shared" si="0"/>
        <v>14952.56</v>
      </c>
      <c r="I15" s="90"/>
    </row>
    <row r="16" spans="1:9" x14ac:dyDescent="0.2">
      <c r="A16" s="1" t="s">
        <v>147</v>
      </c>
      <c r="B16" s="6">
        <v>180</v>
      </c>
      <c r="C16" s="73">
        <f>'DOE25'!F17</f>
        <v>2300</v>
      </c>
      <c r="D16" s="73">
        <f>'DOE25'!G17</f>
        <v>0</v>
      </c>
      <c r="E16" s="73">
        <f>'DOE25'!H17</f>
        <v>0</v>
      </c>
      <c r="F16" s="73">
        <f>'DOE25'!I17</f>
        <v>0</v>
      </c>
      <c r="G16" s="73">
        <f>'DOE25'!J17</f>
        <v>0</v>
      </c>
      <c r="H16" s="13">
        <f t="shared" si="0"/>
        <v>2300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2181935.5300000003</v>
      </c>
      <c r="D18" s="38">
        <f>SUM(D8:D17)</f>
        <v>168333.75999999998</v>
      </c>
      <c r="E18" s="38">
        <f>SUM(E8:E17)</f>
        <v>45029.33</v>
      </c>
      <c r="F18" s="38">
        <f>SUM(F8:F17)</f>
        <v>0</v>
      </c>
      <c r="G18" s="38">
        <f>SUM(G8:G17)</f>
        <v>2042273.69</v>
      </c>
      <c r="H18" s="38">
        <f t="shared" si="0"/>
        <v>4437572.3100000005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431786.72</v>
      </c>
      <c r="D21" s="73">
        <f>'DOE25'!G22</f>
        <v>59348.55</v>
      </c>
      <c r="E21" s="73">
        <f>'DOE25'!H22</f>
        <v>31389.8</v>
      </c>
      <c r="F21" s="73">
        <f>'DOE25'!I22</f>
        <v>0</v>
      </c>
      <c r="G21" s="73">
        <f>'DOE25'!J22</f>
        <v>0</v>
      </c>
      <c r="H21" s="13">
        <f t="shared" ref="H21:H31" si="1">SUM(C21:G21)</f>
        <v>522525.06999999995</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59738.13</v>
      </c>
      <c r="D23" s="73">
        <f>'DOE25'!G24</f>
        <v>10348.4</v>
      </c>
      <c r="E23" s="73">
        <f>'DOE25'!H24</f>
        <v>0</v>
      </c>
      <c r="F23" s="73">
        <f>'DOE25'!I24</f>
        <v>0</v>
      </c>
      <c r="G23" s="73">
        <f>'DOE25'!J24</f>
        <v>0</v>
      </c>
      <c r="H23" s="13">
        <f t="shared" si="1"/>
        <v>70086.53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100358.98000000001</v>
      </c>
      <c r="D28" s="73">
        <f>'DOE25'!G29</f>
        <v>0</v>
      </c>
      <c r="E28" s="73">
        <f>'DOE25'!H29</f>
        <v>0</v>
      </c>
      <c r="F28" s="73">
        <f>'DOE25'!I29</f>
        <v>0</v>
      </c>
      <c r="G28" s="23" t="s">
        <v>288</v>
      </c>
      <c r="H28" s="13">
        <f t="shared" si="1"/>
        <v>100358.98000000001</v>
      </c>
      <c r="I28" s="90"/>
    </row>
    <row r="29" spans="1:9" x14ac:dyDescent="0.2">
      <c r="A29" s="1" t="s">
        <v>158</v>
      </c>
      <c r="B29" s="6">
        <v>480</v>
      </c>
      <c r="C29" s="73">
        <f>'DOE25'!F30</f>
        <v>11640</v>
      </c>
      <c r="D29" s="73">
        <f>'DOE25'!G30</f>
        <v>34801.449999999997</v>
      </c>
      <c r="E29" s="73">
        <f>'DOE25'!H30</f>
        <v>13639.53</v>
      </c>
      <c r="F29" s="73">
        <f>'DOE25'!I30</f>
        <v>0</v>
      </c>
      <c r="G29" s="23" t="s">
        <v>288</v>
      </c>
      <c r="H29" s="13">
        <f t="shared" si="1"/>
        <v>60080.979999999996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603523.82999999996</v>
      </c>
      <c r="D31" s="38">
        <f>SUM(D21:D30)</f>
        <v>104498.4</v>
      </c>
      <c r="E31" s="38">
        <f>SUM(E21:E30)</f>
        <v>45029.33</v>
      </c>
      <c r="F31" s="38">
        <f>SUM(F21:F30)</f>
        <v>0</v>
      </c>
      <c r="G31" s="38">
        <f>SUM(G21:G30)</f>
        <v>0</v>
      </c>
      <c r="H31" s="38">
        <f t="shared" si="1"/>
        <v>753051.55999999994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2300</v>
      </c>
      <c r="D34" s="73">
        <f>'DOE25'!G35</f>
        <v>14952.61</v>
      </c>
      <c r="E34" s="73">
        <f>'DOE25'!H35</f>
        <v>0</v>
      </c>
      <c r="F34" s="73">
        <f>'DOE25'!I35</f>
        <v>0</v>
      </c>
      <c r="G34" s="23" t="s">
        <v>288</v>
      </c>
      <c r="H34" s="13">
        <f t="shared" ref="H34:H51" si="2">SUM(C34:G34)</f>
        <v>17252.61</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1000000</v>
      </c>
      <c r="D43" s="73">
        <f>'DOE25'!G44</f>
        <v>0</v>
      </c>
      <c r="E43" s="73">
        <f>'DOE25'!H44</f>
        <v>0</v>
      </c>
      <c r="F43" s="73">
        <f>'DOE25'!I44</f>
        <v>0</v>
      </c>
      <c r="G43" s="23" t="s">
        <v>288</v>
      </c>
      <c r="H43" s="13">
        <f t="shared" si="2"/>
        <v>1000000</v>
      </c>
      <c r="I43" s="90"/>
    </row>
    <row r="44" spans="1:9" x14ac:dyDescent="0.2">
      <c r="A44" s="1" t="s">
        <v>860</v>
      </c>
      <c r="B44" s="6">
        <v>753</v>
      </c>
      <c r="C44" s="73">
        <f>'DOE25'!F45</f>
        <v>25744.26</v>
      </c>
      <c r="D44" s="73">
        <f>'DOE25'!G45</f>
        <v>0</v>
      </c>
      <c r="E44" s="73">
        <f>'DOE25'!H45</f>
        <v>0</v>
      </c>
      <c r="F44" s="73">
        <f>'DOE25'!I45</f>
        <v>0</v>
      </c>
      <c r="G44" s="73">
        <f>'DOE25'!J45</f>
        <v>0</v>
      </c>
      <c r="H44" s="13">
        <f t="shared" si="2"/>
        <v>25744.26</v>
      </c>
      <c r="I44" s="90"/>
    </row>
    <row r="45" spans="1:9" x14ac:dyDescent="0.2">
      <c r="A45" s="1" t="s">
        <v>876</v>
      </c>
      <c r="B45" s="6"/>
      <c r="C45" s="73">
        <f>'DOE25'!F46</f>
        <v>200000</v>
      </c>
      <c r="D45" s="23" t="s">
        <v>288</v>
      </c>
      <c r="E45" s="23" t="s">
        <v>288</v>
      </c>
      <c r="F45" s="23" t="s">
        <v>288</v>
      </c>
      <c r="G45" s="23" t="s">
        <v>288</v>
      </c>
      <c r="H45" s="13">
        <f t="shared" si="2"/>
        <v>200000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48882.75</v>
      </c>
      <c r="E47" s="73">
        <f>'DOE25'!H48</f>
        <v>0</v>
      </c>
      <c r="F47" s="73">
        <f>'DOE25'!I48</f>
        <v>0</v>
      </c>
      <c r="G47" s="73">
        <f>'DOE25'!J48</f>
        <v>2042273.69</v>
      </c>
      <c r="H47" s="13">
        <f t="shared" si="2"/>
        <v>2091156.44</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350367.44000000006</v>
      </c>
      <c r="D49" s="23" t="s">
        <v>288</v>
      </c>
      <c r="E49" s="23" t="s">
        <v>288</v>
      </c>
      <c r="F49" s="23" t="s">
        <v>288</v>
      </c>
      <c r="G49" s="23" t="s">
        <v>288</v>
      </c>
      <c r="H49" s="13">
        <f t="shared" si="2"/>
        <v>350367.44000000006</v>
      </c>
      <c r="I49" s="90"/>
    </row>
    <row r="50" spans="1:9" ht="12.75" thickTop="1" thickBot="1" x14ac:dyDescent="0.25">
      <c r="A50" s="35" t="s">
        <v>880</v>
      </c>
      <c r="B50" s="44"/>
      <c r="C50" s="38">
        <f>SUM(C34:C49)</f>
        <v>1578411.7000000002</v>
      </c>
      <c r="D50" s="38">
        <f>SUM(D34:D49)</f>
        <v>63835.360000000001</v>
      </c>
      <c r="E50" s="38">
        <f>SUM(E34:E49)</f>
        <v>0</v>
      </c>
      <c r="F50" s="38">
        <f>SUM(F34:F49)</f>
        <v>0</v>
      </c>
      <c r="G50" s="38">
        <f>SUM(G34:G49)</f>
        <v>2042273.69</v>
      </c>
      <c r="H50" s="38">
        <f t="shared" si="2"/>
        <v>3684520.75</v>
      </c>
      <c r="I50" s="90"/>
    </row>
    <row r="51" spans="1:9" ht="12" thickTop="1" x14ac:dyDescent="0.2">
      <c r="A51" s="35" t="s">
        <v>881</v>
      </c>
      <c r="B51" s="2"/>
      <c r="C51" s="38">
        <f>C50+C31</f>
        <v>2181935.5300000003</v>
      </c>
      <c r="D51" s="38">
        <f>D50+D31</f>
        <v>168333.76</v>
      </c>
      <c r="E51" s="38">
        <f>E50+E31</f>
        <v>45029.33</v>
      </c>
      <c r="F51" s="38">
        <f>F50+F31</f>
        <v>0</v>
      </c>
      <c r="G51" s="38">
        <f>G50+G31</f>
        <v>2042273.69</v>
      </c>
      <c r="H51" s="38">
        <f t="shared" si="2"/>
        <v>4437572.3100000005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25578376</v>
      </c>
      <c r="D56" s="73">
        <f>'DOE25'!G60</f>
        <v>0</v>
      </c>
      <c r="E56" s="73">
        <f>'DOE25'!H60</f>
        <v>0</v>
      </c>
      <c r="F56" s="73">
        <f>'DOE25'!I60</f>
        <v>0</v>
      </c>
      <c r="G56" s="73">
        <f>'DOE25'!J60</f>
        <v>0</v>
      </c>
      <c r="H56" s="13">
        <f t="shared" ref="H56:H63" si="3">SUM(C56:G56)</f>
        <v>25578376</v>
      </c>
      <c r="I56"/>
    </row>
    <row r="57" spans="1:9" x14ac:dyDescent="0.2">
      <c r="A57" s="1" t="s">
        <v>164</v>
      </c>
      <c r="B57" s="6" t="s">
        <v>165</v>
      </c>
      <c r="C57" s="73">
        <f>'DOE25'!F79</f>
        <v>184912.5</v>
      </c>
      <c r="D57" s="23" t="s">
        <v>288</v>
      </c>
      <c r="E57" s="73">
        <f>'DOE25'!H79</f>
        <v>0</v>
      </c>
      <c r="F57" s="23" t="s">
        <v>288</v>
      </c>
      <c r="G57" s="23" t="s">
        <v>288</v>
      </c>
      <c r="H57" s="13">
        <f t="shared" si="3"/>
        <v>184912.5</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75187.55</v>
      </c>
      <c r="D59" s="73">
        <f>'DOE25'!G96</f>
        <v>0</v>
      </c>
      <c r="E59" s="73">
        <f>'DOE25'!H96</f>
        <v>0</v>
      </c>
      <c r="F59" s="73">
        <f>'DOE25'!I96</f>
        <v>0</v>
      </c>
      <c r="G59" s="73">
        <f>'DOE25'!J96</f>
        <v>46892.03</v>
      </c>
      <c r="H59" s="13">
        <f t="shared" si="3"/>
        <v>122079.58</v>
      </c>
      <c r="I59"/>
    </row>
    <row r="60" spans="1:9" x14ac:dyDescent="0.2">
      <c r="A60" s="1" t="s">
        <v>170</v>
      </c>
      <c r="B60" s="22" t="s">
        <v>171</v>
      </c>
      <c r="C60" s="23" t="s">
        <v>288</v>
      </c>
      <c r="D60" s="73">
        <f>'DOE25'!G97</f>
        <v>261090.18</v>
      </c>
      <c r="E60" s="23" t="s">
        <v>288</v>
      </c>
      <c r="F60" s="23" t="s">
        <v>288</v>
      </c>
      <c r="G60" s="23" t="s">
        <v>288</v>
      </c>
      <c r="H60" s="13">
        <f t="shared" si="3"/>
        <v>261090.18</v>
      </c>
      <c r="I60"/>
    </row>
    <row r="61" spans="1:9" ht="12" thickBot="1" x14ac:dyDescent="0.25">
      <c r="A61" s="1" t="s">
        <v>172</v>
      </c>
      <c r="B61" s="22" t="s">
        <v>173</v>
      </c>
      <c r="C61" s="73">
        <f>SUM('DOE25'!F98:F110)</f>
        <v>6220.2699999999995</v>
      </c>
      <c r="D61" s="73">
        <f>SUM('DOE25'!G98:G110)</f>
        <v>0</v>
      </c>
      <c r="E61" s="73">
        <f>SUM('DOE25'!H98:H110)</f>
        <v>27048.41</v>
      </c>
      <c r="F61" s="73">
        <f>SUM('DOE25'!I98:I110)</f>
        <v>0</v>
      </c>
      <c r="G61" s="73">
        <f>SUM('DOE25'!J98:J110)</f>
        <v>0</v>
      </c>
      <c r="H61" s="13">
        <f t="shared" si="3"/>
        <v>33268.68</v>
      </c>
      <c r="I61"/>
    </row>
    <row r="62" spans="1:9" ht="12.75" thickTop="1" thickBot="1" x14ac:dyDescent="0.25">
      <c r="A62" s="28" t="s">
        <v>174</v>
      </c>
      <c r="B62" s="6"/>
      <c r="C62" s="93">
        <f>SUM(C57:C61)</f>
        <v>266320.32</v>
      </c>
      <c r="D62" s="93">
        <f>SUM(D57:D61)</f>
        <v>261090.18</v>
      </c>
      <c r="E62" s="93">
        <f>SUM(E57:E61)</f>
        <v>27048.41</v>
      </c>
      <c r="F62" s="93">
        <f>SUM(F57:F61)</f>
        <v>0</v>
      </c>
      <c r="G62" s="93">
        <f>SUM(G57:G61)</f>
        <v>46892.03</v>
      </c>
      <c r="H62" s="13">
        <f t="shared" si="3"/>
        <v>601350.94000000006</v>
      </c>
      <c r="I62"/>
    </row>
    <row r="63" spans="1:9" ht="12" thickTop="1" x14ac:dyDescent="0.2">
      <c r="A63" s="28" t="s">
        <v>175</v>
      </c>
      <c r="B63" s="6"/>
      <c r="C63" s="21">
        <f>C56+C62</f>
        <v>25844696.32</v>
      </c>
      <c r="D63" s="21">
        <f>D56+D62</f>
        <v>261090.18</v>
      </c>
      <c r="E63" s="21">
        <f>E56+E62</f>
        <v>27048.41</v>
      </c>
      <c r="F63" s="21">
        <f>F56+F62</f>
        <v>0</v>
      </c>
      <c r="G63" s="21">
        <f>G56+G62</f>
        <v>46892.03</v>
      </c>
      <c r="H63" s="13">
        <f t="shared" si="3"/>
        <v>26179726.940000001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2858330.17</v>
      </c>
      <c r="D66" s="23" t="s">
        <v>288</v>
      </c>
      <c r="E66" s="23" t="s">
        <v>288</v>
      </c>
      <c r="F66" s="23" t="s">
        <v>288</v>
      </c>
      <c r="G66" s="23" t="s">
        <v>288</v>
      </c>
      <c r="H66" s="13">
        <f t="shared" ref="H66:H81" si="4">SUM(C66:G66)</f>
        <v>2858330.17</v>
      </c>
      <c r="I66"/>
    </row>
    <row r="67" spans="1:9" x14ac:dyDescent="0.2">
      <c r="A67" s="1" t="s">
        <v>767</v>
      </c>
      <c r="B67" s="6">
        <v>3112</v>
      </c>
      <c r="C67" s="73">
        <f>'DOE25'!F118</f>
        <v>2464151</v>
      </c>
      <c r="D67" s="23"/>
      <c r="E67" s="23"/>
      <c r="F67" s="23"/>
      <c r="G67" s="23"/>
      <c r="H67" s="13">
        <f t="shared" si="4"/>
        <v>2464151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16134.51</v>
      </c>
      <c r="D69" s="73">
        <f>'DOE25'!G120</f>
        <v>0</v>
      </c>
      <c r="E69" s="73">
        <f>'DOE25'!H120</f>
        <v>0</v>
      </c>
      <c r="F69" s="73">
        <f>'DOE25'!I120</f>
        <v>0</v>
      </c>
      <c r="G69" s="73">
        <f>'DOE25'!J120</f>
        <v>0</v>
      </c>
      <c r="H69" s="13">
        <f t="shared" si="4"/>
        <v>16134.51</v>
      </c>
      <c r="I69"/>
    </row>
    <row r="70" spans="1:9" ht="12" thickTop="1" x14ac:dyDescent="0.2">
      <c r="A70" s="28" t="s">
        <v>252</v>
      </c>
      <c r="B70" s="2"/>
      <c r="C70" s="97">
        <f>SUM(C66:C69)</f>
        <v>5338615.68</v>
      </c>
      <c r="D70" s="97">
        <f>D69</f>
        <v>0</v>
      </c>
      <c r="E70" s="97">
        <f>E69</f>
        <v>0</v>
      </c>
      <c r="F70" s="97">
        <f>F69</f>
        <v>0</v>
      </c>
      <c r="G70" s="97">
        <f>G69</f>
        <v>0</v>
      </c>
      <c r="H70" s="13">
        <f t="shared" si="4"/>
        <v>5338615.68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655934.11</v>
      </c>
      <c r="D75" s="23" t="s">
        <v>288</v>
      </c>
      <c r="E75" s="23" t="s">
        <v>288</v>
      </c>
      <c r="F75" s="23" t="s">
        <v>288</v>
      </c>
      <c r="G75" s="23" t="s">
        <v>288</v>
      </c>
      <c r="H75" s="13">
        <f t="shared" si="4"/>
        <v>655934.11</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5012.6899999999996</v>
      </c>
      <c r="E77" s="73">
        <f>SUM('DOE25'!H131:H135)</f>
        <v>45118</v>
      </c>
      <c r="F77" s="73">
        <f>SUM('DOE25'!I131:I135)</f>
        <v>0</v>
      </c>
      <c r="G77" s="73">
        <f>SUM('DOE25'!J131:J135)</f>
        <v>0</v>
      </c>
      <c r="H77" s="13">
        <f t="shared" si="4"/>
        <v>50130.69</v>
      </c>
      <c r="I77"/>
    </row>
    <row r="78" spans="1:9" ht="12.75" thickTop="1" thickBot="1" x14ac:dyDescent="0.25">
      <c r="A78" s="28" t="s">
        <v>259</v>
      </c>
      <c r="B78" s="6"/>
      <c r="C78" s="93">
        <f>SUM(C72:C77)</f>
        <v>655934.11</v>
      </c>
      <c r="D78" s="93">
        <f>SUM(D72:D77)</f>
        <v>5012.6899999999996</v>
      </c>
      <c r="E78" s="93">
        <f>SUM(E72:E77)</f>
        <v>45118</v>
      </c>
      <c r="F78" s="93">
        <f>SUM(F72:F77)</f>
        <v>0</v>
      </c>
      <c r="G78" s="93">
        <f>SUM(G72:G77)</f>
        <v>0</v>
      </c>
      <c r="H78" s="13">
        <f t="shared" si="4"/>
        <v>706064.79999999993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5994549.79</v>
      </c>
      <c r="D81" s="93">
        <f>SUM(D79:D80)+D78+D70</f>
        <v>5012.6899999999996</v>
      </c>
      <c r="E81" s="93">
        <f>SUM(E79:E80)+E78+E70</f>
        <v>45118</v>
      </c>
      <c r="F81" s="93">
        <f>SUM(F79:F80)+F78+F70</f>
        <v>0</v>
      </c>
      <c r="G81" s="93">
        <f>SUM(G79:G80)+G78+G70</f>
        <v>0</v>
      </c>
      <c r="H81" s="93">
        <f t="shared" si="4"/>
        <v>6044680.4800000004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13832.53</v>
      </c>
      <c r="D85" s="73">
        <f>'DOE25'!G147</f>
        <v>0</v>
      </c>
      <c r="E85" s="73">
        <f>'DOE25'!H147</f>
        <v>0</v>
      </c>
      <c r="F85" s="73">
        <f>'DOE25'!I147</f>
        <v>0</v>
      </c>
      <c r="G85" s="23" t="s">
        <v>288</v>
      </c>
      <c r="H85" s="13">
        <f t="shared" ref="H85:H104" si="5">SUM(C85:G85)</f>
        <v>13832.53</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6301.66</v>
      </c>
      <c r="D88" s="252">
        <f>SUM('DOE25'!G153:G162)</f>
        <v>129509.88</v>
      </c>
      <c r="E88" s="252">
        <f>SUM('DOE25'!H153:H162)</f>
        <v>568565.75</v>
      </c>
      <c r="F88" s="252">
        <f>SUM('DOE25'!I153:I162)</f>
        <v>0</v>
      </c>
      <c r="G88" s="23" t="s">
        <v>288</v>
      </c>
      <c r="H88" s="13">
        <f t="shared" si="5"/>
        <v>704377.29</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20134.190000000002</v>
      </c>
      <c r="D91" s="94">
        <f>SUM(D85:D90)</f>
        <v>129509.88</v>
      </c>
      <c r="E91" s="94">
        <f>SUM(E85:E90)</f>
        <v>568565.75</v>
      </c>
      <c r="F91" s="94">
        <f>SUM(F85:F90)</f>
        <v>0</v>
      </c>
      <c r="G91" s="23" t="s">
        <v>288</v>
      </c>
      <c r="H91" s="13">
        <f t="shared" si="5"/>
        <v>718209.82000000007</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1273888</v>
      </c>
      <c r="H96" s="13">
        <f t="shared" si="5"/>
        <v>1273888</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146392.85</v>
      </c>
      <c r="D99" s="73">
        <f>'DOE25'!G186</f>
        <v>0</v>
      </c>
      <c r="E99" s="73">
        <f>'DOE25'!H186</f>
        <v>0</v>
      </c>
      <c r="F99" s="73">
        <f>'DOE25'!I186</f>
        <v>0</v>
      </c>
      <c r="G99" s="23" t="s">
        <v>288</v>
      </c>
      <c r="H99" s="13">
        <f t="shared" si="5"/>
        <v>146392.85</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146392.85</v>
      </c>
      <c r="D103" s="68">
        <f>SUM(D93:D102)</f>
        <v>0</v>
      </c>
      <c r="E103" s="68">
        <f>SUM(E93:E102)</f>
        <v>0</v>
      </c>
      <c r="F103" s="68">
        <f>SUM(F93:F102)</f>
        <v>0</v>
      </c>
      <c r="G103" s="68">
        <f>SUM(G93:G102)</f>
        <v>1273888</v>
      </c>
      <c r="H103" s="68">
        <f t="shared" si="5"/>
        <v>1420280.85</v>
      </c>
    </row>
    <row r="104" spans="1:8" ht="12.75" thickTop="1" thickBot="1" x14ac:dyDescent="0.25">
      <c r="A104" s="32" t="s">
        <v>758</v>
      </c>
      <c r="C104" s="68">
        <f>C63+C81+C91+C103</f>
        <v>32005773.150000002</v>
      </c>
      <c r="D104" s="68">
        <f>D63+D81+D91+D103</f>
        <v>395612.75</v>
      </c>
      <c r="E104" s="68">
        <f>E63+E81+E91+E103</f>
        <v>640732.16000000003</v>
      </c>
      <c r="F104" s="68">
        <f>F63+F81+F91+F103</f>
        <v>0</v>
      </c>
      <c r="G104" s="68">
        <f>G63+G81+G103</f>
        <v>1320780.03</v>
      </c>
      <c r="H104" s="68">
        <f t="shared" si="5"/>
        <v>34362898.090000004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14860823.279999997</v>
      </c>
      <c r="D109" s="23" t="s">
        <v>288</v>
      </c>
      <c r="E109" s="73">
        <f>('DOE25'!L277)+('DOE25'!L296)+('DOE25'!L315)</f>
        <v>141578.36000000002</v>
      </c>
      <c r="F109" s="23" t="s">
        <v>288</v>
      </c>
      <c r="G109" s="23" t="s">
        <v>288</v>
      </c>
      <c r="H109" s="13">
        <f t="shared" ref="H109:H115" si="6">SUM(C109:G109)</f>
        <v>15002401.639999997</v>
      </c>
    </row>
    <row r="110" spans="1:8" x14ac:dyDescent="0.2">
      <c r="A110" t="s">
        <v>198</v>
      </c>
      <c r="B110" s="31" t="s">
        <v>199</v>
      </c>
      <c r="C110" s="73">
        <f>('DOE25'!L199)+('DOE25'!L217)+('DOE25'!L235)</f>
        <v>8264402.7199999997</v>
      </c>
      <c r="D110" s="23" t="s">
        <v>288</v>
      </c>
      <c r="E110" s="73">
        <f>('DOE25'!L278)+('DOE25'!L297)+('DOE25'!L316)</f>
        <v>286349.79000000004</v>
      </c>
      <c r="F110" s="23" t="s">
        <v>288</v>
      </c>
      <c r="G110" s="23" t="s">
        <v>288</v>
      </c>
      <c r="H110" s="13">
        <f t="shared" si="6"/>
        <v>8550752.5099999998</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113743.92000000001</v>
      </c>
      <c r="D112" s="23" t="s">
        <v>288</v>
      </c>
      <c r="E112" s="73">
        <f>+('DOE25'!L280)+('DOE25'!L299)+('DOE25'!L318)</f>
        <v>29461.09</v>
      </c>
      <c r="F112" s="23" t="s">
        <v>288</v>
      </c>
      <c r="G112" s="23" t="s">
        <v>288</v>
      </c>
      <c r="H112" s="13">
        <f t="shared" si="6"/>
        <v>143205.01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18838.5</v>
      </c>
      <c r="D114" s="23" t="s">
        <v>288</v>
      </c>
      <c r="E114" s="73">
        <f>+ SUM('DOE25'!L334:L336)</f>
        <v>5502</v>
      </c>
      <c r="F114" s="23" t="s">
        <v>288</v>
      </c>
      <c r="G114" s="23" t="s">
        <v>288</v>
      </c>
      <c r="H114" s="13">
        <f t="shared" si="6"/>
        <v>24340.5</v>
      </c>
    </row>
    <row r="115" spans="1:8" ht="12.75" thickTop="1" thickBot="1" x14ac:dyDescent="0.25">
      <c r="A115" s="32" t="s">
        <v>205</v>
      </c>
      <c r="C115" s="68">
        <f>SUM(C109:C114)</f>
        <v>23257808.419999998</v>
      </c>
      <c r="D115" s="68">
        <f>SUM(D109:D114)</f>
        <v>0</v>
      </c>
      <c r="E115" s="68">
        <f>SUM(E109:E114)</f>
        <v>462891.24000000005</v>
      </c>
      <c r="F115" s="68">
        <f>SUM(F109:F114)</f>
        <v>0</v>
      </c>
      <c r="G115" s="68">
        <f>SUM(G109:G114)</f>
        <v>0</v>
      </c>
      <c r="H115" s="68">
        <f t="shared" si="6"/>
        <v>23720699.659999996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1452687.14</v>
      </c>
      <c r="D118" s="23" t="s">
        <v>288</v>
      </c>
      <c r="E118" s="73">
        <f>+('DOE25'!L282)+('DOE25'!L301)+('DOE25'!L320)</f>
        <v>2538.784439518683</v>
      </c>
      <c r="F118" s="23" t="s">
        <v>288</v>
      </c>
      <c r="G118" s="23" t="s">
        <v>288</v>
      </c>
      <c r="H118" s="13">
        <f t="shared" ref="H118:H145" si="7">SUM(C118:G118)</f>
        <v>1455225.9244395185</v>
      </c>
    </row>
    <row r="119" spans="1:8" x14ac:dyDescent="0.2">
      <c r="A119" t="s">
        <v>208</v>
      </c>
      <c r="B119" s="31" t="s">
        <v>209</v>
      </c>
      <c r="C119" s="73">
        <f>('DOE25'!L204)+('DOE25'!L222)+('DOE25'!L240)</f>
        <v>516743.93999999994</v>
      </c>
      <c r="D119" s="23" t="s">
        <v>288</v>
      </c>
      <c r="E119" s="73">
        <f>+('DOE25'!L283)+('DOE25'!L302)+('DOE25'!L321)</f>
        <v>102838.78861304623</v>
      </c>
      <c r="F119" s="23" t="s">
        <v>288</v>
      </c>
      <c r="G119" s="23" t="s">
        <v>288</v>
      </c>
      <c r="H119" s="13">
        <f t="shared" si="7"/>
        <v>619582.72861304623</v>
      </c>
    </row>
    <row r="120" spans="1:8" x14ac:dyDescent="0.2">
      <c r="A120" t="s">
        <v>210</v>
      </c>
      <c r="B120" s="31" t="s">
        <v>211</v>
      </c>
      <c r="C120" s="73">
        <f>('DOE25'!L205)+('DOE25'!L223)+('DOE25'!L241)</f>
        <v>380199.01</v>
      </c>
      <c r="D120" s="23" t="s">
        <v>288</v>
      </c>
      <c r="E120" s="73">
        <f>+('DOE25'!L284)+('DOE25'!L303)+('DOE25'!L322)</f>
        <v>0</v>
      </c>
      <c r="F120" s="23" t="s">
        <v>288</v>
      </c>
      <c r="G120" s="23" t="s">
        <v>288</v>
      </c>
      <c r="H120" s="13">
        <f t="shared" si="7"/>
        <v>380199.01</v>
      </c>
    </row>
    <row r="121" spans="1:8" x14ac:dyDescent="0.2">
      <c r="A121" t="s">
        <v>212</v>
      </c>
      <c r="B121" s="31" t="s">
        <v>213</v>
      </c>
      <c r="C121" s="73">
        <f>('DOE25'!L206)+('DOE25'!L224)+('DOE25'!L242)</f>
        <v>1214535.8700000001</v>
      </c>
      <c r="D121" s="23" t="s">
        <v>288</v>
      </c>
      <c r="E121" s="73">
        <f>+('DOE25'!L285)+('DOE25'!L304)+('DOE25'!L323)</f>
        <v>0</v>
      </c>
      <c r="F121" s="23" t="s">
        <v>288</v>
      </c>
      <c r="G121" s="23" t="s">
        <v>288</v>
      </c>
      <c r="H121" s="13">
        <f t="shared" si="7"/>
        <v>1214535.8700000001</v>
      </c>
    </row>
    <row r="122" spans="1:8" x14ac:dyDescent="0.2">
      <c r="A122" t="s">
        <v>214</v>
      </c>
      <c r="B122" s="31" t="s">
        <v>215</v>
      </c>
      <c r="C122" s="73">
        <f>('DOE25'!L207)+('DOE25'!L225)+('DOE25'!L243)</f>
        <v>383383.83</v>
      </c>
      <c r="D122" s="23" t="s">
        <v>288</v>
      </c>
      <c r="E122" s="73">
        <f>+('DOE25'!L286)+('DOE25'!L305)+('DOE25'!L324)</f>
        <v>0</v>
      </c>
      <c r="F122" s="23" t="s">
        <v>288</v>
      </c>
      <c r="G122" s="23" t="s">
        <v>288</v>
      </c>
      <c r="H122" s="13">
        <f t="shared" si="7"/>
        <v>383383.83</v>
      </c>
    </row>
    <row r="123" spans="1:8" x14ac:dyDescent="0.2">
      <c r="A123" t="s">
        <v>216</v>
      </c>
      <c r="B123" s="31" t="s">
        <v>217</v>
      </c>
      <c r="C123" s="73">
        <f>('DOE25'!L208)+('DOE25'!L226)+('DOE25'!L244)</f>
        <v>1890271.2899999998</v>
      </c>
      <c r="D123" s="23" t="s">
        <v>288</v>
      </c>
      <c r="E123" s="73">
        <f>+('DOE25'!L287)+('DOE25'!L306)+('DOE25'!L325)</f>
        <v>65346.001000633318</v>
      </c>
      <c r="F123" s="23" t="s">
        <v>288</v>
      </c>
      <c r="G123" s="23" t="s">
        <v>288</v>
      </c>
      <c r="H123" s="13">
        <f t="shared" si="7"/>
        <v>1955617.291000633</v>
      </c>
    </row>
    <row r="124" spans="1:8" x14ac:dyDescent="0.2">
      <c r="A124" t="s">
        <v>218</v>
      </c>
      <c r="B124" s="31" t="s">
        <v>219</v>
      </c>
      <c r="C124" s="73">
        <f>('DOE25'!L209)+('DOE25'!L227)+('DOE25'!L245+'DOE25'!L255)</f>
        <v>1804841.2999999998</v>
      </c>
      <c r="D124" s="23" t="s">
        <v>288</v>
      </c>
      <c r="E124" s="73">
        <f>+('DOE25'!L288)+('DOE25'!L307)+('DOE25'!L326)</f>
        <v>7117.35</v>
      </c>
      <c r="F124" s="23" t="s">
        <v>288</v>
      </c>
      <c r="G124" s="23" t="s">
        <v>288</v>
      </c>
      <c r="H124" s="13">
        <f t="shared" si="7"/>
        <v>1811958.65</v>
      </c>
    </row>
    <row r="125" spans="1:8" x14ac:dyDescent="0.2">
      <c r="A125" t="s">
        <v>220</v>
      </c>
      <c r="B125" s="31" t="s">
        <v>221</v>
      </c>
      <c r="C125" s="73">
        <f>('DOE25'!L210)+('DOE25'!L228)+('DOE25'!L246)</f>
        <v>319997.09000000003</v>
      </c>
      <c r="D125" s="23" t="s">
        <v>288</v>
      </c>
      <c r="E125" s="73">
        <f>+('DOE25'!L289)+('DOE25'!L308)+('DOE25'!L327)</f>
        <v>0</v>
      </c>
      <c r="F125" s="23" t="s">
        <v>288</v>
      </c>
      <c r="G125" s="23" t="s">
        <v>288</v>
      </c>
      <c r="H125" s="13">
        <f t="shared" si="7"/>
        <v>319997.09000000003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410444.03</v>
      </c>
      <c r="E127" s="23" t="s">
        <v>288</v>
      </c>
      <c r="F127" s="23" t="s">
        <v>288</v>
      </c>
      <c r="G127" s="23" t="s">
        <v>288</v>
      </c>
      <c r="H127" s="13">
        <f t="shared" si="7"/>
        <v>410444.03</v>
      </c>
    </row>
    <row r="128" spans="1:8" ht="12.75" thickTop="1" thickBot="1" x14ac:dyDescent="0.25">
      <c r="A128" s="32" t="s">
        <v>226</v>
      </c>
      <c r="C128" s="68">
        <f>SUM(C118:C127)</f>
        <v>7962659.4699999997</v>
      </c>
      <c r="D128" s="68">
        <f>SUM(D118:D127)</f>
        <v>410444.03</v>
      </c>
      <c r="E128" s="68">
        <f>SUM(E118:E127)</f>
        <v>177840.92405319822</v>
      </c>
      <c r="F128" s="68">
        <f>SUM(F118:F127)</f>
        <v>0</v>
      </c>
      <c r="G128" s="68">
        <f>SUM(G118:G127)</f>
        <v>0</v>
      </c>
      <c r="H128" s="68">
        <f t="shared" si="7"/>
        <v>8550944.4240531977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396094.28</v>
      </c>
      <c r="D130" s="23" t="s">
        <v>288</v>
      </c>
      <c r="E130" s="92">
        <f>'DOE25'!L337</f>
        <v>0</v>
      </c>
      <c r="F130" s="92">
        <f>SUM('DOE25'!L375:'DOE25'!L381)</f>
        <v>0</v>
      </c>
      <c r="G130" s="23" t="s">
        <v>288</v>
      </c>
      <c r="H130" s="13">
        <f t="shared" si="7"/>
        <v>396094.28</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1320780.03</v>
      </c>
      <c r="D138" s="23" t="s">
        <v>288</v>
      </c>
      <c r="E138" s="23" t="s">
        <v>288</v>
      </c>
      <c r="F138" s="23" t="s">
        <v>288</v>
      </c>
      <c r="G138" s="23" t="s">
        <v>288</v>
      </c>
      <c r="H138" s="13">
        <f t="shared" si="7"/>
        <v>1320780.03</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-46892.030000000028</v>
      </c>
      <c r="D141" s="23" t="s">
        <v>288</v>
      </c>
      <c r="E141" s="23" t="s">
        <v>288</v>
      </c>
      <c r="F141" s="23" t="s">
        <v>288</v>
      </c>
      <c r="G141" s="23" t="s">
        <v>288</v>
      </c>
      <c r="H141" s="13">
        <f t="shared" si="7"/>
        <v>-46892.030000000028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1669982.28</v>
      </c>
      <c r="D144" s="98">
        <f>SUM(D130:D143)</f>
        <v>0</v>
      </c>
      <c r="E144" s="98">
        <f>SUM(E130:E143)</f>
        <v>0</v>
      </c>
      <c r="F144" s="98">
        <f>SUM(F130:F143)</f>
        <v>0</v>
      </c>
      <c r="G144" s="98">
        <f>SUM(G130:G143)</f>
        <v>0</v>
      </c>
      <c r="H144" s="98">
        <f t="shared" si="7"/>
        <v>1669982.28</v>
      </c>
    </row>
    <row r="145" spans="1:9" ht="12.75" thickTop="1" thickBot="1" x14ac:dyDescent="0.25">
      <c r="A145" s="32" t="s">
        <v>244</v>
      </c>
      <c r="C145" s="68">
        <f>(C115+C128+C144)</f>
        <v>32890450.169999998</v>
      </c>
      <c r="D145" s="68">
        <f>(D115+D128+D144)</f>
        <v>410444.03</v>
      </c>
      <c r="E145" s="68">
        <f>(E115+E128+E144)</f>
        <v>640732.1640531983</v>
      </c>
      <c r="F145" s="68">
        <f>(F115+F128+F144)</f>
        <v>0</v>
      </c>
      <c r="G145" s="68">
        <f>(G115+G128+G144)</f>
        <v>0</v>
      </c>
      <c r="H145" s="68">
        <f t="shared" si="7"/>
        <v>33941626.364053197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Hampstead</v>
      </c>
    </row>
    <row r="3" spans="1:4" x14ac:dyDescent="0.2">
      <c r="B3" s="136" t="s">
        <v>1792</v>
      </c>
    </row>
    <row r="4" spans="1:4" x14ac:dyDescent="0.2">
      <c r="B4" t="s">
        <v>61</v>
      </c>
      <c r="C4" s="128">
        <f>IF('DOE25'!F666+'DOE25'!F671=0,0,ROUND('DOE25'!F673,0))</f>
        <v>25559</v>
      </c>
    </row>
    <row r="5" spans="1:4" x14ac:dyDescent="0.2">
      <c r="B5" t="s">
        <v>700</v>
      </c>
      <c r="C5" s="128">
        <f>IF('DOE25'!G666+'DOE25'!G671=0,0,ROUND('DOE25'!G673,0))</f>
        <v>28290</v>
      </c>
    </row>
    <row r="6" spans="1:4" x14ac:dyDescent="0.2">
      <c r="B6" t="s">
        <v>62</v>
      </c>
      <c r="C6" s="128">
        <f>IF('DOE25'!H666+'DOE25'!H671=0,0,ROUND('DOE25'!H673,0))</f>
        <v>0</v>
      </c>
    </row>
    <row r="7" spans="1:4" x14ac:dyDescent="0.2">
      <c r="B7" t="s">
        <v>701</v>
      </c>
      <c r="C7" s="128">
        <f>IF('DOE25'!I666+'DOE25'!I671=0,0,ROUND('DOE25'!I673,0))</f>
        <v>26754</v>
      </c>
    </row>
    <row r="9" spans="1:4" x14ac:dyDescent="0.2">
      <c r="A9" s="135" t="s">
        <v>94</v>
      </c>
      <c r="B9" s="136" t="s">
        <v>1793</v>
      </c>
      <c r="C9" s="130" t="s">
        <v>720</v>
      </c>
      <c r="D9" s="130" t="s">
        <v>721</v>
      </c>
    </row>
    <row r="10" spans="1:4" x14ac:dyDescent="0.2">
      <c r="A10">
        <v>1100</v>
      </c>
      <c r="B10" t="s">
        <v>702</v>
      </c>
      <c r="C10" s="128">
        <f>ROUND('DOE25'!L198+'DOE25'!L216+'DOE25'!L234+'DOE25'!L277+'DOE25'!L296+'DOE25'!L315,0)</f>
        <v>15002402</v>
      </c>
      <c r="D10" s="131">
        <f>ROUND((C10/$C$28)*100,1)</f>
        <v>46.9</v>
      </c>
    </row>
    <row r="11" spans="1:4" x14ac:dyDescent="0.2">
      <c r="A11">
        <v>1200</v>
      </c>
      <c r="B11" t="s">
        <v>703</v>
      </c>
      <c r="C11" s="128">
        <f>ROUND('DOE25'!L199+'DOE25'!L217+'DOE25'!L235+'DOE25'!L278+'DOE25'!L297+'DOE25'!L316,0)</f>
        <v>8550753</v>
      </c>
      <c r="D11" s="131">
        <f>ROUND((C11/$C$28)*100,1)</f>
        <v>26.7</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143205</v>
      </c>
      <c r="D13" s="131">
        <f>ROUND((C13/$C$28)*100,1)</f>
        <v>0.4</v>
      </c>
    </row>
    <row r="14" spans="1:4" x14ac:dyDescent="0.2">
      <c r="D14" s="131"/>
    </row>
    <row r="15" spans="1:4" x14ac:dyDescent="0.2">
      <c r="A15">
        <v>2100</v>
      </c>
      <c r="B15" t="s">
        <v>706</v>
      </c>
      <c r="C15" s="128">
        <f>ROUND('DOE25'!L203+'DOE25'!L221+'DOE25'!L239+'DOE25'!L282+'DOE25'!L301+'DOE25'!L320,0)</f>
        <v>1455226</v>
      </c>
      <c r="D15" s="131">
        <f t="shared" ref="D15:D27" si="0">ROUND((C15/$C$28)*100,1)</f>
        <v>4.5</v>
      </c>
    </row>
    <row r="16" spans="1:4" x14ac:dyDescent="0.2">
      <c r="A16">
        <v>2200</v>
      </c>
      <c r="B16" t="s">
        <v>707</v>
      </c>
      <c r="C16" s="128">
        <f>ROUND('DOE25'!L204+'DOE25'!L222+'DOE25'!L240+'DOE25'!L283+'DOE25'!L302+'DOE25'!L321,0)</f>
        <v>619583</v>
      </c>
      <c r="D16" s="131">
        <f t="shared" si="0"/>
        <v>1.9</v>
      </c>
    </row>
    <row r="17" spans="1:4" x14ac:dyDescent="0.2">
      <c r="A17" s="132" t="s">
        <v>723</v>
      </c>
      <c r="B17" t="s">
        <v>738</v>
      </c>
      <c r="C17" s="128">
        <f>ROUND('DOE25'!L205+'DOE25'!L210+'DOE25'!L223+'DOE25'!L228+'DOE25'!L241+'DOE25'!L246+'DOE25'!L284+'DOE25'!L289+'DOE25'!L303+'DOE25'!L308+'DOE25'!L322+'DOE25'!L327,0)</f>
        <v>700196</v>
      </c>
      <c r="D17" s="131">
        <f t="shared" si="0"/>
        <v>2.2000000000000002</v>
      </c>
    </row>
    <row r="18" spans="1:4" x14ac:dyDescent="0.2">
      <c r="A18">
        <v>2400</v>
      </c>
      <c r="B18" t="s">
        <v>711</v>
      </c>
      <c r="C18" s="128">
        <f>ROUND('DOE25'!L206+'DOE25'!L224+'DOE25'!L242+'DOE25'!L285+'DOE25'!L304+'DOE25'!L323,0)</f>
        <v>1214536</v>
      </c>
      <c r="D18" s="131">
        <f t="shared" si="0"/>
        <v>3.8</v>
      </c>
    </row>
    <row r="19" spans="1:4" x14ac:dyDescent="0.2">
      <c r="A19">
        <v>2500</v>
      </c>
      <c r="B19" t="s">
        <v>708</v>
      </c>
      <c r="C19" s="128">
        <f>ROUND('DOE25'!L207+'DOE25'!L225+'DOE25'!L243+'DOE25'!L286+'DOE25'!L305+'DOE25'!L324,0)</f>
        <v>383384</v>
      </c>
      <c r="D19" s="131">
        <f t="shared" si="0"/>
        <v>1.2</v>
      </c>
    </row>
    <row r="20" spans="1:4" x14ac:dyDescent="0.2">
      <c r="A20">
        <v>2600</v>
      </c>
      <c r="B20" t="s">
        <v>709</v>
      </c>
      <c r="C20" s="128">
        <f>ROUND('DOE25'!L208+'DOE25'!L226+'DOE25'!L244+'DOE25'!L287+'DOE25'!L306+'DOE25'!L325,0)</f>
        <v>1955617</v>
      </c>
      <c r="D20" s="131">
        <f t="shared" si="0"/>
        <v>6.1</v>
      </c>
    </row>
    <row r="21" spans="1:4" x14ac:dyDescent="0.2">
      <c r="A21">
        <v>2700</v>
      </c>
      <c r="B21" t="s">
        <v>710</v>
      </c>
      <c r="C21" s="128">
        <f>ROUND('DOE25'!L209+'DOE25'!L227+'DOE25'!L245+'DOE25'!L288+'DOE25'!L307+'DOE25'!L326,0)</f>
        <v>1811959</v>
      </c>
      <c r="D21" s="131">
        <f t="shared" si="0"/>
        <v>5.7</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24341</v>
      </c>
      <c r="D24" s="131">
        <f t="shared" si="0"/>
        <v>0.1</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149353.82</v>
      </c>
      <c r="D27" s="131">
        <f t="shared" si="0"/>
        <v>0.5</v>
      </c>
    </row>
    <row r="28" spans="1:4" x14ac:dyDescent="0.2">
      <c r="B28" s="135" t="s">
        <v>719</v>
      </c>
      <c r="C28" s="129">
        <f>SUM(C10:C27)</f>
        <v>32010555.82</v>
      </c>
      <c r="D28" s="133">
        <f>ROUND(SUM(D10:D27),0)</f>
        <v>100</v>
      </c>
    </row>
    <row r="29" spans="1:4" x14ac:dyDescent="0.2">
      <c r="A29">
        <v>4000</v>
      </c>
      <c r="B29" t="s">
        <v>724</v>
      </c>
      <c r="C29" s="128">
        <f>ROUND('DOE25'!L256+'DOE25'!L337+'DOE25'!L375+'DOE25'!L376+'DOE25'!L377+'DOE25'!L378+'DOE25'!L379+'DOE25'!L380+'DOE25'!L381,0)</f>
        <v>396094</v>
      </c>
    </row>
    <row r="30" spans="1:4" x14ac:dyDescent="0.2">
      <c r="B30" s="135" t="s">
        <v>725</v>
      </c>
      <c r="C30" s="129">
        <f>SUM(C28:C29)</f>
        <v>32406649.82</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25578376</v>
      </c>
      <c r="D35" s="131">
        <f t="shared" ref="D35:D40" si="1">ROUND((C35/$C$41)*100,1)</f>
        <v>78.3</v>
      </c>
    </row>
    <row r="36" spans="1:4" x14ac:dyDescent="0.2">
      <c r="B36" s="71" t="s">
        <v>739</v>
      </c>
      <c r="C36" s="128">
        <f>SUM('DOE25'!F112:J112)-SUM('DOE25'!G97:G110)+('DOE25'!F175+'DOE25'!F176+'DOE25'!I175+'DOE25'!I176)-C35</f>
        <v>340260.76000000164</v>
      </c>
      <c r="D36" s="131">
        <f t="shared" si="1"/>
        <v>1</v>
      </c>
    </row>
    <row r="37" spans="1:4" x14ac:dyDescent="0.2">
      <c r="A37" s="132" t="s">
        <v>831</v>
      </c>
      <c r="B37" s="71" t="s">
        <v>728</v>
      </c>
      <c r="C37" s="128">
        <f>ROUND('DOE25'!F117+'DOE25'!F118,0)</f>
        <v>5322481</v>
      </c>
      <c r="D37" s="131">
        <f t="shared" si="1"/>
        <v>16.3</v>
      </c>
    </row>
    <row r="38" spans="1:4" x14ac:dyDescent="0.2">
      <c r="A38" s="132" t="s">
        <v>734</v>
      </c>
      <c r="B38" s="71" t="s">
        <v>729</v>
      </c>
      <c r="C38" s="128">
        <f>ROUND(SUM('DOE25'!F140:J140)-SUM('DOE25'!F117:F119),0)</f>
        <v>722199</v>
      </c>
      <c r="D38" s="131">
        <f t="shared" si="1"/>
        <v>2.2000000000000002</v>
      </c>
    </row>
    <row r="39" spans="1:4" x14ac:dyDescent="0.2">
      <c r="A39">
        <v>4000</v>
      </c>
      <c r="B39" s="71" t="s">
        <v>730</v>
      </c>
      <c r="C39" s="128">
        <f>ROUND('DOE25'!F170+'DOE25'!G170+'DOE25'!H170+'DOE25'!I170,0)</f>
        <v>718210</v>
      </c>
      <c r="D39" s="131">
        <f t="shared" si="1"/>
        <v>2.2000000000000002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32681526.760000002</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Hampstead</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115</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IFERROR(SMALL($T$4:$T$95,ROWS($T$4:T4)),"")</f>
        <v>24</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f>IF('School Level Expenditures'!$B$2='School Tables'!L27,'School Tables'!S27,"")</f>
        <v>24</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f>IF('School Level Expenditures'!$B$2=A118,'School Tables'!H118,"")</f>
        <v>115</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Eaton, Brian</cp:lastModifiedBy>
  <cp:lastPrinted>2024-09-24T17:21:46Z</cp:lastPrinted>
  <dcterms:created xsi:type="dcterms:W3CDTF">1997-12-04T19:04:30Z</dcterms:created>
  <dcterms:modified xsi:type="dcterms:W3CDTF">2024-10-02T14:31:46Z</dcterms:modified>
</cp:coreProperties>
</file>