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F39C1167-059F-4CA2-B8F0-5CDE8AC9591B}"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13" l="1"/>
  <c r="F469" i="1" l="1"/>
  <c r="H205" i="1"/>
  <c r="F50"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H88" i="2" s="1"/>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99" i="15"/>
  <c r="AF77"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C112" i="2" s="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J652" i="1" s="1"/>
  <c r="H653" i="1"/>
  <c r="G654" i="1"/>
  <c r="H654" i="1"/>
  <c r="H655" i="1"/>
  <c r="H656" i="1"/>
  <c r="C13" i="10" l="1"/>
  <c r="H112" i="2"/>
  <c r="H22" i="2"/>
  <c r="H140" i="1"/>
  <c r="H137" i="2"/>
  <c r="H99" i="2"/>
  <c r="H43" i="2"/>
  <c r="E125" i="2"/>
  <c r="H125" i="2" s="1"/>
  <c r="H23" i="2"/>
  <c r="H15" i="2"/>
  <c r="E124" i="2"/>
  <c r="D18" i="13"/>
  <c r="C18" i="13" s="1"/>
  <c r="H102" i="2"/>
  <c r="H80" i="2"/>
  <c r="H132" i="2"/>
  <c r="G662" i="1"/>
  <c r="H36" i="2"/>
  <c r="H48" i="2"/>
  <c r="H28" i="2"/>
  <c r="H34" i="2"/>
  <c r="H13" i="2"/>
  <c r="H100" i="2"/>
  <c r="H79" i="2"/>
  <c r="H73" i="2"/>
  <c r="H97" i="2"/>
  <c r="H61" i="2"/>
  <c r="J112" i="1"/>
  <c r="J194" i="1" s="1"/>
  <c r="G647" i="1" s="1"/>
  <c r="I170" i="1"/>
  <c r="H24" i="2"/>
  <c r="H96" i="2"/>
  <c r="H89" i="2"/>
  <c r="H72" i="2"/>
  <c r="H9" i="2"/>
  <c r="I112" i="1"/>
  <c r="G477" i="1"/>
  <c r="H30" i="2"/>
  <c r="H12" i="2"/>
  <c r="J140" i="1"/>
  <c r="C32" i="10"/>
  <c r="C12" i="10"/>
  <c r="E13" i="13"/>
  <c r="C13" i="13" s="1"/>
  <c r="H87" i="2"/>
  <c r="H77" i="2"/>
  <c r="H26" i="2"/>
  <c r="I409" i="1"/>
  <c r="H35" i="2"/>
  <c r="H94" i="2"/>
  <c r="H69" i="2"/>
  <c r="H29" i="2"/>
  <c r="H25" i="2"/>
  <c r="H17" i="2"/>
  <c r="K36" i="14"/>
  <c r="K37" i="14" s="1"/>
  <c r="D29" i="13"/>
  <c r="D15" i="13"/>
  <c r="C15" i="13" s="1"/>
  <c r="H101" i="2"/>
  <c r="H98" i="2"/>
  <c r="H76" i="2"/>
  <c r="H58" i="2"/>
  <c r="H11" i="2"/>
  <c r="H113" i="2"/>
  <c r="H59" i="2"/>
  <c r="H38" i="2"/>
  <c r="H44" i="2"/>
  <c r="H47" i="2"/>
  <c r="H8" i="2"/>
  <c r="G646" i="1"/>
  <c r="J646" i="1" s="1"/>
  <c r="G409" i="1"/>
  <c r="H646" i="1" s="1"/>
  <c r="C120" i="2"/>
  <c r="H120"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G140" i="1"/>
  <c r="B11" i="16" s="1"/>
  <c r="F140" i="1"/>
  <c r="G63" i="2"/>
  <c r="J619" i="1"/>
  <c r="G42" i="2"/>
  <c r="G50" i="2" s="1"/>
  <c r="J51" i="1"/>
  <c r="G16" i="2"/>
  <c r="G18" i="2" s="1"/>
  <c r="J19" i="1"/>
  <c r="G622" i="1" s="1"/>
  <c r="F546" i="1"/>
  <c r="H435" i="1"/>
  <c r="D103" i="2"/>
  <c r="I140" i="1"/>
  <c r="A22" i="12"/>
  <c r="J653" i="1"/>
  <c r="G572" i="1"/>
  <c r="I435" i="1"/>
  <c r="G435" i="1"/>
  <c r="I664" i="1"/>
  <c r="H62" i="2" l="1"/>
  <c r="D51" i="2"/>
  <c r="H85" i="2"/>
  <c r="H42" i="2"/>
  <c r="F194" i="1"/>
  <c r="H103" i="2"/>
  <c r="H16" i="2"/>
  <c r="H78" i="2"/>
  <c r="H21" i="2"/>
  <c r="H91" i="2"/>
  <c r="H31" i="2"/>
  <c r="D128" i="2"/>
  <c r="D145" i="2" s="1"/>
  <c r="H127" i="2"/>
  <c r="I662" i="1"/>
  <c r="L572" i="1"/>
  <c r="H57" i="2"/>
  <c r="H50" i="2"/>
  <c r="H18" i="2"/>
  <c r="G144" i="2"/>
  <c r="G145" i="2" s="1"/>
  <c r="H134" i="2"/>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<sst xmlns="http://schemas.openxmlformats.org/spreadsheetml/2006/main" count="6640" uniqueCount="1842">
  <si>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</si>
  <si>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</si>
  <si>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</si>
  <si>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</si>
  <si>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</si>
  <si>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</si>
  <si>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</si>
  <si>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</si>
  <si>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</si>
  <si>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</si>
  <si>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</si>
  <si>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</si>
  <si>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</si>
  <si>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</si>
  <si>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</si>
  <si>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</si>
  <si>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</si>
  <si>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</si>
  <si>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</si>
  <si>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</si>
  <si>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</si>
  <si>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</si>
  <si>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</si>
  <si>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</si>
  <si>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</si>
  <si>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</si>
  <si>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</si>
  <si>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</si>
  <si>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</si>
  <si>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</si>
  <si>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</si>
  <si>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</si>
  <si>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</si>
  <si>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</si>
  <si>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</si>
  <si>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</si>
  <si>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</si>
  <si>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</si>
  <si>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</si>
  <si>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</si>
  <si>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</si>
  <si>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</si>
  <si>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</si>
  <si>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</si>
  <si>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</si>
  <si>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</si>
  <si>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</si>
  <si>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</si>
  <si>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</si>
  <si>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</si>
  <si>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</si>
  <si>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</si>
  <si>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</si>
  <si>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</si>
  <si>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</si>
  <si>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</si>
  <si>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</si>
  <si>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</si>
  <si>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</si>
  <si>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</si>
  <si>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</si>
  <si>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</si>
  <si>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</si>
  <si>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</si>
  <si>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</si>
  <si>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</si>
  <si>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</si>
  <si>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</si>
  <si>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</si>
  <si>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</si>
  <si>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</si>
  <si>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</si>
  <si>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</si>
  <si>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</si>
  <si>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</si>
  <si>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</si>
  <si>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</si>
  <si>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</si>
  <si>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</si>
  <si>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</si>
  <si>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</si>
  <si>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</si>
  <si>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</si>
  <si>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</si>
  <si>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</si>
  <si>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</si>
  <si>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</si>
  <si>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</si>
  <si>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</si>
  <si>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</si>
  <si>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</si>
  <si>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</si>
  <si>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</si>
  <si>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</si>
  <si>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</si>
  <si>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</si>
  <si>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</si>
  <si>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</si>
  <si>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</si>
  <si>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</si>
  <si>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</si>
  <si>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</si>
  <si>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</si>
  <si>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</si>
  <si>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</si>
  <si>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</si>
  <si>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</si>
  <si>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</si>
  <si>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</si>
  <si>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</si>
  <si>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</si>
  <si>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</si>
  <si>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</si>
  <si>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</si>
  <si>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</si>
  <si>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</si>
  <si>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</si>
  <si>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</si>
  <si>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</si>
  <si>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</si>
  <si>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</si>
  <si>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</si>
  <si>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</si>
  <si>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</si>
  <si>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</si>
  <si>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</si>
  <si>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</si>
  <si>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</si>
  <si>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</si>
  <si>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</si>
  <si>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</si>
  <si>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</si>
  <si>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</si>
  <si>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</si>
  <si>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</si>
  <si>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</si>
  <si>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</si>
  <si>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</si>
  <si>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</si>
  <si>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</si>
  <si>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</si>
  <si>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</si>
  <si>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</si>
  <si>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</si>
  <si>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</si>
  <si>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</si>
  <si>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</si>
  <si>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</si>
  <si>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</si>
  <si>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</si>
  <si>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</si>
  <si>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</si>
  <si>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</si>
  <si>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</si>
  <si>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</si>
  <si>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</si>
  <si>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</si>
  <si>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</si>
  <si>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</si>
  <si>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</si>
  <si>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</si>
  <si>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</si>
  <si>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</si>
  <si>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</si>
  <si>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</si>
  <si>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</si>
  <si>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</si>
  <si>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</si>
  <si>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</si>
  <si>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</si>
  <si>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</si>
  <si>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</si>
  <si>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</si>
  <si>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</si>
  <si>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</si>
  <si>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</si>
  <si>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</si>
  <si>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</si>
  <si>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</si>
  <si>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</si>
  <si>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</si>
  <si>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</si>
  <si>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</si>
  <si>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</si>
  <si>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</si>
  <si>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</si>
  <si>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</si>
  <si>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</si>
  <si>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</si>
  <si>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</si>
  <si>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</si>
  <si>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</si>
  <si>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</si>
  <si>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</si>
  <si>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</si>
  <si>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</si>
  <si>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</si>
  <si>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</si>
  <si>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</si>
  <si>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</si>
  <si>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</si>
  <si>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</si>
  <si>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</si>
  <si>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</si>
  <si>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</si>
  <si>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</si>
  <si>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</si>
  <si>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</si>
  <si>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</si>
  <si>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</si>
  <si>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</si>
  <si>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</si>
  <si>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</si>
  <si>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</si>
  <si>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</si>
  <si>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</si>
  <si>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</si>
  <si>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</si>
  <si>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</si>
  <si>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</si>
  <si>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</si>
  <si>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</si>
  <si>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</si>
  <si>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</si>
  <si>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</si>
  <si>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</si>
  <si>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</si>
  <si>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</si>
  <si>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</si>
  <si>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</si>
  <si>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</si>
  <si>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</si>
  <si>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</si>
  <si>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</si>
  <si>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</si>
  <si>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</si>
  <si>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</si>
  <si>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</si>
  <si>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</si>
  <si>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</si>
  <si>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</si>
  <si>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</si>
  <si>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</si>
  <si>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</si>
  <si>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</si>
  <si>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</si>
  <si>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</si>
  <si>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</si>
  <si>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</si>
  <si>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</si>
  <si>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</si>
  <si>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</si>
  <si>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</si>
  <si>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</si>
  <si>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</si>
  <si>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</si>
  <si>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</si>
  <si>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</si>
  <si>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</si>
  <si>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</si>
  <si>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</si>
  <si>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</si>
  <si>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</si>
  <si>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</si>
  <si>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</si>
  <si>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</si>
  <si>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</si>
  <si>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</si>
  <si>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</si>
  <si>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</si>
  <si>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</si>
  <si>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</si>
  <si>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</si>
  <si>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</si>
  <si>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</si>
  <si>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</si>
  <si>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</si>
  <si>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</si>
  <si>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</si>
  <si>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</si>
  <si>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</si>
  <si>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</si>
  <si>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</si>
  <si>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</si>
  <si>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</si>
  <si>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</si>
  <si>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</si>
  <si>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</si>
  <si>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</si>
  <si>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</si>
  <si>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</si>
  <si>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</si>
  <si>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</si>
  <si>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</si>
  <si>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</si>
  <si>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</si>
  <si>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</si>
  <si>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</si>
  <si>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</si>
  <si>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</si>
  <si>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</si>
  <si>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</si>
  <si>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</si>
  <si>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</si>
  <si>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</si>
  <si>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</si>
  <si>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</si>
  <si>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</si>
  <si>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</si>
  <si>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</si>
  <si>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</si>
  <si>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</si>
  <si>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</si>
  <si>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</si>
  <si>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</si>
  <si>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</si>
  <si>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</si>
  <si>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</si>
  <si>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</si>
  <si>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</si>
  <si>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</si>
  <si>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</si>
  <si>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</si>
  <si>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</si>
  <si>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</si>
  <si>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</si>
  <si>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</si>
  <si>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</si>
  <si>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</si>
  <si>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</si>
  <si>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</si>
  <si>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</si>
  <si>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</si>
  <si>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</si>
  <si>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</si>
  <si>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</si>
  <si>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</si>
  <si>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</si>
  <si>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</si>
  <si>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</si>
  <si>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</si>
  <si>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</si>
  <si>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</si>
  <si>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</si>
  <si>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</si>
  <si>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</si>
  <si>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</si>
  <si>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</si>
  <si>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</si>
  <si>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</si>
  <si>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</si>
  <si>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</si>
  <si>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</si>
  <si>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</si>
  <si>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</si>
  <si>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</si>
  <si>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</si>
  <si>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</si>
  <si>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</si>
  <si>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</si>
  <si>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</si>
  <si>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</si>
  <si>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</si>
  <si>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</si>
  <si>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</si>
  <si>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</si>
  <si>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</si>
  <si>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</si>
  <si>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</si>
  <si>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</si>
  <si>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</si>
  <si>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</si>
  <si>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</si>
  <si>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</si>
  <si>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</si>
  <si>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</si>
  <si>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</si>
  <si>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</si>
  <si>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</si>
  <si>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</si>
  <si>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</si>
  <si>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</si>
  <si>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</si>
  <si>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</si>
  <si>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</si>
  <si>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</si>
  <si>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</si>
  <si>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</si>
  <si>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</si>
  <si>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</si>
  <si>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</si>
  <si>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</si>
  <si>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</si>
  <si>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</si>
  <si>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</si>
  <si>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</si>
  <si>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</si>
  <si>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</si>
  <si>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</si>
  <si>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</si>
  <si>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</si>
  <si>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</si>
  <si>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</si>
  <si>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</si>
  <si>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</si>
  <si>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</si>
  <si>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</si>
  <si>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</si>
  <si>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</si>
  <si>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</si>
  <si>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</si>
  <si>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</si>
  <si>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</si>
  <si>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</si>
  <si>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</si>
  <si>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</si>
  <si>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</si>
  <si>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</si>
  <si>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</si>
  <si>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</si>
  <si>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</si>
  <si>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</si>
  <si>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</si>
  <si>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</si>
  <si>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</si>
  <si>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</si>
  <si>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</si>
  <si>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</si>
  <si>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</si>
  <si>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</si>
  <si>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</si>
  <si>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</si>
  <si>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</si>
  <si>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</si>
  <si>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</si>
  <si>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</si>
  <si>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</si>
  <si>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</si>
  <si>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</si>
  <si>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</si>
  <si>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</si>
  <si>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</si>
  <si>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</si>
  <si>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</si>
  <si>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</si>
  <si>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</si>
  <si>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</si>
  <si>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</si>
  <si>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</si>
  <si>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</si>
  <si>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</si>
  <si>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</si>
  <si>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</si>
  <si>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</si>
  <si>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</si>
  <si>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</si>
  <si>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</si>
  <si>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</si>
  <si>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</si>
  <si>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</si>
  <si>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</si>
  <si>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</si>
  <si>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</si>
  <si>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</si>
  <si>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</si>
  <si>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</si>
  <si>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</si>
  <si>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</si>
  <si>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</si>
  <si>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</si>
  <si>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</si>
  <si>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</si>
  <si>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</si>
  <si>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</si>
  <si>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</si>
  <si>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</si>
  <si>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</si>
  <si>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</si>
  <si>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</si>
  <si>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</si>
  <si>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</si>
  <si>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</si>
  <si>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</si>
  <si>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</si>
  <si>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</si>
  <si>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</si>
  <si>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</si>
  <si>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</si>
  <si>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</si>
  <si>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</si>
  <si>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</si>
  <si>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</si>
  <si>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</si>
  <si>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</si>
  <si>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</si>
  <si>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</si>
  <si>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</si>
  <si>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</si>
  <si>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</si>
  <si>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</si>
  <si>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</si>
  <si>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</si>
  <si>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</si>
  <si>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</si>
  <si>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</si>
  <si>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</si>
  <si>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</si>
  <si>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</si>
  <si>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</si>
  <si>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</si>
  <si>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</si>
  <si>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</si>
  <si>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</si>
  <si>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</si>
  <si>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</si>
  <si>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</si>
  <si>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</si>
  <si>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</si>
  <si>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</si>
  <si>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</si>
  <si>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</si>
  <si>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</si>
  <si>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</si>
  <si>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</si>
  <si>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</si>
  <si>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</si>
  <si>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</si>
  <si>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</si>
  <si>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</si>
  <si>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</si>
  <si>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</si>
  <si>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</si>
  <si>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</si>
  <si>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</si>
  <si>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</si>
  <si>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</si>
  <si>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</si>
  <si>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</si>
  <si>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</si>
  <si>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</si>
  <si>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</si>
  <si>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</si>
  <si>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</si>
  <si>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</si>
  <si>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</si>
  <si>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</si>
  <si>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</si>
  <si>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</si>
  <si>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</si>
  <si>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</si>
  <si>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</si>
  <si>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</si>
  <si>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</si>
  <si>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</si>
  <si>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</si>
  <si>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</si>
  <si>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</si>
  <si>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</si>
  <si>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</si>
  <si>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</si>
  <si>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</si>
  <si>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</si>
  <si>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</si>
  <si>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</si>
  <si>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</si>
  <si>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</si>
  <si>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</si>
  <si>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</si>
  <si>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</si>
  <si>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</si>
  <si>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</si>
  <si>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</si>
  <si>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</si>
  <si>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</si>
  <si>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</si>
  <si>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</si>
  <si>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</si>
  <si>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</si>
  <si>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</si>
  <si>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</si>
  <si>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</si>
  <si>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</si>
  <si>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</si>
  <si>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</si>
  <si>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</si>
  <si>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</si>
  <si>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</si>
  <si>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</si>
  <si>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</si>
  <si>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</si>
  <si>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</si>
  <si>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</si>
  <si>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</si>
  <si>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</si>
  <si>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</si>
  <si>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</si>
  <si>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</si>
  <si>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</si>
  <si>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</si>
  <si>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</si>
  <si>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</si>
  <si>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</si>
  <si>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</si>
  <si>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</si>
  <si>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</si>
  <si>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</si>
  <si>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</si>
  <si>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</si>
  <si>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</si>
  <si>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</si>
  <si>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</si>
  <si>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</si>
  <si>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</si>
  <si>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</si>
  <si>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</si>
  <si>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</si>
  <si>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</si>
  <si>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</si>
  <si>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</si>
  <si>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</si>
  <si>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</si>
  <si>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</si>
  <si>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</si>
  <si>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</si>
  <si>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</si>
  <si>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</si>
  <si>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</si>
  <si>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</si>
  <si>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</si>
  <si>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</si>
  <si>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</si>
  <si>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</si>
  <si>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</si>
  <si>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</si>
  <si>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</si>
  <si>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</si>
  <si>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</si>
  <si>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</si>
  <si>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</si>
  <si>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</si>
  <si>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</si>
  <si>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</si>
  <si>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</si>
  <si>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</si>
  <si>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</si>
  <si>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</si>
  <si>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</si>
  <si>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</si>
  <si>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</si>
  <si>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</si>
  <si>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</si>
  <si>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</si>
  <si>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</si>
  <si>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</si>
  <si>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</si>
  <si>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</si>
  <si>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</si>
  <si>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</si>
  <si>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</si>
  <si>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</si>
  <si>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</si>
  <si>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</si>
  <si>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</si>
  <si>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</si>
  <si>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</si>
  <si>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</si>
  <si>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</si>
  <si>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</si>
  <si>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</si>
  <si>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</si>
  <si>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</si>
  <si>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</si>
  <si>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</si>
  <si>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</si>
  <si>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</si>
  <si>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</si>
  <si>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</si>
  <si>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</si>
  <si>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</si>
  <si>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</si>
  <si>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</si>
  <si>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</si>
  <si>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</si>
  <si>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</si>
  <si>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</si>
  <si>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</si>
  <si>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</si>
  <si>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</si>
  <si>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</si>
  <si>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</si>
  <si>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</si>
  <si>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</si>
  <si>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</si>
  <si>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</si>
  <si>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</si>
  <si>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</si>
  <si>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</si>
  <si>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</si>
  <si>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</si>
  <si>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</si>
  <si>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</si>
  <si>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</si>
  <si>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</si>
  <si>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</si>
  <si>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</si>
  <si>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</si>
  <si>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</si>
  <si>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</si>
  <si>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</si>
  <si>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</si>
  <si>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</si>
  <si>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</si>
  <si>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</si>
  <si>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</si>
  <si>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</si>
  <si>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</si>
  <si>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</si>
  <si>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</si>
  <si>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</si>
  <si>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</si>
  <si>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</si>
  <si>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</si>
  <si>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</si>
  <si>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</si>
  <si>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</si>
  <si>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</si>
  <si>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</si>
  <si>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</si>
  <si>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</si>
  <si>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</si>
  <si>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</si>
  <si>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</si>
  <si>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</si>
  <si>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</si>
  <si>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</si>
  <si>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</si>
  <si>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</si>
  <si>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</si>
  <si>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</si>
  <si>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</si>
  <si>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</si>
  <si>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</si>
  <si>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</si>
  <si>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</si>
  <si>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</si>
  <si>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</si>
  <si>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</si>
  <si>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</si>
  <si>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</si>
  <si>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</si>
  <si>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</si>
  <si>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</si>
  <si>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</si>
  <si>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</si>
  <si>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</si>
  <si>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</si>
  <si>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</si>
  <si>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</si>
  <si>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</si>
  <si>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</si>
  <si>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</si>
  <si>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</si>
  <si>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</si>
  <si>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</si>
  <si>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</si>
  <si>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</si>
  <si>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</si>
  <si>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</si>
  <si>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</si>
  <si>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</si>
  <si>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</si>
  <si>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</si>
  <si>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</si>
  <si>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</si>
  <si>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</si>
  <si>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</si>
  <si>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</si>
  <si>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</si>
  <si>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</si>
  <si>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</si>
  <si>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</si>
  <si>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</si>
  <si>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</si>
  <si>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</si>
  <si>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</si>
  <si>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</si>
  <si>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</si>
  <si>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</si>
  <si>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</si>
  <si>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</si>
  <si>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</si>
  <si>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</si>
  <si>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</si>
  <si>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</si>
  <si>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</si>
  <si>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</si>
  <si>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</si>
  <si>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</si>
  <si>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</si>
  <si>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</si>
  <si>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</si>
  <si>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</si>
  <si>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</si>
  <si>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</si>
  <si>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</si>
  <si>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</si>
  <si>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</si>
  <si>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</si>
  <si>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</si>
  <si>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</si>
  <si>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</si>
  <si>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</si>
  <si>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</si>
  <si>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</si>
  <si>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</si>
  <si>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</si>
  <si>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</si>
  <si>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</si>
  <si>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</si>
  <si>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</si>
  <si>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</si>
  <si>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</si>
  <si>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</si>
  <si>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</si>
  <si>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</si>
  <si>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</si>
  <si>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</si>
  <si>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</si>
  <si>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</si>
  <si>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</si>
  <si>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</si>
  <si>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</si>
  <si>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</si>
  <si>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</si>
  <si>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</si>
  <si>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</si>
  <si>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</si>
  <si>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</si>
  <si>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</si>
  <si>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</si>
  <si>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</si>
  <si>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</si>
  <si>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</si>
  <si>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</si>
  <si>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</si>
  <si>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</si>
  <si>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</si>
  <si>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</si>
  <si>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</si>
  <si>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</si>
  <si>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</si>
  <si>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</si>
  <si>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</si>
  <si>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</si>
  <si>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</si>
  <si>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</si>
  <si>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</si>
  <si>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</si>
  <si>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</si>
  <si>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</si>
  <si>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</si>
  <si>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</si>
  <si>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</si>
  <si>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</si>
  <si>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</si>
  <si>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</si>
  <si>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</si>
  <si>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</si>
  <si>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</si>
  <si>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</si>
  <si>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</si>
  <si>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</si>
  <si>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</si>
  <si>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</si>
  <si>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</si>
  <si>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</si>
  <si>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</si>
  <si>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</si>
  <si>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</si>
  <si>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</si>
  <si>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</si>
  <si>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</si>
  <si>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</si>
  <si>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</si>
  <si>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</si>
  <si>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</si>
  <si>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</si>
  <si>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</si>
  <si>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</si>
  <si>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</si>
  <si>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</si>
  <si>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</si>
  <si>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</si>
  <si>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</si>
  <si>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</si>
  <si>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</si>
  <si>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</si>
  <si>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</si>
  <si>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</si>
  <si>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</si>
  <si>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</si>
  <si>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</si>
  <si>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</si>
  <si>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</si>
  <si>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</si>
  <si>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</si>
  <si>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</si>
  <si>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</si>
  <si>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</si>
  <si>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</si>
  <si>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</si>
  <si>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</si>
  <si>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</si>
  <si>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</si>
  <si>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</si>
  <si>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</si>
  <si>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</si>
  <si>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</si>
  <si>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</si>
  <si>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</si>
  <si>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</si>
  <si>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</si>
  <si>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</si>
  <si>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</si>
  <si>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</si>
  <si>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</si>
  <si>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</si>
  <si>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</si>
  <si>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</si>
  <si>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</si>
  <si>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</si>
  <si>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</si>
  <si>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</si>
  <si>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</si>
  <si>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</si>
  <si>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</si>
  <si>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</si>
  <si>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</si>
  <si>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</si>
  <si>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</si>
  <si>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</si>
  <si>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</si>
  <si>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</si>
  <si>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</si>
  <si>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</si>
  <si>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</si>
  <si>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</si>
  <si>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</si>
  <si>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</si>
  <si>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</si>
  <si>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</si>
  <si>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</si>
  <si>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</si>
  <si>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</si>
  <si>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</si>
  <si>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</si>
  <si>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</si>
  <si>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</si>
  <si>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</si>
  <si>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</si>
  <si>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</si>
  <si>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</si>
  <si>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</si>
  <si>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</si>
  <si>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</si>
  <si>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</si>
  <si>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</si>
  <si>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</si>
  <si>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</si>
  <si>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</si>
  <si>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</si>
  <si>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</si>
  <si>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</si>
  <si>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</si>
  <si>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</si>
  <si>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</si>
  <si>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</si>
  <si>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</si>
  <si>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</si>
  <si>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</si>
  <si>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</si>
  <si>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</si>
  <si>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</si>
  <si>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</si>
  <si>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</si>
  <si>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</si>
  <si>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</si>
  <si>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</si>
  <si>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</si>
  <si>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</si>
  <si>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</si>
  <si>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</si>
  <si>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</si>
  <si>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</si>
  <si>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</si>
  <si>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</si>
  <si>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</si>
  <si>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</si>
  <si>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</si>
  <si>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</si>
  <si>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</si>
  <si>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</si>
  <si>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</si>
  <si>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</si>
  <si>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</si>
  <si>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</si>
  <si>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</si>
  <si>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</si>
  <si>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</si>
  <si>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</si>
  <si>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</si>
  <si>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</si>
  <si>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</si>
  <si>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</si>
  <si>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</si>
  <si>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</si>
  <si>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</si>
  <si>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</si>
  <si>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</si>
  <si>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</si>
  <si>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</si>
  <si>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</si>
  <si>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</si>
  <si>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</si>
  <si>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</si>
  <si>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</si>
  <si>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</si>
  <si>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</si>
  <si>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</si>
  <si>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</si>
  <si>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</si>
  <si>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</si>
  <si>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</si>
  <si>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</si>
  <si>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</si>
  <si>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</si>
  <si>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</si>
  <si>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</si>
  <si>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</si>
  <si>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</si>
  <si>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</si>
  <si>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</si>
  <si>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</si>
  <si>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</si>
  <si>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</si>
  <si>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</si>
  <si>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</si>
  <si>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</si>
  <si>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</si>
  <si>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</si>
  <si>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</si>
  <si>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</si>
  <si>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</si>
  <si>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</si>
  <si>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</si>
  <si>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</si>
  <si>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</si>
  <si>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</si>
  <si>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</si>
  <si>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</si>
  <si>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</si>
  <si>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</si>
  <si>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</si>
  <si>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</si>
  <si>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</si>
  <si>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</si>
  <si>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</si>
  <si>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</si>
  <si>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</si>
  <si>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</si>
  <si>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</si>
  <si>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</si>
  <si>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</si>
  <si>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</si>
  <si>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</si>
  <si>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</si>
  <si>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</si>
  <si>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</si>
  <si>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</si>
  <si>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</si>
  <si>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</si>
  <si>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</si>
  <si>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</si>
  <si>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</si>
  <si>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</si>
  <si>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</si>
  <si>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</si>
  <si>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</si>
  <si>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</si>
  <si>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</si>
  <si>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</si>
  <si>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</si>
  <si>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</si>
  <si>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</si>
  <si>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</si>
  <si>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</si>
  <si>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</si>
  <si>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</si>
  <si>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</si>
  <si>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</si>
  <si>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</si>
  <si>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</si>
  <si>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</si>
  <si>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</si>
  <si>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</si>
  <si>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</si>
  <si>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</si>
  <si>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</si>
  <si>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</si>
  <si>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</si>
  <si>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</si>
  <si>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</si>
  <si>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</si>
  <si>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</si>
  <si>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</si>
  <si>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</si>
  <si>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</si>
  <si>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</si>
  <si>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</si>
  <si>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</si>
  <si>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</si>
  <si>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</si>
  <si>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</si>
  <si>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</si>
  <si>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</si>
  <si>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</si>
  <si>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</si>
  <si>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</si>
  <si>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</si>
  <si>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</si>
  <si>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</si>
  <si>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</si>
  <si>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</si>
  <si>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</si>
  <si>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</si>
  <si>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</si>
  <si>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</si>
  <si>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</si>
  <si>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</si>
  <si>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</si>
  <si>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</si>
  <si>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</si>
  <si>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</si>
  <si>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</si>
  <si>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</si>
  <si>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</si>
  <si>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</si>
  <si>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</si>
  <si>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</si>
  <si>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</si>
  <si>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</si>
  <si>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</si>
  <si>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</si>
  <si>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</si>
  <si>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</si>
  <si>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</si>
  <si>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</si>
  <si>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</si>
  <si>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</si>
  <si>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</si>
  <si>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</si>
  <si>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</si>
  <si>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</si>
  <si>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</si>
  <si>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</si>
  <si>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</si>
  <si>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</si>
  <si>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</si>
  <si>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</si>
  <si>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</si>
  <si>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</si>
  <si>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</si>
  <si>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</si>
  <si>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</si>
  <si>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</si>
  <si>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</si>
  <si>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</si>
  <si>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</si>
  <si>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</si>
  <si>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</si>
  <si>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</si>
  <si>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</si>
  <si>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</si>
  <si>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</si>
  <si>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</si>
  <si>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</si>
  <si>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</si>
  <si>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</si>
  <si>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</si>
  <si>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</si>
  <si>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</si>
  <si>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</si>
  <si>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</si>
  <si>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</si>
  <si>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</si>
  <si>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</si>
  <si>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</si>
  <si>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</si>
  <si>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</si>
  <si>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</si>
  <si>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</si>
  <si>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</si>
  <si>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</si>
  <si>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</si>
  <si>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</si>
  <si>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</si>
  <si>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</si>
  <si>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</si>
  <si>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</si>
  <si>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</si>
  <si>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</si>
  <si>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</si>
  <si>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</si>
  <si>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</si>
  <si>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</si>
  <si>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</si>
  <si>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</si>
  <si>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</si>
  <si>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</si>
  <si>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</si>
  <si>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</si>
  <si>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</si>
  <si>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</si>
  <si>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</si>
  <si>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</si>
  <si>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</si>
  <si>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</si>
  <si>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</si>
  <si>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</si>
  <si>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</si>
  <si>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</si>
  <si>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</si>
  <si>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</si>
  <si>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</si>
  <si>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</si>
  <si>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</si>
  <si>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</si>
  <si>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</si>
  <si>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</si>
  <si>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</si>
  <si>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</si>
  <si>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</si>
  <si>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</si>
  <si>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</si>
  <si>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</si>
  <si>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</si>
  <si>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</si>
  <si>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</si>
  <si>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</si>
  <si>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</si>
  <si>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</si>
  <si>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</si>
  <si>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</si>
  <si>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</si>
  <si>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</si>
  <si>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</si>
  <si>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</si>
  <si>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</si>
  <si>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</si>
  <si>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</si>
  <si>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</si>
  <si>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</si>
  <si>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</si>
  <si>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</si>
  <si>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</si>
  <si>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</si>
  <si>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</si>
  <si>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</si>
  <si>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</si>
  <si>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</si>
  <si>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</si>
  <si>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</si>
  <si>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</si>
  <si>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</si>
  <si>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</si>
  <si>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</si>
  <si>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</si>
  <si>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</si>
  <si>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</si>
  <si>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</si>
  <si>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</si>
  <si>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</si>
  <si>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</si>
  <si>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</si>
  <si>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</si>
  <si>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</si>
  <si>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</si>
  <si>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</si>
  <si>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</si>
  <si>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</si>
  <si>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</si>
  <si>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</si>
  <si>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</si>
  <si>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</si>
  <si>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</si>
  <si>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</si>
  <si>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</si>
  <si>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</si>
  <si>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</si>
  <si>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</si>
  <si>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</si>
  <si>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</si>
  <si>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</si>
  <si>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</si>
  <si>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</si>
  <si>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</si>
  <si>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</si>
  <si>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</si>
  <si>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</si>
  <si>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</si>
  <si>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</si>
  <si>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</si>
  <si>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</si>
  <si>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</si>
  <si>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</si>
  <si>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</si>
  <si>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</si>
  <si>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</si>
  <si>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</si>
  <si>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</si>
  <si>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</si>
  <si>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</si>
  <si>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</si>
  <si>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</si>
  <si>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</si>
  <si>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</si>
  <si>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</si>
  <si>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</si>
  <si>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</si>
  <si>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</si>
  <si>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</si>
  <si>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</si>
  <si>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</si>
  <si>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</si>
  <si>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</si>
  <si>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</si>
  <si>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</si>
  <si>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</si>
  <si>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</si>
  <si>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</si>
  <si>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</si>
  <si>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</si>
  <si>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</si>
  <si>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</si>
  <si>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</si>
  <si>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</si>
  <si>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</si>
  <si>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</si>
  <si>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</si>
  <si>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</si>
  <si>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</si>
  <si>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</si>
  <si>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</si>
  <si>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</si>
  <si>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</si>
  <si>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</si>
  <si>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</si>
  <si>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</si>
  <si>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</si>
  <si>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</si>
  <si>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</si>
  <si>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</si>
  <si>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</si>
  <si>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</si>
  <si>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</si>
  <si>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</si>
  <si>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</si>
  <si>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</si>
  <si>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</si>
  <si>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</si>
  <si>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</si>
  <si>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</si>
  <si>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</si>
  <si>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</si>
  <si>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</si>
  <si>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</si>
  <si>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</si>
  <si>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</si>
  <si>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</si>
  <si>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</si>
  <si>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</si>
  <si>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</si>
  <si>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</si>
  <si>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</si>
  <si>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</si>
  <si>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</si>
  <si>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</si>
  <si>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</si>
  <si>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</si>
  <si>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</si>
  <si>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</si>
  <si>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</si>
  <si>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</si>
  <si>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</si>
  <si>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</si>
  <si>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</si>
  <si>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</si>
  <si>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</si>
  <si>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</si>
  <si>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</si>
  <si>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</si>
  <si>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</si>
  <si>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</si>
  <si>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</si>
  <si>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</si>
  <si>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</si>
  <si>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</si>
  <si>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</si>
  <si>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</si>
  <si>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</si>
  <si>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</si>
  <si>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</si>
  <si>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</si>
  <si>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</si>
  <si>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</si>
  <si>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</si>
  <si>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</si>
  <si>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</si>
  <si>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</si>
  <si>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</si>
  <si>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</si>
  <si>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</si>
  <si>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</si>
  <si>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</si>
  <si>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</si>
  <si>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</si>
  <si>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</si>
  <si>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</si>
  <si>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</si>
  <si>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</si>
  <si>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</si>
  <si>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</si>
  <si>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</si>
  <si>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</si>
  <si>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</si>
  <si>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</si>
  <si>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</si>
  <si>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</si>
  <si>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</si>
  <si>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</si>
  <si>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</si>
  <si>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</si>
  <si>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</si>
  <si>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</si>
  <si>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</si>
  <si>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</si>
  <si>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</si>
  <si>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</si>
  <si>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</si>
  <si>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</si>
  <si>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</si>
  <si>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</si>
  <si>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</si>
  <si>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</si>
  <si>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</si>
  <si>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</si>
  <si>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</si>
  <si>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</si>
  <si>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</si>
  <si>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</si>
  <si>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</si>
  <si>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</si>
  <si>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</si>
  <si>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</si>
  <si>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</si>
  <si>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</si>
  <si>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</si>
  <si>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</si>
  <si>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</si>
  <si>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</si>
  <si>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</si>
  <si>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</si>
  <si>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</si>
  <si>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</si>
  <si>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</si>
  <si>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</si>
  <si>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</si>
  <si>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</si>
  <si>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</si>
  <si>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</si>
  <si>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</si>
  <si>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</si>
  <si>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</si>
  <si>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</si>
  <si>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</si>
  <si>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</si>
  <si>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</si>
  <si>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</si>
  <si>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</si>
  <si>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</si>
  <si>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</si>
  <si>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</si>
  <si>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</si>
  <si>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</si>
  <si>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</si>
  <si>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</si>
  <si>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</si>
  <si>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</si>
  <si>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</si>
  <si>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</si>
  <si>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</si>
  <si>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</si>
  <si>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</si>
  <si>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</si>
  <si>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</si>
  <si>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</si>
  <si>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</si>
  <si>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</si>
  <si>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</si>
  <si>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</si>
  <si>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</si>
  <si>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</si>
  <si>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</si>
  <si>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</si>
  <si>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</si>
  <si>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</si>
  <si>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</si>
  <si>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</si>
  <si>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</si>
  <si>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</si>
  <si>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</si>
  <si>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</si>
  <si>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</si>
  <si>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</si>
  <si>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</si>
  <si>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</si>
  <si>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</si>
  <si>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</si>
  <si>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</si>
  <si>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</si>
  <si>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</si>
  <si>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</si>
  <si>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</si>
  <si>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</si>
  <si>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</si>
  <si>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</si>
  <si>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</si>
  <si>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</si>
  <si>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</si>
  <si>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</si>
  <si>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</si>
  <si>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</si>
  <si>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</si>
  <si>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</si>
  <si>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</si>
  <si>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</si>
  <si>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</si>
  <si>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</si>
  <si>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</si>
  <si>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</si>
  <si>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</si>
  <si>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</si>
  <si>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</si>
  <si>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</si>
  <si>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</si>
  <si>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</si>
  <si>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</si>
  <si>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</si>
  <si>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</si>
  <si>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</si>
  <si>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</si>
  <si>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</si>
  <si>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</si>
  <si>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</si>
  <si>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</si>
  <si>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</si>
  <si>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</si>
  <si>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</si>
  <si>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</si>
  <si>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</si>
  <si>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</si>
  <si>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</si>
  <si>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</si>
  <si>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</si>
  <si>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</si>
  <si>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</si>
  <si>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</si>
  <si>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</si>
  <si>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</si>
  <si>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</si>
  <si>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</si>
  <si>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</si>
  <si>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</si>
  <si>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</si>
  <si>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</si>
  <si>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</si>
  <si>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</si>
  <si>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</si>
  <si>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</si>
  <si>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</si>
  <si>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</si>
  <si>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</si>
  <si>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</si>
  <si>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</si>
  <si>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</si>
  <si>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</si>
  <si>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</si>
  <si>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</si>
  <si>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</si>
  <si>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</si>
  <si>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</si>
  <si>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</si>
  <si>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</si>
  <si>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</si>
  <si>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</si>
  <si>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</si>
  <si>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</si>
  <si>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</si>
  <si>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</si>
  <si>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</si>
  <si>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</si>
  <si>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</si>
  <si>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</si>
  <si>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</si>
  <si>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</si>
  <si>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</si>
  <si>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</si>
  <si>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</si>
  <si>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</si>
  <si>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</si>
  <si>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</si>
  <si>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</si>
  <si>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</si>
  <si>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</si>
  <si>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</si>
  <si>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</si>
  <si>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</si>
  <si>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</si>
  <si>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</si>
  <si>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</si>
  <si>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</si>
  <si>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</si>
  <si>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</si>
  <si>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</si>
  <si>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</si>
  <si>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</si>
  <si>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</si>
  <si>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</si>
  <si>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</si>
  <si>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</si>
  <si>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</si>
  <si>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</si>
  <si>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</si>
  <si>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</si>
  <si>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</si>
  <si>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</si>
  <si>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</si>
  <si>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</si>
  <si>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</si>
  <si>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</si>
  <si>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</si>
  <si>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</si>
  <si>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</si>
  <si>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</si>
  <si>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</si>
  <si>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</si>
  <si>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</si>
  <si>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</si>
  <si>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</si>
  <si>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</si>
  <si>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</si>
  <si>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</si>
  <si>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</si>
  <si>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</si>
  <si>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</si>
  <si>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</si>
  <si>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</si>
  <si>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</si>
  <si>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</si>
  <si>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</si>
  <si>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</si>
  <si>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</si>
  <si>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</si>
  <si>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</si>
  <si>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</si>
  <si>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</si>
  <si>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</si>
  <si>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</si>
  <si>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</si>
  <si>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</si>
  <si>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</si>
  <si>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</si>
  <si>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</si>
  <si>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</si>
  <si>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</si>
  <si>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</si>
  <si>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</si>
  <si>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</si>
  <si>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</si>
  <si>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</si>
  <si>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</si>
  <si>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</si>
  <si>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</si>
  <si>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</si>
  <si>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</si>
  <si>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</si>
  <si>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</si>
  <si>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</si>
  <si>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</si>
  <si>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</si>
  <si>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</si>
  <si>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</si>
  <si>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</si>
  <si>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</si>
  <si>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</si>
  <si>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</si>
  <si>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</si>
  <si>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</si>
  <si>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</si>
  <si>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</si>
  <si>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</si>
  <si>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</si>
  <si>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</si>
  <si>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</si>
  <si>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</si>
  <si>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</si>
  <si>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</si>
  <si>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</si>
  <si>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</si>
  <si>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</si>
  <si>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</si>
  <si>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</si>
  <si>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</si>
  <si>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</si>
  <si>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</si>
  <si>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</si>
  <si>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</si>
  <si>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</si>
  <si>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</si>
  <si>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</si>
  <si>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</si>
  <si>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</si>
  <si>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</si>
  <si>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</si>
  <si>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</si>
  <si>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</si>
  <si>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</si>
  <si>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</si>
  <si>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</si>
  <si>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</si>
  <si>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</si>
  <si>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</si>
  <si>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</si>
  <si>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</si>
  <si>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</si>
  <si>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</si>
  <si>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</si>
  <si>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</si>
  <si>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</si>
  <si>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</si>
  <si>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</si>
  <si>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</si>
  <si>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</si>
  <si>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</si>
  <si>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</si>
  <si>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</si>
  <si>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</si>
  <si>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</si>
  <si>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</si>
  <si>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</si>
  <si>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</si>
  <si>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</si>
  <si>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</si>
  <si>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</si>
  <si>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</si>
  <si>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</si>
  <si>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</si>
  <si>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</si>
  <si>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</si>
  <si>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</si>
  <si>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</si>
  <si>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</si>
  <si>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</si>
  <si>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</si>
  <si>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</si>
  <si>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</si>
  <si>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</si>
  <si>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</si>
  <si>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</si>
  <si>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</si>
  <si>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</si>
  <si>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</si>
  <si>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</si>
  <si>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</si>
  <si>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</si>
  <si>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</si>
  <si>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</si>
  <si>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</si>
  <si>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</si>
  <si>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</si>
  <si>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</si>
  <si>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</si>
  <si>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</si>
  <si>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</si>
  <si>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</si>
  <si>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</si>
  <si>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</si>
  <si>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</si>
  <si>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</si>
  <si>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</si>
  <si>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</si>
  <si>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</si>
  <si>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</si>
  <si>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</si>
  <si>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</si>
  <si>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</si>
  <si>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</si>
  <si>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</si>
  <si>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</si>
  <si>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</si>
  <si>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</si>
  <si>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</si>
  <si>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</si>
  <si>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</si>
  <si>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</si>
  <si>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</si>
  <si>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</si>
  <si>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</si>
  <si>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</si>
  <si>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</si>
  <si>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</si>
  <si>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</si>
  <si>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</si>
  <si>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</si>
  <si>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</si>
  <si>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</si>
  <si>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</si>
  <si>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</si>
  <si>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</si>
  <si>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</si>
  <si>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</si>
  <si>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</si>
  <si>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</si>
  <si>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</si>
  <si>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</si>
  <si>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</si>
  <si>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</si>
  <si>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</si>
  <si>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</si>
  <si>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</si>
  <si>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</si>
  <si>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  Prior Yr Fund Balance Available (DRA Net Local School Appropriations)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</si>
</sst>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A466" sqref="A46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1753</v>
      </c>
      <c r="B2">
        <f>INDEX('School Tables'!$AH$3:$AH$213,MATCH('DOE25'!A2,'School Tables'!$AJ$3:$AJ$213,0))</f>
        <v>236</v>
      </c>
      <c r="C2">
        <f>INDEX('School Tables'!$AI$3:$AI$213,MATCH('DOE25'!A2,'School Tables'!$AJ$3:$AJ$213,0))</f>
        <v>236</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27307.27</v>
      </c>
      <c r="G9" s="18"/>
      <c r="H9" s="18"/>
      <c r="I9" s="18"/>
      <c r="J9" s="13">
        <f>SUM(I440)</f>
        <v>146569.07</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2719.49</v>
      </c>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30026.760000000002</v>
      </c>
      <c r="G19" s="38">
        <f>SUM(G9:G18)</f>
        <v>0</v>
      </c>
      <c r="H19" s="38">
        <f>SUM(H9:H18)</f>
        <v>0</v>
      </c>
      <c r="I19" s="38">
        <f>SUM(I9:I18)</f>
        <v>0</v>
      </c>
      <c r="J19" s="38">
        <f>SUM(J9:J18)</f>
        <v>146569.07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2719.49</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2719.49</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146569.07</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69956.34-42649.07</f>
        <v>27307.269999999997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27307.269999999997</v>
      </c>
      <c r="G51" s="38">
        <f>SUM(G35:G50)</f>
        <v>0</v>
      </c>
      <c r="H51" s="38">
        <f>SUM(H35:H50)</f>
        <v>0</v>
      </c>
      <c r="I51" s="38">
        <f>SUM(I35:I50)</f>
        <v>0</v>
      </c>
      <c r="J51" s="38">
        <f>SUM(J35:J50)</f>
        <v>146569.07</v>
      </c>
      <c r="K51" s="42" t="s">
        <v>288</v>
      </c>
      <c r="L51" s="42" t="s">
        <v>288</v>
      </c>
      <c r="N51" s="130"/>
    </row>
    <row r="52" spans="1:14" s="3" customFormat="1" ht="12.2" customHeight="1" thickTop="1" x14ac:dyDescent="0.15">
      <c r="A52" s="35" t="s">
        <v>455</v>
      </c>
      <c r="B52" s="36" t="s">
        <v>289</v>
      </c>
      <c r="C52" s="6">
        <v>37</v>
      </c>
      <c r="D52" s="36" t="s">
        <v>653</v>
      </c>
      <c r="E52" s="36"/>
      <c r="F52" s="38">
        <f>F51+F32</f>
        <v>30026.759999999995</v>
      </c>
      <c r="G52" s="38">
        <f>G51+G32</f>
        <v>0</v>
      </c>
      <c r="H52" s="38">
        <f>H51+H32</f>
        <v>0</v>
      </c>
      <c r="I52" s="38">
        <f>I51+I32</f>
        <v>0</v>
      </c>
      <c r="J52" s="38">
        <f>J51+J32</f>
        <v>146569.07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-54602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-54602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v>128.69</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0</v>
      </c>
      <c r="G111" s="38">
        <f>SUM(G96:G110)</f>
        <v>0</v>
      </c>
      <c r="H111" s="38">
        <f>SUM(H96:H110)</f>
        <v>0</v>
      </c>
      <c r="I111" s="38">
        <f>SUM(I96:I110)</f>
        <v>0</v>
      </c>
      <c r="J111" s="38">
        <f>SUM(J96:J110)</f>
        <v>128.69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-54602</v>
      </c>
      <c r="G112" s="38">
        <f>G60+G111</f>
        <v>0</v>
      </c>
      <c r="H112" s="38">
        <f>H60+H79+H94+H111</f>
        <v>0</v>
      </c>
      <c r="I112" s="38">
        <f>I60+I111</f>
        <v>0</v>
      </c>
      <c r="J112" s="38">
        <f>J60+J111</f>
        <v>128.69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0</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34137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34137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34137</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0</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2548.04</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2548.04</v>
      </c>
      <c r="G170" s="38">
        <f>G147+G163+SUM(G164:G169)</f>
        <v>0</v>
      </c>
      <c r="H170" s="38">
        <f>H147+H163+SUM(H164:H169)</f>
        <v>0</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12000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12000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12000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-17916.96</v>
      </c>
      <c r="G194" s="38">
        <f>G112+G140+G170+G193</f>
        <v>0</v>
      </c>
      <c r="H194" s="38">
        <f>H112+H140+H170+H193</f>
        <v>0</v>
      </c>
      <c r="I194" s="38">
        <f>I112+I140+I170+I193</f>
        <v>0</v>
      </c>
      <c r="J194" s="38">
        <f>J112+J140+J193</f>
        <v>12128.69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v>26788.14</v>
      </c>
      <c r="I198" s="18"/>
      <c r="J198" s="18"/>
      <c r="K198" s="18"/>
      <c r="L198" s="13">
        <f>SUM(F198:K198)</f>
        <v>26788.14</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f>400+950+45.97+672+4341</f>
        <v>6408.97</v>
      </c>
      <c r="I205" s="18"/>
      <c r="J205" s="18"/>
      <c r="K205" s="18"/>
      <c r="L205" s="13">
        <f t="shared" si="0"/>
        <v>6408.97</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33197.11</v>
      </c>
      <c r="I212" s="38">
        <f t="shared" si="1"/>
        <v>0</v>
      </c>
      <c r="J212" s="38">
        <f t="shared" si="1"/>
        <v>0</v>
      </c>
      <c r="K212" s="38">
        <f t="shared" si="1"/>
        <v>0</v>
      </c>
      <c r="L212" s="38">
        <f t="shared" si="1"/>
        <v>33197.11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0</v>
      </c>
      <c r="G258" s="38">
        <f t="shared" si="8"/>
        <v>0</v>
      </c>
      <c r="H258" s="38">
        <f t="shared" si="8"/>
        <v>33197.11</v>
      </c>
      <c r="I258" s="38">
        <f t="shared" si="8"/>
        <v>0</v>
      </c>
      <c r="J258" s="38">
        <f t="shared" si="8"/>
        <v>0</v>
      </c>
      <c r="K258" s="38">
        <f t="shared" si="8"/>
        <v>0</v>
      </c>
      <c r="L258" s="38">
        <f t="shared" si="8"/>
        <v>33197.11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12000</v>
      </c>
      <c r="L267" s="13">
        <f t="shared" si="9"/>
        <v>12000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12000</v>
      </c>
      <c r="L271" s="38">
        <f t="shared" si="9"/>
        <v>12000</v>
      </c>
      <c r="M271" s="8"/>
      <c r="N271" s="164"/>
    </row>
    <row r="272" spans="1:14" s="33" customFormat="1" ht="12.2" customHeight="1" thickTop="1" x14ac:dyDescent="0.2">
      <c r="A272" s="40" t="s">
        <v>464</v>
      </c>
      <c r="B272" s="37">
        <v>10</v>
      </c>
      <c r="C272" s="37">
        <v>18</v>
      </c>
      <c r="D272" s="36" t="s">
        <v>431</v>
      </c>
      <c r="E272" s="37"/>
      <c r="F272" s="39">
        <f t="shared" ref="F272:L272" si="11">F258+F271</f>
        <v>0</v>
      </c>
      <c r="G272" s="39">
        <f t="shared" si="11"/>
        <v>0</v>
      </c>
      <c r="H272" s="39">
        <f t="shared" si="11"/>
        <v>33197.11</v>
      </c>
      <c r="I272" s="39">
        <f t="shared" si="11"/>
        <v>0</v>
      </c>
      <c r="J272" s="39">
        <f t="shared" si="11"/>
        <v>0</v>
      </c>
      <c r="K272" s="39">
        <f t="shared" si="11"/>
        <v>12000</v>
      </c>
      <c r="L272" s="39">
        <f t="shared" si="11"/>
        <v>45197.11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0</v>
      </c>
      <c r="I339" s="38">
        <f t="shared" si="20"/>
        <v>0</v>
      </c>
      <c r="J339" s="38">
        <f t="shared" si="20"/>
        <v>0</v>
      </c>
      <c r="K339" s="38">
        <f t="shared" si="20"/>
        <v>0</v>
      </c>
      <c r="L339" s="38">
        <f t="shared" si="20"/>
        <v>0</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0</v>
      </c>
      <c r="I353" s="38">
        <f>I339</f>
        <v>0</v>
      </c>
      <c r="J353" s="38">
        <f>J339</f>
        <v>0</v>
      </c>
      <c r="K353" s="38">
        <f>K339+K352</f>
        <v>0</v>
      </c>
      <c r="L353" s="38">
        <f>L339+L352</f>
        <v>0</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8000</v>
      </c>
      <c r="H398" s="18">
        <v>66.87</v>
      </c>
      <c r="I398" s="18"/>
      <c r="J398" s="23" t="s">
        <v>288</v>
      </c>
      <c r="K398" s="23" t="s">
        <v>288</v>
      </c>
      <c r="L398" s="13">
        <f t="shared" si="26"/>
        <v>8066.87</v>
      </c>
      <c r="M398" s="8"/>
      <c r="N398" s="164"/>
    </row>
    <row r="399" spans="1:14" s="3" customFormat="1" ht="12.2" customHeight="1" x14ac:dyDescent="0.15">
      <c r="A399" s="62" t="s">
        <v>558</v>
      </c>
      <c r="B399" s="2" t="s">
        <v>381</v>
      </c>
      <c r="C399" s="6">
        <v>11</v>
      </c>
      <c r="D399" s="2" t="s">
        <v>432</v>
      </c>
      <c r="E399" s="6"/>
      <c r="F399" s="18"/>
      <c r="G399" s="18">
        <v>4000</v>
      </c>
      <c r="H399" s="18">
        <v>61.82</v>
      </c>
      <c r="I399" s="18"/>
      <c r="J399" s="23" t="s">
        <v>288</v>
      </c>
      <c r="K399" s="23" t="s">
        <v>288</v>
      </c>
      <c r="L399" s="13">
        <f t="shared" si="26"/>
        <v>4061.82</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12000</v>
      </c>
      <c r="H402" s="38">
        <f>SUM(H396:H401)</f>
        <v>128.69</v>
      </c>
      <c r="I402" s="38">
        <f>SUM(I396:I401)</f>
        <v>0</v>
      </c>
      <c r="J402" s="42" t="s">
        <v>288</v>
      </c>
      <c r="K402" s="42" t="s">
        <v>288</v>
      </c>
      <c r="L402" s="38">
        <f>SUM(L396:L401)</f>
        <v>12128.69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12000</v>
      </c>
      <c r="H409" s="38">
        <f>H394+H402+H408</f>
        <v>128.69</v>
      </c>
      <c r="I409" s="38">
        <f>I394+I402+I408</f>
        <v>0</v>
      </c>
      <c r="J409" s="23" t="s">
        <v>288</v>
      </c>
      <c r="K409" s="23" t="s">
        <v>288</v>
      </c>
      <c r="L409" s="38">
        <f>L394+L402+L408</f>
        <v>12128.69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146569.07</v>
      </c>
      <c r="H440" s="18"/>
      <c r="I440" s="13">
        <f t="shared" ref="I440:I446" si="33">SUM(F440:H440)</f>
        <v>146569.07</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146569.07</v>
      </c>
      <c r="H447" s="13">
        <f>SUM(H440:H446)</f>
        <v>0</v>
      </c>
      <c r="I447" s="13">
        <f>SUM(I440:I446)</f>
        <v>146569.07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146569.07</v>
      </c>
      <c r="H460" s="18"/>
      <c r="I460" s="13">
        <f t="shared" si="34"/>
        <v>146569.07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146569.07</v>
      </c>
      <c r="H461" s="65">
        <f>SUM(H455:H460)</f>
        <v>0</v>
      </c>
      <c r="I461" s="65">
        <f>SUM(I455:I460)</f>
        <v>146569.07</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146569.07</v>
      </c>
      <c r="H462" s="39">
        <f>H453+H461</f>
        <v>0</v>
      </c>
      <c r="I462" s="39">
        <f>I453+I461</f>
        <v>146569.07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69956.34</v>
      </c>
      <c r="G466" s="18"/>
      <c r="H466" s="18"/>
      <c r="I466" s="18"/>
      <c r="J466" s="18">
        <v>134440.38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2548.04+34137-54602</f>
        <v>-17916.96</v>
      </c>
      <c r="G469" s="18"/>
      <c r="H469" s="18"/>
      <c r="I469" s="18"/>
      <c r="J469" s="18">
        <v>12128.69</v>
      </c>
      <c r="K469" s="23" t="s">
        <v>288</v>
      </c>
      <c r="L469" s="23" t="s">
        <v>288</v>
      </c>
      <c r="N469" s="130"/>
    </row>
    <row r="470" spans="1:14" ht="12.2" customHeight="1" x14ac:dyDescent="0.2">
      <c r="A470" s="71" t="s">
        <v>611</v>
      </c>
      <c r="B470" s="22">
        <v>19</v>
      </c>
      <c r="C470" s="31">
        <v>3</v>
      </c>
      <c r="D470" s="2" t="s">
        <v>432</v>
      </c>
      <c r="E470" s="31"/>
      <c r="F470" s="18">
        <v>20465</v>
      </c>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2548.0400000000009</v>
      </c>
      <c r="G471" s="19">
        <f>SUM(G469:G470)</f>
        <v>0</v>
      </c>
      <c r="H471" s="19">
        <f>SUM(H469:H470)</f>
        <v>0</v>
      </c>
      <c r="I471" s="19">
        <f>SUM(I469:I470)</f>
        <v>0</v>
      </c>
      <c r="J471" s="19">
        <f>SUM(J469:J470)</f>
        <v>12128.69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45197.11</v>
      </c>
      <c r="G473" s="18"/>
      <c r="H473" s="18"/>
      <c r="I473" s="18"/>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45197.11</v>
      </c>
      <c r="G475" s="19">
        <f>SUM(G473:G474)</f>
        <v>0</v>
      </c>
      <c r="H475" s="19">
        <f>SUM(H473:H474)</f>
        <v>0</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27307.270000000004</v>
      </c>
      <c r="G477" s="19">
        <f>(G466+G471)- G475</f>
        <v>0</v>
      </c>
      <c r="H477" s="19">
        <f>(H466+H471)- H475</f>
        <v>0</v>
      </c>
      <c r="I477" s="19">
        <f>(I466+I471)- I475</f>
        <v>0</v>
      </c>
      <c r="J477" s="19">
        <f>(J466+J471)- J475</f>
        <v>146569.07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0</v>
      </c>
      <c r="I525" s="81">
        <f t="shared" si="36"/>
        <v>0</v>
      </c>
      <c r="J525" s="81">
        <f t="shared" si="36"/>
        <v>0</v>
      </c>
      <c r="K525" s="81">
        <f t="shared" si="36"/>
        <v>0</v>
      </c>
      <c r="L525" s="70">
        <f t="shared" si="36"/>
        <v>0</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0</v>
      </c>
      <c r="I546" s="70">
        <f t="shared" si="41"/>
        <v>0</v>
      </c>
      <c r="J546" s="70">
        <f t="shared" si="41"/>
        <v>0</v>
      </c>
      <c r="K546" s="70">
        <f t="shared" si="41"/>
        <v>0</v>
      </c>
      <c r="L546" s="70">
        <f t="shared" si="41"/>
        <v>0</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0</v>
      </c>
      <c r="G553" s="70">
        <f t="shared" si="42"/>
        <v>0</v>
      </c>
      <c r="H553" s="70">
        <f t="shared" si="42"/>
        <v>0</v>
      </c>
      <c r="I553" s="70">
        <f t="shared" si="42"/>
        <v>0</v>
      </c>
      <c r="J553" s="70">
        <f t="shared" si="42"/>
        <v>0</v>
      </c>
      <c r="K553" s="70">
        <f t="shared" si="42"/>
        <v>0</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26788.14</v>
      </c>
      <c r="G576" s="18"/>
      <c r="H576" s="18"/>
      <c r="I576" s="69">
        <f>SUM(F576:H576)</f>
        <v>26788.14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26788.14</v>
      </c>
      <c r="G589" s="79">
        <f t="shared" ref="G589:I589" si="48">SUM(G576:G588)</f>
        <v>0</v>
      </c>
      <c r="H589" s="79">
        <f t="shared" si="48"/>
        <v>0</v>
      </c>
      <c r="I589" s="79">
        <f t="shared" si="48"/>
        <v>26788.14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c r="J592" s="18"/>
      <c r="K592" s="80">
        <f t="shared" ref="K592:K598" si="49">SUM(H592:J592)</f>
        <v>0</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0</v>
      </c>
      <c r="K599" s="81">
        <f>SUM(K592:K598)</f>
        <v>0</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30026.760000000002</v>
      </c>
      <c r="H618" s="80">
        <f>SUM(F52)</f>
        <v>30026.759999999995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146569.07</v>
      </c>
      <c r="H622" s="80">
        <f>SUM(J52)</f>
        <v>146569.07</v>
      </c>
      <c r="I622" s="87" t="s">
        <v>875</v>
      </c>
      <c r="J622" s="80">
        <f>G622-H622</f>
        <v>0</v>
      </c>
      <c r="K622" s="80"/>
      <c r="L622" s="80"/>
      <c r="M622" s="8"/>
    </row>
    <row r="623" spans="1:14" s="3" customFormat="1" ht="12.2" customHeight="1" x14ac:dyDescent="0.15">
      <c r="A623" s="74"/>
      <c r="B623" s="22"/>
      <c r="C623" s="22"/>
      <c r="D623" s="22"/>
      <c r="E623" s="22"/>
      <c r="F623" s="87" t="s">
        <v>861</v>
      </c>
      <c r="G623" s="80">
        <f>F51</f>
        <v>27307.269999999997</v>
      </c>
      <c r="H623" s="80">
        <f>F477</f>
        <v>27307.270000000004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146569.07</v>
      </c>
      <c r="H627" s="80">
        <f>J477</f>
        <v>146569.07</v>
      </c>
      <c r="I627" s="87" t="s">
        <v>105</v>
      </c>
      <c r="J627" s="80">
        <f t="shared" si="51"/>
        <v>0</v>
      </c>
      <c r="K627" s="67"/>
      <c r="L627" s="69"/>
      <c r="M627" s="8"/>
    </row>
    <row r="628" spans="1:13" s="3" customFormat="1" ht="12.2" customHeight="1" x14ac:dyDescent="0.15">
      <c r="A628" s="21"/>
      <c r="B628" s="22"/>
      <c r="C628" s="22"/>
      <c r="D628" s="22"/>
      <c r="E628" s="22"/>
      <c r="F628" s="86" t="s">
        <v>658</v>
      </c>
      <c r="G628" s="80">
        <f>F194</f>
        <v>-17916.96</v>
      </c>
      <c r="H628" s="80">
        <f>SUM(F469)</f>
        <v>-17916.96</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0</v>
      </c>
      <c r="H630" s="80">
        <f>SUM(H469)</f>
        <v>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12128.69</v>
      </c>
      <c r="H632" s="80">
        <f>SUM(J469)</f>
        <v>12128.69</v>
      </c>
      <c r="I632" s="87" t="s">
        <v>110</v>
      </c>
      <c r="J632" s="80">
        <f>G632-H632</f>
        <v>0</v>
      </c>
      <c r="K632" s="67"/>
      <c r="L632" s="69"/>
      <c r="M632" s="8"/>
    </row>
    <row r="633" spans="1:13" s="3" customFormat="1" ht="12.2" customHeight="1" x14ac:dyDescent="0.15">
      <c r="A633" s="21"/>
      <c r="B633" s="22"/>
      <c r="C633" s="22"/>
      <c r="D633" s="22"/>
      <c r="E633" s="22"/>
      <c r="F633" s="86" t="s">
        <v>394</v>
      </c>
      <c r="G633" s="80">
        <f>SUM(L272)</f>
        <v>45197.11</v>
      </c>
      <c r="H633" s="80">
        <f>SUM(F473)</f>
        <v>45197.11</v>
      </c>
      <c r="I633" s="87" t="s">
        <v>111</v>
      </c>
      <c r="J633" s="80">
        <f t="shared" si="51"/>
        <v>0</v>
      </c>
      <c r="K633" s="67"/>
      <c r="L633" s="69"/>
      <c r="M633" s="8"/>
    </row>
    <row r="634" spans="1:13" s="3" customFormat="1" ht="12.2" customHeight="1" x14ac:dyDescent="0.15">
      <c r="A634" s="21"/>
      <c r="B634" s="22"/>
      <c r="C634" s="22"/>
      <c r="D634" s="22"/>
      <c r="E634" s="22"/>
      <c r="F634" s="86" t="s">
        <v>395</v>
      </c>
      <c r="G634" s="80">
        <f>SUM(L353)</f>
        <v>0</v>
      </c>
      <c r="H634" s="80">
        <f>SUM(H473)</f>
        <v>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12128.69</v>
      </c>
      <c r="H638" s="108">
        <f>SUM(J469)</f>
        <v>12128.69</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146569.07</v>
      </c>
      <c r="H641" s="80">
        <f>SUM(G462)</f>
        <v>146569.07</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146569.07</v>
      </c>
      <c r="H643" s="80">
        <f>SUM(I462)</f>
        <v>146569.07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128.69</v>
      </c>
      <c r="H645" s="80">
        <f>H409</f>
        <v>128.69</v>
      </c>
      <c r="I645" s="87" t="s">
        <v>480</v>
      </c>
      <c r="J645" s="80">
        <f t="shared" si="51"/>
        <v>0</v>
      </c>
      <c r="K645" s="67"/>
      <c r="L645" s="69"/>
      <c r="M645" s="8"/>
    </row>
    <row r="646" spans="1:13" s="3" customFormat="1" ht="12.2" customHeight="1" x14ac:dyDescent="0.15">
      <c r="A646" s="21"/>
      <c r="B646" s="22"/>
      <c r="C646" s="22"/>
      <c r="D646" s="22"/>
      <c r="E646" s="22"/>
      <c r="F646" s="86" t="s">
        <v>664</v>
      </c>
      <c r="G646" s="80">
        <f>J184</f>
        <v>12000</v>
      </c>
      <c r="H646" s="80">
        <f>G409</f>
        <v>12000</v>
      </c>
      <c r="I646" s="87" t="s">
        <v>481</v>
      </c>
      <c r="J646" s="80">
        <f t="shared" si="51"/>
        <v>0</v>
      </c>
      <c r="K646" s="67"/>
      <c r="L646" s="69"/>
      <c r="M646" s="8"/>
    </row>
    <row r="647" spans="1:13" s="3" customFormat="1" ht="12.2" customHeight="1" x14ac:dyDescent="0.15">
      <c r="A647" s="21"/>
      <c r="B647" s="22"/>
      <c r="C647" s="22"/>
      <c r="D647" s="22"/>
      <c r="E647" s="22"/>
      <c r="F647" s="86" t="s">
        <v>662</v>
      </c>
      <c r="G647" s="80">
        <f>J194</f>
        <v>12128.69</v>
      </c>
      <c r="H647" s="80">
        <f>L409</f>
        <v>12128.69</v>
      </c>
      <c r="I647" s="87" t="s">
        <v>477</v>
      </c>
      <c r="J647" s="80">
        <f t="shared" si="51"/>
        <v>0</v>
      </c>
      <c r="K647" s="67"/>
      <c r="L647" s="69"/>
      <c r="M647" s="8"/>
    </row>
    <row r="648" spans="1:13" s="3" customFormat="1" ht="12.2" customHeight="1" x14ac:dyDescent="0.15">
      <c r="A648" s="21"/>
      <c r="B648" s="22"/>
      <c r="C648" s="22"/>
      <c r="D648" s="22"/>
      <c r="E648" s="22"/>
      <c r="F648" s="86" t="s">
        <v>51</v>
      </c>
      <c r="G648" s="80">
        <f>K599</f>
        <v>0</v>
      </c>
      <c r="H648" s="80">
        <f>L209+L227+L245</f>
        <v>0</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12000</v>
      </c>
      <c r="H656" s="80">
        <f>K267+K348</f>
        <v>12000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33197.11</v>
      </c>
      <c r="G661" s="13">
        <f>(L230+L310+L360)</f>
        <v>0</v>
      </c>
      <c r="H661" s="13">
        <f>(L248+L329+L361)</f>
        <v>0</v>
      </c>
      <c r="I661" s="13">
        <f>SUM(F661:H661)</f>
        <v>33197.11</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0</v>
      </c>
      <c r="G663" s="13">
        <f>(L227+L307)-(J227+J307)</f>
        <v>0</v>
      </c>
      <c r="H663" s="13">
        <f>(L245+L326)-(J245+J326)</f>
        <v>0</v>
      </c>
      <c r="I663" s="13">
        <f>SUM(F663:H663)</f>
        <v>0</v>
      </c>
      <c r="J663"/>
      <c r="K663" s="13"/>
      <c r="L663" s="13"/>
      <c r="M663" s="9"/>
    </row>
    <row r="664" spans="1:13" s="3" customFormat="1" ht="12.2" customHeight="1" x14ac:dyDescent="0.15">
      <c r="A664" s="141" t="s">
        <v>129</v>
      </c>
      <c r="B664" s="124"/>
      <c r="C664" s="124"/>
      <c r="D664" s="124"/>
      <c r="E664" s="124"/>
      <c r="F664" s="142">
        <f>SUM(F576:F588)+SUM(H603:H605)+SUM(L612)</f>
        <v>26788.14</v>
      </c>
      <c r="G664" s="142">
        <f>SUM(G576:G588)+SUM(I603:I605)+L613</f>
        <v>0</v>
      </c>
      <c r="H664" s="142">
        <f>SUM(H576:H588)+SUM(J603:J605)+L614</f>
        <v>0</v>
      </c>
      <c r="I664" s="13">
        <f>SUM(F664:H664)</f>
        <v>26788.14</v>
      </c>
      <c r="J664" s="13"/>
      <c r="K664" s="13"/>
      <c r="L664" s="13"/>
      <c r="M664" s="9"/>
    </row>
    <row r="665" spans="1:13" s="3" customFormat="1" ht="12.2" customHeight="1" x14ac:dyDescent="0.15">
      <c r="A665" s="1" t="s">
        <v>130</v>
      </c>
      <c r="F665" s="13">
        <f>F661-SUM(F662:F664)</f>
        <v>6408.9700000000012</v>
      </c>
      <c r="G665" s="13">
        <f>G661-SUM(G662:G664)</f>
        <v>0</v>
      </c>
      <c r="H665" s="13">
        <f>H661-SUM(H662:H664)</f>
        <v>0</v>
      </c>
      <c r="I665" s="13">
        <f>I661-SUM(I662:I664)</f>
        <v>6408.9700000000012</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-6408.9700000000012</v>
      </c>
      <c r="G670" s="73" t="str">
        <f t="shared" si="52"/>
        <v/>
      </c>
      <c r="H670" s="73" t="str">
        <f t="shared" si="52"/>
        <v/>
      </c>
      <c r="I670" s="13">
        <f>SUM(F670:H670)</f>
        <v>-6408.9700000000012</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6" sqref="C16"/>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Hart's Location</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1" zoomScaleNormal="100"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Hart's Location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Hart's Location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26788.14</v>
      </c>
      <c r="D5" s="19">
        <f>SUM('DOE25'!L198:L201)+SUM('DOE25'!L216:L219)+SUM('DOE25'!L234:L237)-F5-G5-H5</f>
        <v>26788.14</v>
      </c>
      <c r="E5" s="179"/>
      <c r="F5" s="180">
        <v>0</v>
      </c>
      <c r="G5" s="19">
        <f>SUM('DOE25'!J198:J201)+SUM('DOE25'!J216:J219)+SUM('DOE25'!J234:J237)</f>
        <v>0</v>
      </c>
      <c r="H5" s="19">
        <f>SUM('DOE25'!K198:K201)+SUM('DOE25'!K216:K219)+SUM('DOE25'!K234:K237)</f>
        <v>0</v>
      </c>
      <c r="I5" s="191"/>
    </row>
    <row r="6" spans="1:9" x14ac:dyDescent="0.2">
      <c r="A6" s="31">
        <v>2100</v>
      </c>
      <c r="B6" t="s">
        <v>793</v>
      </c>
      <c r="C6" s="205">
        <f t="shared" si="0"/>
        <v>0</v>
      </c>
      <c r="D6" s="19">
        <f>'DOE25'!L203+'DOE25'!L221+'DOE25'!L239-F6-G6-H6</f>
        <v>0</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4341</v>
      </c>
      <c r="D8" s="179"/>
      <c r="E8" s="19">
        <f>'DOE25'!L205+'DOE25'!L223+'DOE25'!L241-F8-G8-H8-D9-D11</f>
        <v>4341</v>
      </c>
      <c r="F8" s="180"/>
      <c r="G8" s="19">
        <f>'DOE25'!J205+'DOE25'!J223+'DOE25'!J241</f>
        <v>0</v>
      </c>
      <c r="H8" s="19">
        <f>'DOE25'!K205+'DOE25'!K223+'DOE25'!K241</f>
        <v>0</v>
      </c>
      <c r="I8" s="191"/>
    </row>
    <row r="9" spans="1:9" ht="14.25" x14ac:dyDescent="0.2">
      <c r="A9" s="31">
        <v>2310</v>
      </c>
      <c r="B9" s="71" t="s">
        <v>884</v>
      </c>
      <c r="C9" s="205">
        <f t="shared" si="0"/>
        <v>2067.9700000000003</v>
      </c>
      <c r="D9" s="180">
        <f>400+950+45.97+672</f>
        <v>2067.9700000000003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0</v>
      </c>
      <c r="D15" s="19">
        <f>'DOE25'!L209+'DOE25'!L227+'DOE25'!L245-F15-G15-H15</f>
        <v>0</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0</v>
      </c>
      <c r="D31" s="19">
        <f>'DOE25'!L291+'DOE25'!L310+'DOE25'!L329+'DOE25'!L334+'DOE25'!L335+'DOE25'!L336-F31-G31-H31</f>
        <v>0</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28856.11</v>
      </c>
      <c r="E33" s="181">
        <f t="shared" si="1"/>
        <v>4341</v>
      </c>
      <c r="F33" s="181">
        <f t="shared" si="1"/>
        <v>0</v>
      </c>
      <c r="G33" s="181">
        <f t="shared" si="1"/>
        <v>0</v>
      </c>
      <c r="H33" s="181">
        <f t="shared" si="1"/>
        <v>0</v>
      </c>
      <c r="I33" s="181">
        <f t="shared" si="1"/>
        <v>0</v>
      </c>
    </row>
    <row r="34" spans="1:9" ht="12" thickBot="1" x14ac:dyDescent="0.25"/>
    <row r="35" spans="1:9" ht="12" thickBot="1" x14ac:dyDescent="0.25">
      <c r="B35" s="187" t="s">
        <v>827</v>
      </c>
      <c r="D35" s="188">
        <f>E33</f>
        <v>4341</v>
      </c>
      <c r="E35" s="184"/>
      <c r="F35" s="294" t="s">
        <v>1596</v>
      </c>
      <c r="G35" s="295"/>
      <c r="H35" s="295"/>
      <c r="I35" s="296"/>
    </row>
    <row r="36" spans="1:9" ht="12" thickTop="1" x14ac:dyDescent="0.2">
      <c r="B36" t="s">
        <v>807</v>
      </c>
      <c r="D36" s="19">
        <f>D33</f>
        <v>28856.11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19" sqref="A19"/>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Hart's Location</v>
      </c>
      <c r="B2">
        <f>'DOE25'!B2</f>
        <v>236</v>
      </c>
      <c r="J2" s="223" t="s">
        <v>1799</v>
      </c>
      <c r="K2" s="308">
        <f>SUM('DOE25'!L198:L201)+SUM('DOE25'!L277:L280)</f>
        <v>26788.14</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33197.11</v>
      </c>
      <c r="G4" s="228">
        <f>'DOE25'!L212+'DOE25'!L291</f>
        <v>33197.11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33197.11</v>
      </c>
      <c r="E5" s="219"/>
      <c r="F5" s="231">
        <f>D5+E5</f>
        <v>33197.11</v>
      </c>
      <c r="G5" s="222"/>
      <c r="H5" s="222"/>
      <c r="J5" s="71" t="s">
        <v>1840</v>
      </c>
      <c r="K5" s="20">
        <v>26788.14</v>
      </c>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33197.11</v>
      </c>
      <c r="E21" s="261">
        <f>SUM(E5:E20)</f>
        <v>0</v>
      </c>
      <c r="F21" s="216"/>
      <c r="G21" s="216"/>
      <c r="H21" s="216"/>
      <c r="K21" s="262">
        <f t="shared" ref="K21:Q21" si="4">SUM(K5:K20)</f>
        <v>26788.14</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Hart's Location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27307.27</v>
      </c>
      <c r="D8" s="73">
        <f>'DOE25'!G9</f>
        <v>0</v>
      </c>
      <c r="E8" s="73">
        <f>'DOE25'!H9</f>
        <v>0</v>
      </c>
      <c r="F8" s="73">
        <f>'DOE25'!I9</f>
        <v>0</v>
      </c>
      <c r="G8" s="73">
        <f>'DOE25'!J9</f>
        <v>146569.07</v>
      </c>
      <c r="H8" s="13">
        <f>SUM(C8:G8)</f>
        <v>173876.34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2719.49</v>
      </c>
      <c r="D12" s="73">
        <f>'DOE25'!G13</f>
        <v>0</v>
      </c>
      <c r="E12" s="73">
        <f>'DOE25'!H13</f>
        <v>0</v>
      </c>
      <c r="F12" s="73">
        <f>'DOE25'!I13</f>
        <v>0</v>
      </c>
      <c r="G12" s="73">
        <f>'DOE25'!J13</f>
        <v>0</v>
      </c>
      <c r="H12" s="13">
        <f t="shared" si="0"/>
        <v>2719.49</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30026.760000000002</v>
      </c>
      <c r="D18" s="38">
        <f>SUM(D8:D17)</f>
        <v>0</v>
      </c>
      <c r="E18" s="38">
        <f>SUM(E8:E17)</f>
        <v>0</v>
      </c>
      <c r="F18" s="38">
        <f>SUM(F8:F17)</f>
        <v>0</v>
      </c>
      <c r="G18" s="38">
        <f>SUM(G8:G17)</f>
        <v>146569.07</v>
      </c>
      <c r="H18" s="38">
        <f t="shared" si="0"/>
        <v>176595.83000000002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2719.49</v>
      </c>
      <c r="D29" s="73">
        <f>'DOE25'!G30</f>
        <v>0</v>
      </c>
      <c r="E29" s="73">
        <f>'DOE25'!H30</f>
        <v>0</v>
      </c>
      <c r="F29" s="73">
        <f>'DOE25'!I30</f>
        <v>0</v>
      </c>
      <c r="G29" s="23" t="s">
        <v>288</v>
      </c>
      <c r="H29" s="13">
        <f t="shared" si="1"/>
        <v>2719.49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2719.49</v>
      </c>
      <c r="D31" s="38">
        <f>SUM(D21:D30)</f>
        <v>0</v>
      </c>
      <c r="E31" s="38">
        <f>SUM(E21:E30)</f>
        <v>0</v>
      </c>
      <c r="F31" s="38">
        <f>SUM(F21:F30)</f>
        <v>0</v>
      </c>
      <c r="G31" s="38">
        <f>SUM(G21:G30)</f>
        <v>0</v>
      </c>
      <c r="H31" s="38">
        <f t="shared" si="1"/>
        <v>2719.49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146569.07</v>
      </c>
      <c r="H47" s="13">
        <f t="shared" si="2"/>
        <v>146569.07</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27307.269999999997</v>
      </c>
      <c r="D49" s="23" t="s">
        <v>288</v>
      </c>
      <c r="E49" s="23" t="s">
        <v>288</v>
      </c>
      <c r="F49" s="23" t="s">
        <v>288</v>
      </c>
      <c r="G49" s="23" t="s">
        <v>288</v>
      </c>
      <c r="H49" s="13">
        <f t="shared" si="2"/>
        <v>27307.269999999997</v>
      </c>
      <c r="I49" s="90"/>
    </row>
    <row r="50" spans="1:9" ht="12.75" thickTop="1" thickBot="1" x14ac:dyDescent="0.25">
      <c r="A50" s="35" t="s">
        <v>880</v>
      </c>
      <c r="B50" s="44"/>
      <c r="C50" s="38">
        <f>SUM(C34:C49)</f>
        <v>27307.269999999997</v>
      </c>
      <c r="D50" s="38">
        <f>SUM(D34:D49)</f>
        <v>0</v>
      </c>
      <c r="E50" s="38">
        <f>SUM(E34:E49)</f>
        <v>0</v>
      </c>
      <c r="F50" s="38">
        <f>SUM(F34:F49)</f>
        <v>0</v>
      </c>
      <c r="G50" s="38">
        <f>SUM(G34:G49)</f>
        <v>146569.07</v>
      </c>
      <c r="H50" s="38">
        <f t="shared" si="2"/>
        <v>173876.34</v>
      </c>
      <c r="I50" s="90"/>
    </row>
    <row r="51" spans="1:9" ht="12" thickTop="1" x14ac:dyDescent="0.2">
      <c r="A51" s="35" t="s">
        <v>881</v>
      </c>
      <c r="B51" s="2"/>
      <c r="C51" s="38">
        <f>C50+C31</f>
        <v>30026.759999999995</v>
      </c>
      <c r="D51" s="38">
        <f>D50+D31</f>
        <v>0</v>
      </c>
      <c r="E51" s="38">
        <f>E50+E31</f>
        <v>0</v>
      </c>
      <c r="F51" s="38">
        <f>F50+F31</f>
        <v>0</v>
      </c>
      <c r="G51" s="38">
        <f>G50+G31</f>
        <v>146569.07</v>
      </c>
      <c r="H51" s="38">
        <f t="shared" si="2"/>
        <v>176595.83000000002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-54602</v>
      </c>
      <c r="D56" s="73">
        <f>'DOE25'!G60</f>
        <v>0</v>
      </c>
      <c r="E56" s="73">
        <f>'DOE25'!H60</f>
        <v>0</v>
      </c>
      <c r="F56" s="73">
        <f>'DOE25'!I60</f>
        <v>0</v>
      </c>
      <c r="G56" s="73">
        <f>'DOE25'!J60</f>
        <v>0</v>
      </c>
      <c r="H56" s="13">
        <f t="shared" ref="H56:H63" si="3">SUM(C56:G56)</f>
        <v>-54602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128.69</v>
      </c>
      <c r="H59" s="13">
        <f t="shared" si="3"/>
        <v>128.69</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0</v>
      </c>
      <c r="D62" s="93">
        <f>SUM(D57:D61)</f>
        <v>0</v>
      </c>
      <c r="E62" s="93">
        <f>SUM(E57:E61)</f>
        <v>0</v>
      </c>
      <c r="F62" s="93">
        <f>SUM(F57:F61)</f>
        <v>0</v>
      </c>
      <c r="G62" s="93">
        <f>SUM(G57:G61)</f>
        <v>128.69</v>
      </c>
      <c r="H62" s="13">
        <f t="shared" si="3"/>
        <v>128.69</v>
      </c>
      <c r="I62"/>
    </row>
    <row r="63" spans="1:9" ht="12" thickTop="1" x14ac:dyDescent="0.2">
      <c r="A63" s="28" t="s">
        <v>175</v>
      </c>
      <c r="B63" s="6"/>
      <c r="C63" s="21">
        <f>C56+C62</f>
        <v>-54602</v>
      </c>
      <c r="D63" s="21">
        <f>D56+D62</f>
        <v>0</v>
      </c>
      <c r="E63" s="21">
        <f>E56+E62</f>
        <v>0</v>
      </c>
      <c r="F63" s="21">
        <f>F56+F62</f>
        <v>0</v>
      </c>
      <c r="G63" s="21">
        <f>G56+G62</f>
        <v>128.69</v>
      </c>
      <c r="H63" s="13">
        <f t="shared" si="3"/>
        <v>-54473.31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34137</v>
      </c>
      <c r="D67" s="23"/>
      <c r="E67" s="23"/>
      <c r="F67" s="23"/>
      <c r="G67" s="23"/>
      <c r="H67" s="13">
        <f t="shared" si="4"/>
        <v>34137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34137</v>
      </c>
      <c r="D70" s="97">
        <f>D69</f>
        <v>0</v>
      </c>
      <c r="E70" s="97">
        <f>E69</f>
        <v>0</v>
      </c>
      <c r="F70" s="97">
        <f>F69</f>
        <v>0</v>
      </c>
      <c r="G70" s="97">
        <f>G69</f>
        <v>0</v>
      </c>
      <c r="H70" s="13">
        <f t="shared" si="4"/>
        <v>34137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34137</v>
      </c>
      <c r="D81" s="93">
        <f>SUM(D79:D80)+D78+D70</f>
        <v>0</v>
      </c>
      <c r="E81" s="93">
        <f>SUM(E79:E80)+E78+E70</f>
        <v>0</v>
      </c>
      <c r="F81" s="93">
        <f>SUM(F79:F80)+F78+F70</f>
        <v>0</v>
      </c>
      <c r="G81" s="93">
        <f>SUM(G79:G80)+G78+G70</f>
        <v>0</v>
      </c>
      <c r="H81" s="93">
        <f t="shared" si="4"/>
        <v>34137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0</v>
      </c>
      <c r="F88" s="252">
        <f>SUM('DOE25'!I153:I162)</f>
        <v>0</v>
      </c>
      <c r="G88" s="23" t="s">
        <v>288</v>
      </c>
      <c r="H88" s="13">
        <f t="shared" si="5"/>
        <v>0</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2548.04</v>
      </c>
      <c r="D90" s="23" t="s">
        <v>288</v>
      </c>
      <c r="E90" s="23" t="s">
        <v>288</v>
      </c>
      <c r="F90" s="23" t="s">
        <v>288</v>
      </c>
      <c r="G90" s="23" t="s">
        <v>288</v>
      </c>
      <c r="H90" s="13">
        <f t="shared" si="5"/>
        <v>2548.04</v>
      </c>
    </row>
    <row r="91" spans="1:9" ht="12.75" thickTop="1" thickBot="1" x14ac:dyDescent="0.25">
      <c r="A91" s="32" t="s">
        <v>747</v>
      </c>
      <c r="C91" s="94">
        <f>SUM(C85:C90)</f>
        <v>2548.04</v>
      </c>
      <c r="D91" s="94">
        <f>SUM(D85:D90)</f>
        <v>0</v>
      </c>
      <c r="E91" s="94">
        <f>SUM(E85:E90)</f>
        <v>0</v>
      </c>
      <c r="F91" s="94">
        <f>SUM(F85:F90)</f>
        <v>0</v>
      </c>
      <c r="G91" s="23" t="s">
        <v>288</v>
      </c>
      <c r="H91" s="13">
        <f t="shared" si="5"/>
        <v>2548.04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12000</v>
      </c>
      <c r="H96" s="13">
        <f t="shared" si="5"/>
        <v>12000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12000</v>
      </c>
      <c r="H103" s="68">
        <f t="shared" si="5"/>
        <v>12000</v>
      </c>
    </row>
    <row r="104" spans="1:8" ht="12.75" thickTop="1" thickBot="1" x14ac:dyDescent="0.25">
      <c r="A104" s="32" t="s">
        <v>758</v>
      </c>
      <c r="C104" s="68">
        <f>C63+C81+C91+C103</f>
        <v>-17916.96</v>
      </c>
      <c r="D104" s="68">
        <f>D63+D81+D91+D103</f>
        <v>0</v>
      </c>
      <c r="E104" s="68">
        <f>E63+E81+E91+E103</f>
        <v>0</v>
      </c>
      <c r="F104" s="68">
        <f>F63+F81+F91+F103</f>
        <v>0</v>
      </c>
      <c r="G104" s="68">
        <f>G63+G81+G103</f>
        <v>12128.69</v>
      </c>
      <c r="H104" s="68">
        <f t="shared" si="5"/>
        <v>-5788.2699999999986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26788.14</v>
      </c>
      <c r="D109" s="23" t="s">
        <v>288</v>
      </c>
      <c r="E109" s="73">
        <f>('DOE25'!L277)+('DOE25'!L296)+('DOE25'!L315)</f>
        <v>0</v>
      </c>
      <c r="F109" s="23" t="s">
        <v>288</v>
      </c>
      <c r="G109" s="23" t="s">
        <v>288</v>
      </c>
      <c r="H109" s="13">
        <f t="shared" ref="H109:H115" si="6">SUM(C109:G109)</f>
        <v>26788.14</v>
      </c>
    </row>
    <row r="110" spans="1:8" x14ac:dyDescent="0.2">
      <c r="A110" t="s">
        <v>198</v>
      </c>
      <c r="B110" s="31" t="s">
        <v>199</v>
      </c>
      <c r="C110" s="73">
        <f>('DOE25'!L199)+('DOE25'!L217)+('DOE25'!L235)</f>
        <v>0</v>
      </c>
      <c r="D110" s="23" t="s">
        <v>288</v>
      </c>
      <c r="E110" s="73">
        <f>('DOE25'!L278)+('DOE25'!L297)+('DOE25'!L316)</f>
        <v>0</v>
      </c>
      <c r="F110" s="23" t="s">
        <v>288</v>
      </c>
      <c r="G110" s="23" t="s">
        <v>288</v>
      </c>
      <c r="H110" s="13">
        <f t="shared" si="6"/>
        <v>0</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26788.14</v>
      </c>
      <c r="D115" s="68">
        <f>SUM(D109:D114)</f>
        <v>0</v>
      </c>
      <c r="E115" s="68">
        <f>SUM(E109:E114)</f>
        <v>0</v>
      </c>
      <c r="F115" s="68">
        <f>SUM(F109:F114)</f>
        <v>0</v>
      </c>
      <c r="G115" s="68">
        <f>SUM(G109:G114)</f>
        <v>0</v>
      </c>
      <c r="H115" s="68">
        <f t="shared" si="6"/>
        <v>26788.14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6408.97</v>
      </c>
      <c r="D120" s="23" t="s">
        <v>288</v>
      </c>
      <c r="E120" s="73">
        <f>+('DOE25'!L284)+('DOE25'!L303)+('DOE25'!L322)</f>
        <v>0</v>
      </c>
      <c r="F120" s="23" t="s">
        <v>288</v>
      </c>
      <c r="G120" s="23" t="s">
        <v>288</v>
      </c>
      <c r="H120" s="13">
        <f t="shared" si="7"/>
        <v>6408.97</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0</v>
      </c>
      <c r="D124" s="23" t="s">
        <v>288</v>
      </c>
      <c r="E124" s="73">
        <f>+('DOE25'!L288)+('DOE25'!L307)+('DOE25'!L326)</f>
        <v>0</v>
      </c>
      <c r="F124" s="23" t="s">
        <v>288</v>
      </c>
      <c r="G124" s="23" t="s">
        <v>288</v>
      </c>
      <c r="H124" s="13">
        <f t="shared" si="7"/>
        <v>0</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6408.97</v>
      </c>
      <c r="D128" s="68">
        <f>SUM(D118:D127)</f>
        <v>0</v>
      </c>
      <c r="E128" s="68">
        <f>SUM(E118:E127)</f>
        <v>0</v>
      </c>
      <c r="F128" s="68">
        <f>SUM(F118:F127)</f>
        <v>0</v>
      </c>
      <c r="G128" s="68">
        <f>SUM(G118:G127)</f>
        <v>0</v>
      </c>
      <c r="H128" s="68">
        <f t="shared" si="7"/>
        <v>6408.97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12128.69</v>
      </c>
      <c r="D139" s="23" t="s">
        <v>288</v>
      </c>
      <c r="E139" s="23" t="s">
        <v>288</v>
      </c>
      <c r="F139" s="23" t="s">
        <v>288</v>
      </c>
      <c r="G139" s="23" t="s">
        <v>288</v>
      </c>
      <c r="H139" s="13">
        <f t="shared" si="7"/>
        <v>12128.69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-128.69000000000051</v>
      </c>
      <c r="D141" s="23" t="s">
        <v>288</v>
      </c>
      <c r="E141" s="23" t="s">
        <v>288</v>
      </c>
      <c r="F141" s="23" t="s">
        <v>288</v>
      </c>
      <c r="G141" s="23" t="s">
        <v>288</v>
      </c>
      <c r="H141" s="13">
        <f t="shared" si="7"/>
        <v>-128.69000000000051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12000</v>
      </c>
      <c r="D144" s="98">
        <f>SUM(D130:D143)</f>
        <v>0</v>
      </c>
      <c r="E144" s="98">
        <f>SUM(E130:E143)</f>
        <v>0</v>
      </c>
      <c r="F144" s="98">
        <f>SUM(F130:F143)</f>
        <v>0</v>
      </c>
      <c r="G144" s="98">
        <f>SUM(G130:G143)</f>
        <v>0</v>
      </c>
      <c r="H144" s="98">
        <f t="shared" si="7"/>
        <v>12000</v>
      </c>
    </row>
    <row r="145" spans="1:9" ht="12.75" thickTop="1" thickBot="1" x14ac:dyDescent="0.25">
      <c r="A145" s="32" t="s">
        <v>244</v>
      </c>
      <c r="C145" s="68">
        <f>(C115+C128+C144)</f>
        <v>45197.11</v>
      </c>
      <c r="D145" s="68">
        <f>(D115+D128+D144)</f>
        <v>0</v>
      </c>
      <c r="E145" s="68">
        <f>(E115+E128+E144)</f>
        <v>0</v>
      </c>
      <c r="F145" s="68">
        <f>(F115+F128+F144)</f>
        <v>0</v>
      </c>
      <c r="G145" s="68">
        <f>(G115+G128+G144)</f>
        <v>0</v>
      </c>
      <c r="H145" s="68">
        <f t="shared" si="7"/>
        <v>45197.11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Hart's Location</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26788</v>
      </c>
      <c r="D10" s="131">
        <f>ROUND((C10/$C$28)*100,1)</f>
        <v>80.7</v>
      </c>
    </row>
    <row r="11" spans="1:4" x14ac:dyDescent="0.2">
      <c r="A11">
        <v>1200</v>
      </c>
      <c r="B11" t="s">
        <v>703</v>
      </c>
      <c r="C11" s="128">
        <f>ROUND('DOE25'!L199+'DOE25'!L217+'DOE25'!L235+'DOE25'!L278+'DOE25'!L297+'DOE25'!L316,0)</f>
        <v>0</v>
      </c>
      <c r="D11" s="131">
        <f>ROUND((C11/$C$28)*100,1)</f>
        <v>0</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0</v>
      </c>
      <c r="D15" s="131">
        <f t="shared" ref="D15:D27" si="0">ROUND((C15/$C$28)*100,1)</f>
        <v>0</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6409</v>
      </c>
      <c r="D17" s="131">
        <f t="shared" si="0"/>
        <v>19.3</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0</v>
      </c>
      <c r="D21" s="131">
        <f t="shared" si="0"/>
        <v>0</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33197</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33197</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-54602</v>
      </c>
      <c r="D35" s="131">
        <f t="shared" ref="D35:D40" si="1">ROUND((C35/$C$41)*100,1)</f>
        <v>307</v>
      </c>
    </row>
    <row r="36" spans="1:4" x14ac:dyDescent="0.2">
      <c r="B36" s="71" t="s">
        <v>739</v>
      </c>
      <c r="C36" s="128">
        <f>SUM('DOE25'!F112:J112)-SUM('DOE25'!G97:G110)+('DOE25'!F175+'DOE25'!F176+'DOE25'!I175+'DOE25'!I176)-C35</f>
        <v>128.69000000000233</v>
      </c>
      <c r="D36" s="131">
        <f t="shared" si="1"/>
        <v>-0.7</v>
      </c>
    </row>
    <row r="37" spans="1:4" x14ac:dyDescent="0.2">
      <c r="A37" s="132" t="s">
        <v>831</v>
      </c>
      <c r="B37" s="71" t="s">
        <v>728</v>
      </c>
      <c r="C37" s="128">
        <f>ROUND('DOE25'!F117+'DOE25'!F118,0)</f>
        <v>34137</v>
      </c>
      <c r="D37" s="131">
        <f t="shared" si="1"/>
        <v>-191.9</v>
      </c>
    </row>
    <row r="38" spans="1:4" x14ac:dyDescent="0.2">
      <c r="A38" s="132" t="s">
        <v>734</v>
      </c>
      <c r="B38" s="71" t="s">
        <v>729</v>
      </c>
      <c r="C38" s="128">
        <f>ROUND(SUM('DOE25'!F140:J140)-SUM('DOE25'!F117:F119),0)</f>
        <v>0</v>
      </c>
      <c r="D38" s="131">
        <f t="shared" si="1"/>
        <v>0</v>
      </c>
    </row>
    <row r="39" spans="1:4" x14ac:dyDescent="0.2">
      <c r="A39">
        <v>4000</v>
      </c>
      <c r="B39" s="71" t="s">
        <v>730</v>
      </c>
      <c r="C39" s="128">
        <f>ROUND('DOE25'!F170+'DOE25'!G170+'DOE25'!H170+'DOE25'!I170,0)</f>
        <v>2548</v>
      </c>
      <c r="D39" s="131">
        <f t="shared" si="1"/>
        <v>-14.3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-17788.309999999998</v>
      </c>
      <c r="D41" s="133">
        <f>SUM(D35:D40)</f>
        <v>100.10000000000001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Hart's Location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IFERROR(SMALL($I$4:$I$385,ROWS($I$4:I4)),"")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2024-10-16T13:06:50Z</dcterms:modified>
</cp:coreProperties>
</file>